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<sst xmlns="http://schemas.openxmlformats.org/spreadsheetml/2006/main" count="2384" uniqueCount="886">
  <si>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</si>
  <si>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</si>
  <si>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</si>
  <si>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</si>
  <si>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</si>
  <si>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</si>
  <si>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</si>
  <si>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</si>
  <si>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</si>
  <si>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</si>
  <si>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</si>
  <si>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</si>
  <si>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</si>
  <si>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</si>
  <si>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</si>
  <si>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</si>
  <si>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</si>
  <si>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</si>
  <si>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</si>
  <si>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</si>
  <si>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</si>
  <si>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</si>
  <si>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</si>
  <si>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</si>
  <si>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</si>
  <si>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</si>
  <si>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</si>
  <si>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</si>
  <si>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</si>
  <si>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</si>
  <si>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</si>
  <si>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</si>
  <si>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</si>
  <si>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</si>
  <si>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</si>
  <si>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</si>
  <si>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</si>
  <si>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</si>
  <si>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</si>
  <si>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</si>
  <si>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</si>
  <si>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</si>
  <si>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</si>
  <si>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</si>
  <si>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</si>
  <si>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</si>
  <si>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</si>
  <si>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</si>
  <si>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</si>
  <si>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</si>
  <si>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</si>
  <si>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</si>
  <si>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</si>
  <si>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</si>
  <si>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</si>
  <si>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</si>
  <si>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</si>
  <si>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</si>
  <si>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</si>
  <si>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</si>
  <si>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</si>
  <si>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</si>
  <si>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</si>
  <si>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</si>
  <si>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</si>
  <si>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</si>
  <si>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</si>
  <si>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</si>
  <si>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</si>
  <si>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</si>
  <si>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</si>
  <si>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</si>
  <si>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</si>
  <si>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</si>
  <si>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</si>
  <si>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</si>
  <si>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</si>
  <si>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</si>
  <si>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</si>
  <si>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</si>
  <si>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</si>
  <si>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</si>
  <si>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</si>
  <si>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</si>
  <si>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</si>
  <si>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</si>
  <si>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</si>
  <si>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</si>
  <si>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</si>
  <si>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</si>
  <si>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</si>
  <si>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</si>
  <si>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</si>
  <si>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</si>
  <si>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</si>
  <si>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</si>
  <si>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</si>
  <si>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</si>
  <si>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</si>
  <si>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</si>
  <si>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</si>
  <si>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</si>
  <si>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</si>
  <si>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</si>
  <si>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</si>
  <si>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</si>
  <si>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</si>
  <si>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</si>
  <si>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</si>
  <si>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</si>
  <si>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</si>
  <si>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</si>
  <si>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</si>
  <si>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</si>
  <si>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</si>
  <si>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</si>
  <si>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</si>
  <si>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</si>
  <si>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</si>
  <si>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</si>
  <si>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</si>
  <si>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</si>
  <si>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</si>
  <si>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</si>
  <si>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</si>
  <si>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</si>
  <si>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</si>
  <si>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</si>
  <si>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</si>
  <si>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</si>
  <si>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</si>
  <si>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</si>
  <si>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</si>
  <si>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</si>
  <si>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</si>
  <si>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</si>
  <si>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</si>
  <si>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</si>
  <si>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</si>
  <si>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</si>
  <si>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</si>
  <si>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</si>
  <si>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</si>
  <si>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</si>
  <si>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</si>
  <si>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</si>
  <si>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</si>
  <si>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</si>
  <si>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</si>
  <si>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</si>
  <si>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</si>
  <si>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</si>
  <si>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</si>
  <si>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</si>
  <si>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</si>
  <si>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</si>
  <si>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</si>
  <si>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</si>
  <si>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</si>
  <si>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</si>
  <si>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</si>
  <si>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</si>
  <si>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</si>
  <si>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</si>
  <si>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</si>
  <si>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</si>
  <si>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</si>
  <si>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</si>
  <si>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</si>
  <si>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</si>
  <si>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</si>
  <si>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</si>
  <si>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</si>
  <si>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</si>
  <si>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</si>
  <si>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</si>
  <si>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</si>
  <si>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</si>
  <si>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</si>
  <si>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</si>
  <si>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</si>
  <si>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</si>
  <si>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</si>
  <si>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</si>
  <si>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</si>
  <si>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</si>
  <si>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</si>
  <si>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</si>
  <si>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</si>
  <si>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</si>
  <si>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</si>
  <si>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</si>
  <si>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</si>
  <si>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</si>
  <si>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</si>
  <si>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</si>
  <si>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</si>
  <si>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</si>
  <si>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</si>
  <si>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</si>
  <si>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</si>
  <si>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</si>
  <si>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</si>
  <si>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</si>
  <si>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</si>
  <si>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</si>
  <si>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</si>
  <si>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</si>
  <si>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</si>
  <si>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</si>
  <si>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</si>
  <si>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</si>
  <si>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</si>
  <si>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</si>
  <si>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</si>
  <si>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</si>
  <si>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</si>
  <si>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</si>
  <si>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</si>
  <si>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</si>
  <si>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</si>
  <si>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</si>
  <si>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</si>
  <si>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</si>
  <si>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</si>
  <si>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</si>
  <si>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</si>
  <si>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</si>
  <si>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</si>
  <si>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</si>
  <si>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</si>
  <si>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</si>
  <si>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</si>
  <si>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</si>
  <si>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</si>
  <si>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</si>
  <si>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</si>
  <si>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</si>
  <si>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</si>
  <si>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</si>
  <si>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</si>
  <si>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</si>
  <si>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</si>
  <si>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</si>
  <si>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</si>
  <si>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</si>
  <si>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</si>
  <si>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</si>
  <si>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</si>
  <si>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</si>
  <si>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</si>
  <si>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</si>
  <si>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</si>
  <si>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</si>
  <si>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</si>
  <si>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</si>
  <si>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</si>
  <si>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</si>
  <si>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</si>
  <si>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</si>
  <si>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</si>
  <si>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</si>
  <si>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</si>
  <si>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</si>
  <si>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</si>
  <si>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</si>
  <si>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</si>
  <si>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</si>
  <si>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</si>
  <si>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</si>
  <si>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</si>
  <si>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</si>
  <si>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</si>
  <si>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</si>
  <si>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</si>
  <si>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</si>
  <si>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</si>
  <si>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</si>
  <si>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</si>
  <si>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</si>
  <si>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</si>
  <si>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</si>
  <si>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</si>
  <si>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</si>
  <si>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</si>
  <si>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</si>
  <si>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</si>
  <si>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</si>
  <si>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</si>
  <si>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</si>
  <si>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</si>
  <si>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</si>
  <si>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</si>
  <si>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</si>
  <si>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</si>
  <si>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</si>
  <si>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</si>
  <si>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</si>
  <si>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</si>
  <si>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</si>
  <si>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</si>
  <si>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</si>
  <si>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</si>
  <si>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</si>
  <si>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</si>
  <si>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</si>
  <si>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</si>
  <si>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</si>
  <si>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</si>
  <si>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</si>
  <si>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</si>
  <si>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</si>
  <si>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</si>
  <si>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</si>
  <si>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</si>
  <si>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</si>
  <si>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</si>
  <si>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</si>
  <si>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</si>
  <si>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</si>
  <si>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</si>
  <si>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</si>
  <si>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</si>
  <si>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</si>
  <si>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</si>
  <si>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</si>
  <si>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</si>
  <si>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</si>
  <si>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</si>
  <si>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</si>
  <si>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</si>
  <si>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</si>
  <si>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</si>
  <si>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</si>
  <si>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</si>
  <si>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</si>
  <si>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</si>
  <si>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</si>
  <si>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</si>
  <si>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</si>
  <si>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</si>
  <si>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</si>
  <si>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</si>
  <si>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</si>
  <si>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</si>
  <si>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</si>
  <si>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</si>
  <si>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</si>
  <si>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</si>
  <si>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</si>
  <si>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</si>
  <si>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</si>
  <si>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</si>
  <si>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</si>
  <si>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</si>
  <si>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</si>
  <si>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</si>
  <si>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</si>
  <si>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</si>
  <si>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</si>
  <si>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</si>
  <si>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</si>
  <si>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</si>
  <si>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</si>
  <si>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</si>
  <si>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</si>
  <si>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</si>
  <si>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</si>
  <si>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</si>
  <si>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</si>
  <si>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</si>
  <si>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</si>
  <si>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</si>
  <si>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</si>
  <si>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</si>
  <si>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</si>
  <si>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</si>
  <si>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</si>
  <si>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</si>
  <si>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</si>
  <si>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</si>
  <si>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</si>
  <si>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</si>
  <si>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</si>
  <si>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</si>
  <si>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</si>
  <si>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</si>
  <si>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</si>
  <si>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</si>
  <si>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</si>
  <si>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</si>
  <si>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</si>
  <si>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</si>
  <si>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</si>
  <si>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</si>
  <si>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</si>
  <si>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</si>
  <si>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</si>
  <si>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</si>
  <si>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</si>
  <si>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</si>
  <si>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</si>
  <si>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</si>
  <si>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</si>
  <si>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</si>
  <si>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</si>
  <si>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</si>
  <si>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</si>
  <si>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</si>
  <si>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</si>
  <si>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</si>
  <si>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</si>
  <si>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</si>
  <si>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</si>
  <si>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</si>
  <si>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</si>
  <si>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</si>
  <si>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</si>
  <si>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</si>
  <si>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</si>
  <si>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</si>
  <si>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</si>
  <si>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</si>
  <si>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</si>
  <si>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</si>
  <si>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</si>
  <si>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</si>
  <si>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</si>
  <si>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</si>
  <si>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</si>
  <si>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</si>
  <si>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</si>
  <si>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</si>
  <si>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</si>
  <si>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</si>
  <si>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</si>
  <si>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</si>
  <si>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</si>
  <si>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</si>
  <si>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</si>
  <si>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</si>
  <si>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</si>
  <si>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</si>
  <si>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</si>
  <si>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</si>
  <si>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</si>
  <si>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</si>
  <si>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</si>
  <si>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</si>
  <si>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</si>
  <si>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</si>
  <si>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</si>
  <si>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</si>
  <si>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</si>
  <si>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</si>
  <si>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</si>
  <si>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</si>
  <si>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</si>
  <si>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</si>
  <si>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</si>
  <si>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</si>
  <si>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</si>
  <si>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</si>
  <si>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</si>
  <si>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</si>
  <si>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</si>
  <si>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</si>
  <si>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</si>
  <si>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</si>
  <si>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</si>
  <si>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</si>
  <si>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</si>
  <si>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</si>
  <si>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</si>
  <si>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</si>
  <si>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</si>
  <si>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</si>
  <si>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</si>
  <si>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</si>
  <si>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</si>
  <si>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</si>
  <si>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</si>
  <si>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</si>
  <si>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</si>
  <si>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</si>
  <si>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</si>
  <si>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</si>
  <si>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</si>
  <si>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</si>
  <si>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</si>
  <si>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</si>
  <si>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</si>
  <si>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</si>
  <si>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</si>
  <si>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</si>
  <si>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</si>
  <si>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</si>
  <si>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</si>
  <si>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</si>
  <si>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</si>
  <si>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</si>
  <si>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</si>
  <si>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</si>
  <si>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</si>
  <si>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</si>
  <si>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</si>
  <si>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</si>
  <si>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</si>
  <si>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</si>
  <si>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</si>
  <si>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</si>
  <si>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</si>
  <si>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</si>
  <si>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</si>
  <si>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</si>
  <si>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</si>
  <si>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</si>
  <si>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</si>
  <si>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</si>
  <si>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</si>
  <si>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</si>
  <si>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</si>
  <si>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</si>
  <si>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</si>
  <si>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</si>
  <si>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</si>
  <si>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</si>
  <si>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</si>
  <si>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</si>
  <si>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</si>
  <si>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</si>
  <si>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</si>
  <si>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</si>
  <si>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</si>
  <si>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</si>
  <si>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</si>
  <si>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</si>
  <si>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</si>
  <si>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</si>
  <si>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</si>
  <si>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</si>
  <si>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</si>
  <si>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</si>
  <si>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</si>
  <si>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</si>
  <si>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</si>
  <si>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</si>
  <si>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</si>
  <si>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</si>
  <si>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</si>
  <si>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</si>
  <si>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</si>
  <si>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</si>
  <si>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</si>
  <si>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</si>
  <si>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</si>
  <si>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</si>
  <si>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</si>
  <si>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</si>
  <si>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</si>
  <si>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</si>
  <si>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</si>
  <si>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</si>
  <si>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</si>
  <si>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</si>
  <si>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</si>
  <si>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</si>
  <si>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</si>
  <si>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</si>
  <si>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</si>
  <si>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</si>
  <si>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</si>
  <si>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</si>
  <si>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</si>
  <si>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</si>
  <si>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</si>
  <si>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</si>
  <si>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</si>
  <si>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</si>
  <si>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</si>
  <si>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</si>
  <si>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</si>
  <si>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</si>
  <si>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</si>
  <si>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</si>
  <si>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</si>
  <si>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</si>
  <si>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</si>
  <si>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</si>
  <si>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</si>
  <si>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</si>
  <si>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</si>
  <si>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</si>
  <si>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</si>
  <si>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</si>
  <si>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</si>
  <si>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</si>
  <si>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</si>
  <si>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</si>
  <si>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</si>
  <si>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</si>
  <si>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</si>
  <si>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</si>
  <si>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</si>
  <si>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</si>
  <si>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</si>
  <si>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</si>
  <si>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</si>
  <si>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</si>
  <si>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</si>
  <si>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</si>
  <si>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</si>
  <si>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</si>
  <si>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</si>
  <si>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</si>
  <si>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</si>
  <si>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</si>
  <si>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</si>
  <si>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</si>
  <si>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</si>
  <si>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</si>
  <si>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</si>
  <si>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</si>
  <si>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</si>
  <si>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</si>
  <si>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</si>
  <si>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</si>
  <si>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</si>
  <si>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</si>
  <si>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</si>
  <si>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</si>
  <si>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</si>
  <si>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</si>
  <si>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</si>
  <si>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</si>
  <si>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</si>
  <si>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</si>
  <si>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</si>
  <si>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</si>
  <si>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</si>
  <si>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</si>
  <si>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</si>
  <si>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</si>
  <si>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</si>
  <si>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</si>
  <si>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</si>
  <si>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</si>
  <si>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</si>
  <si>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</si>
  <si>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</si>
  <si>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</si>
  <si>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</si>
  <si>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</si>
  <si>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</si>
  <si>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</si>
  <si>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</si>
  <si>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</si>
  <si>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</si>
  <si>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</si>
  <si>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</si>
  <si>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</si>
  <si>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</si>
  <si>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</si>
  <si>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</si>
  <si>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</si>
  <si>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</si>
  <si>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</si>
  <si>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</si>
  <si>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</si>
  <si>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</si>
  <si>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</si>
  <si>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</si>
  <si>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</si>
  <si>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</si>
  <si>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</si>
  <si>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</si>
  <si>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</si>
  <si>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</si>
  <si>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</si>
  <si>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</si>
  <si>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</si>
  <si>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</si>
  <si>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</si>
  <si>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</si>
  <si>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</si>
  <si>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</si>
  <si>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</si>
  <si>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</si>
  <si>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</si>
  <si>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</si>
  <si>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</si>
  <si>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</si>
  <si>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</si>
  <si>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</si>
  <si>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</si>
  <si>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</si>
  <si>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</si>
  <si>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</si>
  <si>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</si>
  <si>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</si>
  <si>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</si>
  <si>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</si>
  <si>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</si>
  <si>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</si>
  <si>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</si>
  <si>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</si>
  <si>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</si>
  <si>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</si>
  <si>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</si>
  <si>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</si>
  <si>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</si>
  <si>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</si>
  <si>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</si>
  <si>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</si>
  <si>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</si>
  <si>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</si>
  <si>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</si>
  <si>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</si>
  <si>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</si>
  <si>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</si>
  <si>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</si>
  <si>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</si>
  <si>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</si>
  <si>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</si>
  <si>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</si>
  <si>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</si>
  <si>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</si>
  <si>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</si>
  <si>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</si>
  <si>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</si>
  <si>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</si>
  <si>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</si>
  <si>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</si>
  <si>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</si>
  <si>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</si>
  <si>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</si>
  <si>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</si>
  <si>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</si>
  <si>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</si>
  <si>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</si>
  <si>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</si>
  <si>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</si>
  <si>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</si>
  <si>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</si>
  <si>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</si>
  <si>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</si>
  <si>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</si>
  <si>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</si>
  <si>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</si>
  <si>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</si>
  <si>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</si>
  <si>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</si>
  <si>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</si>
  <si>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</si>
  <si>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</si>
  <si>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</si>
  <si>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</si>
  <si>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</si>
  <si>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</si>
  <si>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</si>
  <si>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</si>
  <si>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</si>
  <si>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</si>
  <si>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</si>
  <si>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</si>
  <si>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</si>
  <si>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</si>
  <si>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</si>
  <si>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</si>
  <si>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</si>
  <si>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</si>
  <si>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</si>
  <si>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</si>
  <si>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</si>
  <si>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</si>
  <si>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</si>
  <si>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</si>
  <si>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</si>
  <si>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</si>
  <si>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</si>
  <si>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</si>
  <si>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</si>
  <si>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</si>
  <si>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</si>
  <si>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</si>
  <si>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</si>
  <si>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</si>
  <si>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</si>
  <si>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</si>
  <si>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</si>
  <si>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</si>
  <si>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</si>
  <si>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</si>
  <si>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</si>
  <si>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</si>
  <si>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</si>
  <si>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</si>
  <si>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</si>
  <si>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</si>
  <si>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</si>
  <si>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</si>
  <si>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</si>
  <si>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</si>
  <si>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</si>
  <si>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</si>
  <si>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</si>
  <si>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</si>
  <si>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</si>
  <si>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</si>
  <si>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</si>
  <si>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</si>
  <si>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</si>
  <si>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</si>
  <si>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</si>
  <si>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</si>
  <si>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</si>
  <si>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</si>
  <si>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</si>
  <si>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</si>
  <si>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</si>
  <si>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</si>
  <si>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</si>
  <si>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</si>
  <si>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</si>
  <si>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</si>
  <si>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</si>
  <si>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</si>
  <si>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</si>
  <si>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</si>
  <si>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</si>
  <si>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</si>
  <si>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</si>
  <si>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</si>
  <si>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</si>
  <si>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</si>
  <si>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</si>
  <si>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</si>
  <si>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</si>
  <si>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</si>
  <si>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</si>
  <si>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</si>
  <si>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</si>
  <si>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</si>
  <si>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</si>
  <si>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</si>
  <si>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</si>
  <si>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</si>
  <si>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</si>
  <si>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</si>
  <si>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</si>
  <si>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</si>
  <si>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</si>
  <si>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</si>
  <si>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</si>
  <si>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</si>
  <si>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</si>
  <si>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</si>
  <si>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</si>
  <si>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</si>
  <si>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</si>
  <si>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</si>
  <si>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</si>
  <si>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</si>
  <si>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</si>
  <si>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</si>
  <si>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</si>
  <si>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</si>
  <si>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</si>
  <si>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</si>
  <si>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</si>
  <si>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</si>
  <si>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</si>
  <si>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</si>
  <si>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</si>
  <si>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</si>
  <si>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</si>
  <si>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</si>
  <si>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</si>
  <si>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23081</t>
  </si>
  <si>
    <t>STEENOKKERZEEL</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</si>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</sst>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88821.934014573868</c:v>
                </c:pt>
                <c:pt idx="1">
                  <c:v>61456.313105215908</c:v>
                </c:pt>
                <c:pt idx="2">
                  <c:v>951.86800000000005</c:v>
                </c:pt>
                <c:pt idx="3">
                  <c:v>2016.0595484245496</c:v>
                </c:pt>
                <c:pt idx="4">
                  <c:v>2951.7658362727557</c:v>
                </c:pt>
                <c:pt idx="5">
                  <c:v>109093.77715562245</c:v>
                </c:pt>
                <c:pt idx="6">
                  <c:v>5184.4771583342899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94624"/>
        <c:axId val="181996160"/>
      </c:barChart>
      <c:catAx>
        <c:axId val="181994624"/>
        <c:scaling>
          <c:orientation val="minMax"/>
        </c:scaling>
        <c:axPos val="b"/>
        <c:numFmt formatCode="General" sourceLinked="0"/>
        <c:tickLblPos val="nextTo"/>
        <c:crossAx val="181996160"/>
        <c:crosses val="autoZero"/>
        <c:auto val="1"/>
        <c:lblAlgn val="ctr"/>
        <c:lblOffset val="100"/>
      </c:catAx>
      <c:valAx>
        <c:axId val="181996160"/>
        <c:scaling>
          <c:orientation val="minMax"/>
        </c:scaling>
        <c:axPos val="l"/>
        <c:majorGridlines/>
        <c:numFmt formatCode="#,##0" sourceLinked="1"/>
        <c:tickLblPos val="nextTo"/>
        <c:crossAx val="1819946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88821.934014573868</c:v>
                </c:pt>
                <c:pt idx="1">
                  <c:v>61456.313105215908</c:v>
                </c:pt>
                <c:pt idx="2">
                  <c:v>951.86800000000005</c:v>
                </c:pt>
                <c:pt idx="3">
                  <c:v>2016.0595484245496</c:v>
                </c:pt>
                <c:pt idx="4">
                  <c:v>2951.7658362727557</c:v>
                </c:pt>
                <c:pt idx="5">
                  <c:v>109093.77715562245</c:v>
                </c:pt>
                <c:pt idx="6">
                  <c:v>5184.4771583342899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16203.161707219875</c:v>
                </c:pt>
                <c:pt idx="1">
                  <c:v>12464.507991547438</c:v>
                </c:pt>
                <c:pt idx="2">
                  <c:v>196.62766749435553</c:v>
                </c:pt>
                <c:pt idx="3">
                  <c:v>516.97222540905113</c:v>
                </c:pt>
                <c:pt idx="4">
                  <c:v>614.52963805320076</c:v>
                </c:pt>
                <c:pt idx="5">
                  <c:v>27162.380034530714</c:v>
                </c:pt>
                <c:pt idx="6">
                  <c:v>1311.3693478279315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13664"/>
        <c:axId val="182515200"/>
      </c:barChart>
      <c:catAx>
        <c:axId val="182513664"/>
        <c:scaling>
          <c:orientation val="minMax"/>
        </c:scaling>
        <c:axPos val="b"/>
        <c:numFmt formatCode="General" sourceLinked="0"/>
        <c:tickLblPos val="nextTo"/>
        <c:crossAx val="182515200"/>
        <c:crosses val="autoZero"/>
        <c:auto val="1"/>
        <c:lblAlgn val="ctr"/>
        <c:lblOffset val="100"/>
      </c:catAx>
      <c:valAx>
        <c:axId val="182515200"/>
        <c:scaling>
          <c:orientation val="minMax"/>
        </c:scaling>
        <c:axPos val="l"/>
        <c:majorGridlines/>
        <c:numFmt formatCode="#,##0" sourceLinked="1"/>
        <c:tickLblPos val="nextTo"/>
        <c:crossAx val="1825136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16203.161707219875</c:v>
                </c:pt>
                <c:pt idx="1">
                  <c:v>12464.507991547438</c:v>
                </c:pt>
                <c:pt idx="2">
                  <c:v>196.62766749435553</c:v>
                </c:pt>
                <c:pt idx="3">
                  <c:v>516.97222540905113</c:v>
                </c:pt>
                <c:pt idx="4">
                  <c:v>614.52963805320076</c:v>
                </c:pt>
                <c:pt idx="5">
                  <c:v>27162.380034530714</c:v>
                </c:pt>
                <c:pt idx="6">
                  <c:v>1311.3693478279315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23081</v>
      </c>
      <c r="B6" s="415"/>
      <c r="C6" s="416"/>
    </row>
    <row r="7" spans="1:7" s="413" customFormat="1" ht="15.75" customHeight="1">
      <c r="A7" s="417" t="str">
        <f>txtMunicipality</f>
        <v>STEENOKKERZEEL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0.20657030963784426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0.20657030963784426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4691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693</v>
      </c>
    </row>
    <row r="15" spans="1:6">
      <c r="A15" s="348" t="s">
        <v>183</v>
      </c>
      <c r="B15" s="334">
        <v>0</v>
      </c>
    </row>
    <row r="16" spans="1:6">
      <c r="A16" s="348" t="s">
        <v>6</v>
      </c>
      <c r="B16" s="334">
        <v>0</v>
      </c>
    </row>
    <row r="17" spans="1:6">
      <c r="A17" s="348" t="s">
        <v>7</v>
      </c>
      <c r="B17" s="334">
        <v>17</v>
      </c>
    </row>
    <row r="18" spans="1:6">
      <c r="A18" s="348" t="s">
        <v>8</v>
      </c>
      <c r="B18" s="334">
        <v>12</v>
      </c>
    </row>
    <row r="19" spans="1:6">
      <c r="A19" s="348" t="s">
        <v>9</v>
      </c>
      <c r="B19" s="334">
        <v>13</v>
      </c>
    </row>
    <row r="20" spans="1:6">
      <c r="A20" s="348" t="s">
        <v>10</v>
      </c>
      <c r="B20" s="334">
        <v>31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46</v>
      </c>
    </row>
    <row r="27" spans="1:6">
      <c r="A27" s="348" t="s">
        <v>17</v>
      </c>
      <c r="B27" s="334">
        <v>5</v>
      </c>
    </row>
    <row r="28" spans="1:6" s="356" customFormat="1">
      <c r="A28" s="355" t="s">
        <v>18</v>
      </c>
      <c r="B28" s="355">
        <v>0</v>
      </c>
    </row>
    <row r="29" spans="1:6">
      <c r="A29" s="355" t="s">
        <v>713</v>
      </c>
      <c r="B29" s="355">
        <v>21</v>
      </c>
      <c r="C29" s="356"/>
      <c r="D29" s="356"/>
      <c r="E29" s="356"/>
      <c r="F29" s="356"/>
    </row>
    <row r="30" spans="1:6">
      <c r="A30" s="341" t="s">
        <v>714</v>
      </c>
      <c r="B30" s="341">
        <v>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4</v>
      </c>
      <c r="F36" s="334">
        <v>9307</v>
      </c>
    </row>
    <row r="37" spans="1:6">
      <c r="A37" s="348" t="s">
        <v>24</v>
      </c>
      <c r="B37" s="348" t="s">
        <v>27</v>
      </c>
      <c r="C37" s="334">
        <v>0</v>
      </c>
      <c r="D37" s="334">
        <v>0</v>
      </c>
      <c r="E37" s="334">
        <v>0</v>
      </c>
      <c r="F37" s="334">
        <v>0</v>
      </c>
    </row>
    <row r="38" spans="1:6">
      <c r="A38" s="348" t="s">
        <v>24</v>
      </c>
      <c r="B38" s="348" t="s">
        <v>28</v>
      </c>
      <c r="C38" s="334">
        <v>0</v>
      </c>
      <c r="D38" s="334">
        <v>0</v>
      </c>
      <c r="E38" s="334">
        <v>2</v>
      </c>
      <c r="F38" s="334">
        <v>3375</v>
      </c>
    </row>
    <row r="39" spans="1:6">
      <c r="A39" s="348" t="s">
        <v>29</v>
      </c>
      <c r="B39" s="348" t="s">
        <v>30</v>
      </c>
      <c r="C39" s="334">
        <v>3504</v>
      </c>
      <c r="D39" s="334">
        <v>62364557.600000001</v>
      </c>
      <c r="E39" s="334">
        <v>4719</v>
      </c>
      <c r="F39" s="334">
        <v>17425395.449999999</v>
      </c>
    </row>
    <row r="40" spans="1:6">
      <c r="A40" s="348" t="s">
        <v>29</v>
      </c>
      <c r="B40" s="348" t="s">
        <v>28</v>
      </c>
      <c r="C40" s="334">
        <v>0</v>
      </c>
      <c r="D40" s="334">
        <v>0</v>
      </c>
      <c r="E40" s="334">
        <v>0</v>
      </c>
      <c r="F40" s="334">
        <v>0</v>
      </c>
    </row>
    <row r="41" spans="1:6">
      <c r="A41" s="348" t="s">
        <v>31</v>
      </c>
      <c r="B41" s="348" t="s">
        <v>32</v>
      </c>
      <c r="C41" s="334">
        <v>34</v>
      </c>
      <c r="D41" s="334">
        <v>764602</v>
      </c>
      <c r="E41" s="334">
        <v>59</v>
      </c>
      <c r="F41" s="334">
        <v>318599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18</v>
      </c>
      <c r="F44" s="334">
        <v>385898</v>
      </c>
    </row>
    <row r="45" spans="1:6">
      <c r="A45" s="348" t="s">
        <v>31</v>
      </c>
      <c r="B45" s="348" t="s">
        <v>36</v>
      </c>
      <c r="C45" s="334">
        <v>0</v>
      </c>
      <c r="D45" s="334">
        <v>0</v>
      </c>
      <c r="E45" s="334">
        <v>3</v>
      </c>
      <c r="F45" s="334">
        <v>6336</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5</v>
      </c>
      <c r="D48" s="334">
        <v>103844</v>
      </c>
      <c r="E48" s="334">
        <v>2</v>
      </c>
      <c r="F48" s="334">
        <v>7946</v>
      </c>
    </row>
    <row r="49" spans="1:6">
      <c r="A49" s="348" t="s">
        <v>31</v>
      </c>
      <c r="B49" s="348" t="s">
        <v>39</v>
      </c>
      <c r="C49" s="334">
        <v>0</v>
      </c>
      <c r="D49" s="334">
        <v>0</v>
      </c>
      <c r="E49" s="334">
        <v>0</v>
      </c>
      <c r="F49" s="334">
        <v>0</v>
      </c>
    </row>
    <row r="50" spans="1:6">
      <c r="A50" s="348" t="s">
        <v>31</v>
      </c>
      <c r="B50" s="348" t="s">
        <v>40</v>
      </c>
      <c r="C50" s="334">
        <v>6</v>
      </c>
      <c r="D50" s="334">
        <v>748942.17200000002</v>
      </c>
      <c r="E50" s="334">
        <v>8</v>
      </c>
      <c r="F50" s="334">
        <v>312055</v>
      </c>
    </row>
    <row r="51" spans="1:6">
      <c r="A51" s="348" t="s">
        <v>41</v>
      </c>
      <c r="B51" s="348" t="s">
        <v>42</v>
      </c>
      <c r="C51" s="334">
        <v>4</v>
      </c>
      <c r="D51" s="334">
        <v>108733</v>
      </c>
      <c r="E51" s="334">
        <v>19</v>
      </c>
      <c r="F51" s="334">
        <v>396209.62099999998</v>
      </c>
    </row>
    <row r="52" spans="1:6">
      <c r="A52" s="348" t="s">
        <v>41</v>
      </c>
      <c r="B52" s="348" t="s">
        <v>28</v>
      </c>
      <c r="C52" s="334">
        <v>0</v>
      </c>
      <c r="D52" s="334">
        <v>0</v>
      </c>
      <c r="E52" s="334">
        <v>0</v>
      </c>
      <c r="F52" s="334">
        <v>0</v>
      </c>
    </row>
    <row r="53" spans="1:6">
      <c r="A53" s="348" t="s">
        <v>43</v>
      </c>
      <c r="B53" s="348" t="s">
        <v>44</v>
      </c>
      <c r="C53" s="334">
        <v>36</v>
      </c>
      <c r="D53" s="334">
        <v>907561.2</v>
      </c>
      <c r="E53" s="334">
        <v>62</v>
      </c>
      <c r="F53" s="334">
        <v>297682.7</v>
      </c>
    </row>
    <row r="54" spans="1:6">
      <c r="A54" s="348" t="s">
        <v>45</v>
      </c>
      <c r="B54" s="348" t="s">
        <v>46</v>
      </c>
      <c r="C54" s="334">
        <v>0</v>
      </c>
      <c r="D54" s="334">
        <v>0</v>
      </c>
      <c r="E54" s="334">
        <v>1</v>
      </c>
      <c r="F54" s="334">
        <v>951868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37</v>
      </c>
      <c r="D57" s="334">
        <v>3579004</v>
      </c>
      <c r="E57" s="334">
        <v>64</v>
      </c>
      <c r="F57" s="334">
        <v>1647531</v>
      </c>
    </row>
    <row r="58" spans="1:6">
      <c r="A58" s="348" t="s">
        <v>48</v>
      </c>
      <c r="B58" s="348" t="s">
        <v>50</v>
      </c>
      <c r="C58" s="334">
        <v>19</v>
      </c>
      <c r="D58" s="334">
        <v>2365960.3790000002</v>
      </c>
      <c r="E58" s="334">
        <v>22</v>
      </c>
      <c r="F58" s="334">
        <v>1521425</v>
      </c>
    </row>
    <row r="59" spans="1:6">
      <c r="A59" s="348" t="s">
        <v>48</v>
      </c>
      <c r="B59" s="348" t="s">
        <v>51</v>
      </c>
      <c r="C59" s="334">
        <v>60</v>
      </c>
      <c r="D59" s="334">
        <v>2318111.855</v>
      </c>
      <c r="E59" s="334">
        <v>112</v>
      </c>
      <c r="F59" s="334">
        <v>3274148.04</v>
      </c>
    </row>
    <row r="60" spans="1:6">
      <c r="A60" s="348" t="s">
        <v>48</v>
      </c>
      <c r="B60" s="348" t="s">
        <v>52</v>
      </c>
      <c r="C60" s="334">
        <v>34</v>
      </c>
      <c r="D60" s="334">
        <v>1414378</v>
      </c>
      <c r="E60" s="334">
        <v>43</v>
      </c>
      <c r="F60" s="334">
        <v>818008.03500000003</v>
      </c>
    </row>
    <row r="61" spans="1:6">
      <c r="A61" s="348" t="s">
        <v>48</v>
      </c>
      <c r="B61" s="348" t="s">
        <v>53</v>
      </c>
      <c r="C61" s="334">
        <v>135</v>
      </c>
      <c r="D61" s="334">
        <v>25936912.557999998</v>
      </c>
      <c r="E61" s="334">
        <v>232</v>
      </c>
      <c r="F61" s="334">
        <v>17193227.442000002</v>
      </c>
    </row>
    <row r="62" spans="1:6">
      <c r="A62" s="348" t="s">
        <v>48</v>
      </c>
      <c r="B62" s="348" t="s">
        <v>54</v>
      </c>
      <c r="C62" s="334">
        <v>6</v>
      </c>
      <c r="D62" s="334">
        <v>422278</v>
      </c>
      <c r="E62" s="334">
        <v>7</v>
      </c>
      <c r="F62" s="334">
        <v>80734.172999999995</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68218</v>
      </c>
      <c r="E65" s="334">
        <v>1</v>
      </c>
      <c r="F65" s="334">
        <v>2600</v>
      </c>
    </row>
    <row r="66" spans="1:6">
      <c r="A66" s="348" t="s">
        <v>55</v>
      </c>
      <c r="B66" s="348" t="s">
        <v>57</v>
      </c>
      <c r="C66" s="334">
        <v>0</v>
      </c>
      <c r="D66" s="334">
        <v>0</v>
      </c>
      <c r="E66" s="334">
        <v>11</v>
      </c>
      <c r="F66" s="334">
        <v>223487.14799999999</v>
      </c>
    </row>
    <row r="67" spans="1:6">
      <c r="A67" s="355" t="s">
        <v>55</v>
      </c>
      <c r="B67" s="355" t="s">
        <v>58</v>
      </c>
      <c r="C67" s="334">
        <v>0</v>
      </c>
      <c r="D67" s="334">
        <v>0</v>
      </c>
      <c r="E67" s="334">
        <v>0</v>
      </c>
      <c r="F67" s="334">
        <v>0</v>
      </c>
    </row>
    <row r="68" spans="1:6">
      <c r="A68" s="341" t="s">
        <v>55</v>
      </c>
      <c r="B68" s="341" t="s">
        <v>59</v>
      </c>
      <c r="C68" s="334">
        <v>0</v>
      </c>
      <c r="D68" s="334">
        <v>0</v>
      </c>
      <c r="E68" s="334">
        <v>8</v>
      </c>
      <c r="F68" s="334">
        <v>131176</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81325341</v>
      </c>
      <c r="E73" s="476"/>
    </row>
    <row r="74" spans="1:6">
      <c r="A74" s="348" t="s">
        <v>63</v>
      </c>
      <c r="B74" s="348" t="s">
        <v>651</v>
      </c>
      <c r="C74" s="1307" t="s">
        <v>653</v>
      </c>
      <c r="D74" s="476">
        <v>8870078</v>
      </c>
      <c r="E74" s="476"/>
    </row>
    <row r="75" spans="1:6">
      <c r="A75" s="348" t="s">
        <v>64</v>
      </c>
      <c r="B75" s="348" t="s">
        <v>650</v>
      </c>
      <c r="C75" s="1307" t="s">
        <v>654</v>
      </c>
      <c r="D75" s="476">
        <v>12488965</v>
      </c>
      <c r="E75" s="476"/>
    </row>
    <row r="76" spans="1:6">
      <c r="A76" s="348" t="s">
        <v>64</v>
      </c>
      <c r="B76" s="348" t="s">
        <v>651</v>
      </c>
      <c r="C76" s="1307" t="s">
        <v>655</v>
      </c>
      <c r="D76" s="476">
        <v>1232667</v>
      </c>
      <c r="E76" s="476"/>
    </row>
    <row r="77" spans="1:6">
      <c r="A77" s="348" t="s">
        <v>65</v>
      </c>
      <c r="B77" s="348" t="s">
        <v>650</v>
      </c>
      <c r="C77" s="1307" t="s">
        <v>656</v>
      </c>
      <c r="D77" s="476">
        <v>21276608</v>
      </c>
      <c r="E77" s="476"/>
    </row>
    <row r="78" spans="1:6">
      <c r="A78" s="341" t="s">
        <v>65</v>
      </c>
      <c r="B78" s="341" t="s">
        <v>651</v>
      </c>
      <c r="C78" s="341" t="s">
        <v>657</v>
      </c>
      <c r="D78" s="1308">
        <v>2658066</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1440314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2725.7364394735114</v>
      </c>
    </row>
    <row r="92" spans="1:6">
      <c r="A92" s="341" t="s">
        <v>68</v>
      </c>
      <c r="B92" s="342">
        <v>370.79027485345591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2145</v>
      </c>
    </row>
    <row r="98" spans="1:6">
      <c r="A98" s="348" t="s">
        <v>71</v>
      </c>
      <c r="B98" s="334">
        <v>2</v>
      </c>
    </row>
    <row r="99" spans="1:6">
      <c r="A99" s="348" t="s">
        <v>72</v>
      </c>
      <c r="B99" s="334">
        <v>23</v>
      </c>
    </row>
    <row r="100" spans="1:6">
      <c r="A100" s="348" t="s">
        <v>73</v>
      </c>
      <c r="B100" s="334">
        <v>286</v>
      </c>
    </row>
    <row r="101" spans="1:6">
      <c r="A101" s="348" t="s">
        <v>74</v>
      </c>
      <c r="B101" s="334">
        <v>40</v>
      </c>
    </row>
    <row r="102" spans="1:6">
      <c r="A102" s="348" t="s">
        <v>75</v>
      </c>
      <c r="B102" s="334">
        <v>36</v>
      </c>
    </row>
    <row r="103" spans="1:6">
      <c r="A103" s="348" t="s">
        <v>76</v>
      </c>
      <c r="B103" s="334">
        <v>58</v>
      </c>
    </row>
    <row r="104" spans="1:6">
      <c r="A104" s="348" t="s">
        <v>77</v>
      </c>
      <c r="B104" s="334">
        <v>1330</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2</v>
      </c>
      <c r="C121" s="334">
        <v>0</v>
      </c>
    </row>
    <row r="122" spans="1:6">
      <c r="A122" s="348" t="s">
        <v>86</v>
      </c>
      <c r="B122" s="334">
        <v>0</v>
      </c>
      <c r="C122" s="334">
        <v>0</v>
      </c>
    </row>
    <row r="123" spans="1:6">
      <c r="A123" s="348" t="s">
        <v>87</v>
      </c>
      <c r="B123" s="334">
        <v>14</v>
      </c>
      <c r="C123" s="334">
        <v>12</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51</v>
      </c>
    </row>
    <row r="130" spans="1:6">
      <c r="A130" s="348" t="s">
        <v>294</v>
      </c>
      <c r="B130" s="334">
        <v>0</v>
      </c>
    </row>
    <row r="131" spans="1:6">
      <c r="A131" s="348" t="s">
        <v>295</v>
      </c>
      <c r="B131" s="334">
        <v>1</v>
      </c>
    </row>
    <row r="132" spans="1:6">
      <c r="A132" s="341" t="s">
        <v>296</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47425.300660715176</v>
      </c>
      <c r="C3" s="43" t="s">
        <v>169</v>
      </c>
      <c r="D3" s="43"/>
      <c r="E3" s="154"/>
      <c r="F3" s="43"/>
      <c r="G3" s="43"/>
      <c r="H3" s="43"/>
      <c r="I3" s="43"/>
      <c r="J3" s="43"/>
      <c r="K3" s="96"/>
    </row>
    <row r="4" spans="1:11">
      <c r="A4" s="383" t="s">
        <v>170</v>
      </c>
      <c r="B4" s="49">
        <f>IF(ISERROR('SEAP template'!B78+'SEAP template'!C78),0,'SEAP template'!B78+'SEAP template'!C78)</f>
        <v>3096.5267143269675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0.20657030963784426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951.86800000000005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951.86800000000005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0.20657030963784426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196.62766749435553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17425.39545</v>
      </c>
      <c r="C5" s="17">
        <f>IF(ISERROR('Eigen informatie GS &amp; warmtenet'!B59),0,'Eigen informatie GS &amp; warmtenet'!B59)</f>
        <v>0</v>
      </c>
      <c r="D5" s="30">
        <f>(SUM(HH_hh_gas_kWh,HH_rest_gas_kWh)/1000)*0.902</f>
        <v>56252.830955199999</v>
      </c>
      <c r="E5" s="17">
        <f>B46*B57</f>
        <v>2984.4242304312479</v>
      </c>
      <c r="F5" s="17">
        <f>B51*B62</f>
        <v>0</v>
      </c>
      <c r="G5" s="18"/>
      <c r="H5" s="17"/>
      <c r="I5" s="17"/>
      <c r="J5" s="17">
        <f>B50*B61+C50*C61</f>
        <v>0</v>
      </c>
      <c r="K5" s="17"/>
      <c r="L5" s="17"/>
      <c r="M5" s="17"/>
      <c r="N5" s="17">
        <f>B48*B59+C48*C59</f>
        <v>8982.0048331094895</v>
      </c>
      <c r="O5" s="17">
        <f>B69*B70*B71</f>
        <v>124.98936782138301</v>
      </c>
      <c r="P5" s="17">
        <f>B77*B78*B79/1000-B77*B78*B79/1000/B80</f>
        <v>326.5527385382357</v>
      </c>
    </row>
    <row r="6" spans="1:16">
      <c r="A6" s="16" t="s">
        <v>615</v>
      </c>
      <c r="B6" s="809">
        <f>kWh_PV_kleiner_dan_10kW</f>
        <v>2725.7364394735114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20151.131889473512</v>
      </c>
      <c r="C8" s="21">
        <f>C5</f>
        <v>0</v>
      </c>
      <c r="D8" s="21">
        <f>D5</f>
        <v>56252.830955199999</v>
      </c>
      <c r="E8" s="21">
        <f>E5</f>
        <v>2984.4242304312479</v>
      </c>
      <c r="F8" s="21">
        <f>F5</f>
        <v>0</v>
      </c>
      <c r="G8" s="21"/>
      <c r="H8" s="21"/>
      <c r="I8" s="21"/>
      <c r="J8" s="21">
        <f>J5</f>
        <v>0</v>
      </c>
      <c r="K8" s="21"/>
      <c r="L8" s="21">
        <f>L5</f>
        <v>0</v>
      </c>
      <c r="M8" s="21">
        <f>M5</f>
        <v>0</v>
      </c>
      <c r="N8" s="21">
        <f>N5</f>
        <v>8982.0048331094895</v>
      </c>
      <c r="O8" s="21">
        <f>O5</f>
        <v>124.98936782138301</v>
      </c>
      <c r="P8" s="21">
        <f>P5</f>
        <v>326.5527385382357</v>
      </c>
    </row>
    <row r="9" spans="1:16">
      <c r="B9" s="19"/>
      <c r="C9" s="19"/>
      <c r="D9" s="258"/>
      <c r="E9" s="19"/>
      <c r="F9" s="19"/>
      <c r="G9" s="19"/>
      <c r="H9" s="19"/>
      <c r="I9" s="19"/>
      <c r="J9" s="19"/>
      <c r="K9" s="19"/>
      <c r="L9" s="19"/>
      <c r="M9" s="19"/>
      <c r="N9" s="19"/>
      <c r="O9" s="19"/>
      <c r="P9" s="19"/>
    </row>
    <row r="10" spans="1:16">
      <c r="A10" s="24" t="s">
        <v>213</v>
      </c>
      <c r="B10" s="25">
        <f ca="1">'EF ele_warmte'!B12</f>
        <v>0.20657030963784426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4162.6255539615813</v>
      </c>
      <c r="C12" s="23">
        <f ca="1">C10*C8</f>
        <v>0</v>
      </c>
      <c r="D12" s="23">
        <f>D8*D10</f>
        <v>11363.071852950401</v>
      </c>
      <c r="E12" s="23">
        <f>E10*E8</f>
        <v>677.46430030789327</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2145</v>
      </c>
      <c r="C18" s="166" t="s">
        <v>110</v>
      </c>
      <c r="D18" s="228"/>
      <c r="E18" s="15"/>
    </row>
    <row r="19" spans="1:7">
      <c r="A19" s="171" t="s">
        <v>71</v>
      </c>
      <c r="B19" s="37">
        <f>aantalw2001_ander</f>
        <v>2</v>
      </c>
      <c r="C19" s="166" t="s">
        <v>110</v>
      </c>
      <c r="D19" s="229"/>
      <c r="E19" s="15"/>
    </row>
    <row r="20" spans="1:7">
      <c r="A20" s="171" t="s">
        <v>72</v>
      </c>
      <c r="B20" s="37">
        <f>aantalw2001_propaan</f>
        <v>23</v>
      </c>
      <c r="C20" s="167">
        <f>IF(ISERROR(B20/SUM($B$20,$B$21,$B$22)*100),0,B20/SUM($B$20,$B$21,$B$22)*100)</f>
        <v>6.5902578796561597</v>
      </c>
      <c r="D20" s="229"/>
      <c r="E20" s="15"/>
    </row>
    <row r="21" spans="1:7">
      <c r="A21" s="171" t="s">
        <v>73</v>
      </c>
      <c r="B21" s="37">
        <f>aantalw2001_elektriciteit</f>
        <v>286</v>
      </c>
      <c r="C21" s="167">
        <f>IF(ISERROR(B21/SUM($B$20,$B$21,$B$22)*100),0,B21/SUM($B$20,$B$21,$B$22)*100)</f>
        <v>81.948424068767906</v>
      </c>
      <c r="D21" s="229"/>
      <c r="E21" s="15"/>
    </row>
    <row r="22" spans="1:7">
      <c r="A22" s="171" t="s">
        <v>74</v>
      </c>
      <c r="B22" s="37">
        <f>aantalw2001_hout</f>
        <v>40</v>
      </c>
      <c r="C22" s="167">
        <f>IF(ISERROR(B22/SUM($B$20,$B$21,$B$22)*100),0,B22/SUM($B$20,$B$21,$B$22)*100)</f>
        <v>11.461318051575931</v>
      </c>
      <c r="D22" s="229"/>
      <c r="E22" s="15"/>
    </row>
    <row r="23" spans="1:7">
      <c r="A23" s="171" t="s">
        <v>75</v>
      </c>
      <c r="B23" s="37">
        <f>aantalw2001_niet_gespec</f>
        <v>36</v>
      </c>
      <c r="C23" s="166" t="s">
        <v>110</v>
      </c>
      <c r="D23" s="228"/>
      <c r="E23" s="15"/>
    </row>
    <row r="24" spans="1:7">
      <c r="A24" s="171" t="s">
        <v>76</v>
      </c>
      <c r="B24" s="37">
        <f>aantalw2001_steenkool</f>
        <v>58</v>
      </c>
      <c r="C24" s="166" t="s">
        <v>110</v>
      </c>
      <c r="D24" s="229"/>
      <c r="E24" s="15"/>
    </row>
    <row r="25" spans="1:7">
      <c r="A25" s="171" t="s">
        <v>77</v>
      </c>
      <c r="B25" s="37">
        <f>aantalw2001_stookolie</f>
        <v>1330</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4691</v>
      </c>
      <c r="C28" s="36"/>
      <c r="D28" s="228"/>
    </row>
    <row r="29" spans="1:7" s="15" customFormat="1">
      <c r="A29" s="230" t="s">
        <v>837</v>
      </c>
      <c r="B29" s="37">
        <f>SUM(HH_hh_gas_aantal,HH_rest_gas_aantal)</f>
        <v>3504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3504</v>
      </c>
      <c r="C32" s="167">
        <f>IF(ISERROR(B32/SUM($B$32,$B$34,$B$35,$B$36,$B$38,$B$39)*100),0,B32/SUM($B$32,$B$34,$B$35,$B$36,$B$38,$B$39)*100)</f>
        <v>75.19313304721031</v>
      </c>
      <c r="D32" s="233"/>
      <c r="G32" s="15"/>
    </row>
    <row r="33" spans="1:7">
      <c r="A33" s="171" t="s">
        <v>71</v>
      </c>
      <c r="B33" s="34" t="s">
        <v>110</v>
      </c>
      <c r="C33" s="167"/>
      <c r="D33" s="233"/>
      <c r="G33" s="15"/>
    </row>
    <row r="34" spans="1:7">
      <c r="A34" s="171" t="s">
        <v>72</v>
      </c>
      <c r="B34" s="33">
        <f>IF((($B$28-$B$32-$B$39-$B$77-$B$38)*C20/100)&lt;0,0,($B$28-$B$32-$B$39-$B$77-$B$38)*C20/100)</f>
        <v>76.183381088825215</v>
      </c>
      <c r="C34" s="167">
        <f>IF(ISERROR(B34/SUM($B$32,$B$34,$B$35,$B$36,$B$38,$B$39)*100),0,B34/SUM($B$32,$B$34,$B$35,$B$36,$B$38,$B$39)*100)</f>
        <v>1.6348365040520432</v>
      </c>
      <c r="D34" s="233"/>
      <c r="G34" s="15"/>
    </row>
    <row r="35" spans="1:7">
      <c r="A35" s="171" t="s">
        <v>73</v>
      </c>
      <c r="B35" s="33">
        <f>IF((($B$28-$B$32-$B$39-$B$77-$B$38)*C21/100)&lt;0,0,($B$28-$B$32-$B$39-$B$77-$B$38)*C21/100)</f>
        <v>947.32378223495698</v>
      </c>
      <c r="C35" s="167">
        <f>IF(ISERROR(B35/SUM($B$32,$B$34,$B$35,$B$36,$B$38,$B$39)*100),0,B35/SUM($B$32,$B$34,$B$35,$B$36,$B$38,$B$39)*100)</f>
        <v>20.328836528647145</v>
      </c>
      <c r="D35" s="233"/>
      <c r="G35" s="15"/>
    </row>
    <row r="36" spans="1:7">
      <c r="A36" s="171" t="s">
        <v>74</v>
      </c>
      <c r="B36" s="33">
        <f>IF((($B$28-$B$32-$B$39-$B$77-$B$38)*C22/100)&lt;0,0,($B$28-$B$32-$B$39-$B$77-$B$38)*C22/100)</f>
        <v>132.49283667621776</v>
      </c>
      <c r="C36" s="167">
        <f>IF(ISERROR(B36/SUM($B$32,$B$34,$B$35,$B$36,$B$38,$B$39)*100),0,B36/SUM($B$32,$B$34,$B$35,$B$36,$B$38,$B$39)*100)</f>
        <v>2.8431939200905099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3504</v>
      </c>
      <c r="C44" s="34" t="s">
        <v>110</v>
      </c>
      <c r="D44" s="174"/>
    </row>
    <row r="45" spans="1:7">
      <c r="A45" s="171" t="s">
        <v>71</v>
      </c>
      <c r="B45" s="33" t="str">
        <f t="shared" si="0"/>
        <v>-</v>
      </c>
      <c r="C45" s="34" t="s">
        <v>110</v>
      </c>
      <c r="D45" s="174"/>
    </row>
    <row r="46" spans="1:7">
      <c r="A46" s="171" t="s">
        <v>72</v>
      </c>
      <c r="B46" s="33">
        <f t="shared" si="0"/>
        <v>76.183381088825215</v>
      </c>
      <c r="C46" s="34" t="s">
        <v>110</v>
      </c>
      <c r="D46" s="174"/>
    </row>
    <row r="47" spans="1:7">
      <c r="A47" s="171" t="s">
        <v>73</v>
      </c>
      <c r="B47" s="33">
        <f t="shared" si="0"/>
        <v>947.32378223495698</v>
      </c>
      <c r="C47" s="34" t="s">
        <v>110</v>
      </c>
      <c r="D47" s="174"/>
    </row>
    <row r="48" spans="1:7">
      <c r="A48" s="171" t="s">
        <v>74</v>
      </c>
      <c r="B48" s="33">
        <f t="shared" si="0"/>
        <v>132.49283667621776</v>
      </c>
      <c r="C48" s="33">
        <f>B48*10</f>
        <v>1324.9283667621776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24535.073690000001</v>
      </c>
      <c r="C5" s="17">
        <f>IF(ISERROR('Eigen informatie GS &amp; warmtenet'!B60),0,'Eigen informatie GS &amp; warmtenet'!B60)</f>
        <v>0</v>
      </c>
      <c r="D5" s="30">
        <f>SUM(D6:D12)</f>
        <v>32505.053602384003</v>
      </c>
      <c r="E5" s="17">
        <f>SUM(E6:E12)</f>
        <v>242.450500357338</v>
      </c>
      <c r="F5" s="17">
        <f>SUM(F6:F12)</f>
        <v>2903.4577913038629</v>
      </c>
      <c r="G5" s="18"/>
      <c r="H5" s="17"/>
      <c r="I5" s="17"/>
      <c r="J5" s="17">
        <f>SUM(J6:J12)</f>
        <v>2.7968576252051094E-2</v>
      </c>
      <c r="K5" s="17"/>
      <c r="L5" s="17"/>
      <c r="M5" s="17"/>
      <c r="N5" s="17">
        <f>SUM(N6:N12)</f>
        <v>1112.6321376749743</v>
      </c>
      <c r="O5" s="17">
        <f>B38*B39*B40</f>
        <v>0</v>
      </c>
      <c r="P5" s="17">
        <f>B46*B47*B48/1000-B46*B47*B48/1000/B49</f>
        <v>157.61741491948504</v>
      </c>
      <c r="R5" s="32"/>
    </row>
    <row r="6" spans="1:18">
      <c r="A6" s="32" t="s">
        <v>53</v>
      </c>
      <c r="B6" s="37">
        <f>B26</f>
        <v>17193.227442000003</v>
      </c>
      <c r="C6" s="33"/>
      <c r="D6" s="37">
        <f>IF(ISERROR(TER_kantoor_gas_kWh/1000),0,TER_kantoor_gas_kWh/1000)*0.902</f>
        <v>23395.095127315999</v>
      </c>
      <c r="E6" s="33">
        <f>$C$26*'E Balans VL '!I12/100/3.6*1000000</f>
        <v>138.34838864276162</v>
      </c>
      <c r="F6" s="33">
        <f>$C$26*('E Balans VL '!L12+'E Balans VL '!N12)/100/3.6*1000000</f>
        <v>2102.0529217466155</v>
      </c>
      <c r="G6" s="34"/>
      <c r="H6" s="33"/>
      <c r="I6" s="33"/>
      <c r="J6" s="33">
        <f>$C$26*('E Balans VL '!D12+'E Balans VL '!E12)/100/3.6*1000000</f>
        <v>0</v>
      </c>
      <c r="K6" s="33"/>
      <c r="L6" s="33"/>
      <c r="M6" s="33"/>
      <c r="N6" s="33">
        <f>$C$26*'E Balans VL '!Y12/100/3.6*1000000</f>
        <v>9.2405130752629052</v>
      </c>
      <c r="O6" s="33"/>
      <c r="P6" s="33"/>
      <c r="R6" s="32"/>
    </row>
    <row r="7" spans="1:18">
      <c r="A7" s="32" t="s">
        <v>52</v>
      </c>
      <c r="B7" s="37">
        <f t="shared" ref="B7:B12" si="0">B27</f>
        <v>818.00803500000006</v>
      </c>
      <c r="C7" s="33"/>
      <c r="D7" s="37">
        <f>IF(ISERROR(TER_horeca_gas_kWh/1000),0,TER_horeca_gas_kWh/1000)*0.902</f>
        <v>1275.7689559999999</v>
      </c>
      <c r="E7" s="33">
        <f>$C$27*'E Balans VL '!I9/100/3.6*1000000</f>
        <v>8.7833976193394836</v>
      </c>
      <c r="F7" s="33">
        <f>$C$27*('E Balans VL '!L9+'E Balans VL '!N9)/100/3.6*1000000</f>
        <v>98.386530985028713</v>
      </c>
      <c r="G7" s="34"/>
      <c r="H7" s="33"/>
      <c r="I7" s="33"/>
      <c r="J7" s="33">
        <f>$C$27*('E Balans VL '!D9+'E Balans VL '!E9)/100/3.6*1000000</f>
        <v>0</v>
      </c>
      <c r="K7" s="33"/>
      <c r="L7" s="33"/>
      <c r="M7" s="33"/>
      <c r="N7" s="33">
        <f>$C$27*'E Balans VL '!Y9/100/3.6*1000000</f>
        <v>0.12263598354456048</v>
      </c>
      <c r="O7" s="33"/>
      <c r="P7" s="33"/>
      <c r="R7" s="32"/>
    </row>
    <row r="8" spans="1:18">
      <c r="A8" s="6" t="s">
        <v>51</v>
      </c>
      <c r="B8" s="37">
        <f t="shared" si="0"/>
        <v>3274.14804</v>
      </c>
      <c r="C8" s="33"/>
      <c r="D8" s="37">
        <f>IF(ISERROR(TER_handel_gas_kWh/1000),0,TER_handel_gas_kWh/1000)*0.902</f>
        <v>2090.9368932100001</v>
      </c>
      <c r="E8" s="33">
        <f>$C$28*'E Balans VL '!I13/100/3.6*1000000</f>
        <v>87.868109686613451</v>
      </c>
      <c r="F8" s="33">
        <f>$C$28*('E Balans VL '!L13+'E Balans VL '!N13)/100/3.6*1000000</f>
        <v>312.4546348605798</v>
      </c>
      <c r="G8" s="34"/>
      <c r="H8" s="33"/>
      <c r="I8" s="33"/>
      <c r="J8" s="33">
        <f>$C$28*('E Balans VL '!D13+'E Balans VL '!E13)/100/3.6*1000000</f>
        <v>0</v>
      </c>
      <c r="K8" s="33"/>
      <c r="L8" s="33"/>
      <c r="M8" s="33"/>
      <c r="N8" s="33">
        <f>$C$28*'E Balans VL '!Y13/100/3.6*1000000</f>
        <v>1.2979095113813357</v>
      </c>
      <c r="O8" s="33"/>
      <c r="P8" s="33"/>
      <c r="R8" s="32"/>
    </row>
    <row r="9" spans="1:18">
      <c r="A9" s="32" t="s">
        <v>50</v>
      </c>
      <c r="B9" s="37">
        <f t="shared" si="0"/>
        <v>1521.425</v>
      </c>
      <c r="C9" s="33"/>
      <c r="D9" s="37">
        <f>IF(ISERROR(TER_gezond_gas_kWh/1000),0,TER_gezond_gas_kWh/1000)*0.902</f>
        <v>2134.0962618580002</v>
      </c>
      <c r="E9" s="33">
        <f>$C$29*'E Balans VL '!I10/100/3.6*1000000</f>
        <v>2.8516458474920405</v>
      </c>
      <c r="F9" s="33">
        <f>$C$29*('E Balans VL '!L10+'E Balans VL '!N10)/100/3.6*1000000</f>
        <v>125.07501693347604</v>
      </c>
      <c r="G9" s="34"/>
      <c r="H9" s="33"/>
      <c r="I9" s="33"/>
      <c r="J9" s="33">
        <f>$C$29*('E Balans VL '!D10+'E Balans VL '!E10)/100/3.6*1000000</f>
        <v>0</v>
      </c>
      <c r="K9" s="33"/>
      <c r="L9" s="33"/>
      <c r="M9" s="33"/>
      <c r="N9" s="33">
        <f>$C$29*'E Balans VL '!Y10/100/3.6*1000000</f>
        <v>11.837821646155694</v>
      </c>
      <c r="O9" s="33"/>
      <c r="P9" s="33"/>
      <c r="R9" s="32"/>
    </row>
    <row r="10" spans="1:18">
      <c r="A10" s="32" t="s">
        <v>49</v>
      </c>
      <c r="B10" s="37">
        <f t="shared" si="0"/>
        <v>1647.5309999999999</v>
      </c>
      <c r="C10" s="33"/>
      <c r="D10" s="37">
        <f>IF(ISERROR(TER_ander_gas_kWh/1000),0,TER_ander_gas_kWh/1000)*0.902</f>
        <v>3228.2616079999998</v>
      </c>
      <c r="E10" s="33">
        <f>$C$30*'E Balans VL '!I14/100/3.6*1000000</f>
        <v>2.5396857306736766</v>
      </c>
      <c r="F10" s="33">
        <f>$C$30*('E Balans VL '!L14+'E Balans VL '!N14)/100/3.6*1000000</f>
        <v>255.77964257593834</v>
      </c>
      <c r="G10" s="34"/>
      <c r="H10" s="33"/>
      <c r="I10" s="33"/>
      <c r="J10" s="33">
        <f>$C$30*('E Balans VL '!D14+'E Balans VL '!E14)/100/3.6*1000000</f>
        <v>2.7968576252051094E-2</v>
      </c>
      <c r="K10" s="33"/>
      <c r="L10" s="33"/>
      <c r="M10" s="33"/>
      <c r="N10" s="33">
        <f>$C$30*'E Balans VL '!Y14/100/3.6*1000000</f>
        <v>1089.9537066278085</v>
      </c>
      <c r="O10" s="33"/>
      <c r="P10" s="33"/>
      <c r="R10" s="32"/>
    </row>
    <row r="11" spans="1:18">
      <c r="A11" s="32" t="s">
        <v>54</v>
      </c>
      <c r="B11" s="37">
        <f t="shared" si="0"/>
        <v>80.734172999999998</v>
      </c>
      <c r="C11" s="33"/>
      <c r="D11" s="37">
        <f>IF(ISERROR(TER_onderwijs_gas_kWh/1000),0,TER_onderwijs_gas_kWh/1000)*0.902</f>
        <v>380.89475600000003</v>
      </c>
      <c r="E11" s="33">
        <f>$C$31*'E Balans VL '!I11/100/3.6*1000000</f>
        <v>2.0592728304576897</v>
      </c>
      <c r="F11" s="33">
        <f>$C$31*('E Balans VL '!L11+'E Balans VL '!N11)/100/3.6*1000000</f>
        <v>9.7090442022242431</v>
      </c>
      <c r="G11" s="34"/>
      <c r="H11" s="33"/>
      <c r="I11" s="33"/>
      <c r="J11" s="33">
        <f>$C$31*('E Balans VL '!D11+'E Balans VL '!E11)/100/3.6*1000000</f>
        <v>0</v>
      </c>
      <c r="K11" s="33"/>
      <c r="L11" s="33"/>
      <c r="M11" s="33"/>
      <c r="N11" s="33">
        <f>$C$31*'E Balans VL '!Y11/100/3.6*1000000</f>
        <v>0.17955083082120454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24535.073690000001</v>
      </c>
      <c r="C16" s="21">
        <f t="shared" ca="1" si="1"/>
        <v>0</v>
      </c>
      <c r="D16" s="21">
        <f t="shared" ca="1" si="1"/>
        <v>32505.053602384003</v>
      </c>
      <c r="E16" s="21">
        <f t="shared" si="1"/>
        <v>242.450500357338</v>
      </c>
      <c r="F16" s="21">
        <f t="shared" ca="1" si="1"/>
        <v>2903.4577913038629</v>
      </c>
      <c r="G16" s="21">
        <f t="shared" si="1"/>
        <v>0</v>
      </c>
      <c r="H16" s="21">
        <f t="shared" si="1"/>
        <v>0</v>
      </c>
      <c r="I16" s="21">
        <f t="shared" si="1"/>
        <v>0</v>
      </c>
      <c r="J16" s="21">
        <f t="shared" si="1"/>
        <v>2.7968576252051094E-2</v>
      </c>
      <c r="K16" s="21">
        <f t="shared" si="1"/>
        <v>0</v>
      </c>
      <c r="L16" s="21">
        <f t="shared" ca="1" si="1"/>
        <v>0</v>
      </c>
      <c r="M16" s="21">
        <f t="shared" si="1"/>
        <v>0</v>
      </c>
      <c r="N16" s="21">
        <f t="shared" ca="1" si="1"/>
        <v>1112.6321376749743</v>
      </c>
      <c r="O16" s="21">
        <f>O5</f>
        <v>0</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0.20657030963784426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5068.217769130626</v>
      </c>
      <c r="C20" s="23">
        <f t="shared" ref="C20:P20" ca="1" si="2">C16*C18</f>
        <v>0</v>
      </c>
      <c r="D20" s="23">
        <f t="shared" ca="1" si="2"/>
        <v>6566.0208276815692</v>
      </c>
      <c r="E20" s="23">
        <f t="shared" si="2"/>
        <v>55.036263581115726</v>
      </c>
      <c r="F20" s="23">
        <f t="shared" ca="1" si="2"/>
        <v>775.2232302781315</v>
      </c>
      <c r="G20" s="23">
        <f t="shared" si="2"/>
        <v>0</v>
      </c>
      <c r="H20" s="23">
        <f t="shared" si="2"/>
        <v>0</v>
      </c>
      <c r="I20" s="23">
        <f t="shared" si="2"/>
        <v>0</v>
      </c>
      <c r="J20" s="23">
        <f t="shared" si="2"/>
        <v>9.9008759932260864E-3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17193.227442000003</v>
      </c>
      <c r="C26" s="39">
        <f>IF(ISERROR(B26*3.6/1000000/'E Balans VL '!Z12*100),0,B26*3.6/1000000/'E Balans VL '!Z12*100)</f>
        <v>0.36473859018525384</v>
      </c>
      <c r="D26" s="237" t="s">
        <v>716</v>
      </c>
      <c r="F26" s="6"/>
    </row>
    <row r="27" spans="1:18">
      <c r="A27" s="231" t="s">
        <v>52</v>
      </c>
      <c r="B27" s="33">
        <f>IF(ISERROR(TER_horeca_ele_kWh/1000),0,TER_horeca_ele_kWh/1000)</f>
        <v>818.00803500000006</v>
      </c>
      <c r="C27" s="39">
        <f>IF(ISERROR(B27*3.6/1000000/'E Balans VL '!Z9*100),0,B27*3.6/1000000/'E Balans VL '!Z9*100)</f>
        <v>6.1603251365042209E-2</v>
      </c>
      <c r="D27" s="237" t="s">
        <v>716</v>
      </c>
      <c r="F27" s="6"/>
    </row>
    <row r="28" spans="1:18">
      <c r="A28" s="171" t="s">
        <v>51</v>
      </c>
      <c r="B28" s="33">
        <f>IF(ISERROR(TER_handel_ele_kWh/1000),0,TER_handel_ele_kWh/1000)</f>
        <v>3274.14804</v>
      </c>
      <c r="C28" s="39">
        <f>IF(ISERROR(B28*3.6/1000000/'E Balans VL '!Z13*100),0,B28*3.6/1000000/'E Balans VL '!Z13*100)</f>
        <v>9.5036916389546824E-2</v>
      </c>
      <c r="D28" s="237" t="s">
        <v>716</v>
      </c>
      <c r="F28" s="6"/>
    </row>
    <row r="29" spans="1:18">
      <c r="A29" s="231" t="s">
        <v>50</v>
      </c>
      <c r="B29" s="33">
        <f>IF(ISERROR(TER_gezond_ele_kWh/1000),0,TER_gezond_ele_kWh/1000)</f>
        <v>1521.425</v>
      </c>
      <c r="C29" s="39">
        <f>IF(ISERROR(B29*3.6/1000000/'E Balans VL '!Z10*100),0,B29*3.6/1000000/'E Balans VL '!Z10*100)</f>
        <v>0.15343752562321031</v>
      </c>
      <c r="D29" s="237" t="s">
        <v>716</v>
      </c>
      <c r="F29" s="6"/>
    </row>
    <row r="30" spans="1:18">
      <c r="A30" s="231" t="s">
        <v>49</v>
      </c>
      <c r="B30" s="33">
        <f>IF(ISERROR(TER_ander_ele_kWh/1000),0,TER_ander_ele_kWh/1000)</f>
        <v>1647.5309999999999</v>
      </c>
      <c r="C30" s="39">
        <f>IF(ISERROR(B30*3.6/1000000/'E Balans VL '!Z14*100),0,B30*3.6/1000000/'E Balans VL '!Z14*100)</f>
        <v>0.11955085049401028</v>
      </c>
      <c r="D30" s="237" t="s">
        <v>716</v>
      </c>
      <c r="F30" s="6"/>
    </row>
    <row r="31" spans="1:18">
      <c r="A31" s="231" t="s">
        <v>54</v>
      </c>
      <c r="B31" s="33">
        <f>IF(ISERROR(TER_onderwijs_ele_kWh/1000),0,TER_onderwijs_ele_kWh/1000)</f>
        <v>80.734172999999998</v>
      </c>
      <c r="C31" s="39">
        <f>IF(ISERROR(B31*3.6/1000000/'E Balans VL '!Z11*100),0,B31*3.6/1000000/'E Balans VL '!Z11*100)</f>
        <v>2.3012526953609402E-2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1030.8340000000001</v>
      </c>
      <c r="C5" s="17">
        <f>IF(ISERROR('Eigen informatie GS &amp; warmtenet'!B61),0,'Eigen informatie GS &amp; warmtenet'!B61)</f>
        <v>0</v>
      </c>
      <c r="D5" s="30">
        <f>SUM(D6:D15)</f>
        <v>1458.8841311440001</v>
      </c>
      <c r="E5" s="17">
        <f>SUM(E6:E15)</f>
        <v>92.279016784800319</v>
      </c>
      <c r="F5" s="17">
        <f>SUM(F6:F15)</f>
        <v>321.29845806114866</v>
      </c>
      <c r="G5" s="18"/>
      <c r="H5" s="17"/>
      <c r="I5" s="17"/>
      <c r="J5" s="17">
        <f>SUM(J6:J15)</f>
        <v>0.45570588818848934</v>
      </c>
      <c r="K5" s="17"/>
      <c r="L5" s="17"/>
      <c r="M5" s="17"/>
      <c r="N5" s="17">
        <f>SUM(N6:N15)</f>
        <v>48.014524394618334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385.89800000000002</v>
      </c>
      <c r="C8" s="33"/>
      <c r="D8" s="37">
        <f>IF( ISERROR(IND_metaal_Gas_kWH/1000),0,IND_metaal_Gas_kWH/1000)*0.902</f>
        <v>0</v>
      </c>
      <c r="E8" s="33">
        <f>C30*'E Balans VL '!I18/100/3.6*1000000</f>
        <v>2.7839832214702156</v>
      </c>
      <c r="F8" s="33">
        <f>C30*'E Balans VL '!L18/100/3.6*1000000+C30*'E Balans VL '!N18/100/3.6*1000000</f>
        <v>36.498835339319541</v>
      </c>
      <c r="G8" s="34"/>
      <c r="H8" s="33"/>
      <c r="I8" s="33"/>
      <c r="J8" s="40">
        <f>C30*'E Balans VL '!D18/100/3.6*1000000+C30*'E Balans VL '!E18/100/3.6*1000000</f>
        <v>0.38813845092973104</v>
      </c>
      <c r="K8" s="33"/>
      <c r="L8" s="33"/>
      <c r="M8" s="33"/>
      <c r="N8" s="33">
        <f>C30*'E Balans VL '!Y18/100/3.6*1000000</f>
        <v>4.8787717053097444</v>
      </c>
      <c r="O8" s="33"/>
      <c r="P8" s="33"/>
      <c r="R8" s="32"/>
    </row>
    <row r="9" spans="1:18">
      <c r="A9" s="6" t="s">
        <v>32</v>
      </c>
      <c r="B9" s="37">
        <f t="shared" si="0"/>
        <v>318.59899999999999</v>
      </c>
      <c r="C9" s="33"/>
      <c r="D9" s="37">
        <f>IF( ISERROR(IND_andere_gas_kWh/1000),0,IND_andere_gas_kWh/1000)*0.902</f>
        <v>689.67100400000004</v>
      </c>
      <c r="E9" s="33">
        <f>C31*'E Balans VL '!I19/100/3.6*1000000</f>
        <v>88.288043102357662</v>
      </c>
      <c r="F9" s="33">
        <f>C31*'E Balans VL '!L19/100/3.6*1000000+C31*'E Balans VL '!N19/100/3.6*1000000</f>
        <v>264.05553969774525</v>
      </c>
      <c r="G9" s="34"/>
      <c r="H9" s="33"/>
      <c r="I9" s="33"/>
      <c r="J9" s="40">
        <f>C31*'E Balans VL '!D19/100/3.6*1000000+C31*'E Balans VL '!E19/100/3.6*1000000</f>
        <v>0</v>
      </c>
      <c r="K9" s="33"/>
      <c r="L9" s="33"/>
      <c r="M9" s="33"/>
      <c r="N9" s="33">
        <f>C31*'E Balans VL '!Y19/100/3.6*1000000</f>
        <v>23.126390512359716</v>
      </c>
      <c r="O9" s="33"/>
      <c r="P9" s="33"/>
      <c r="R9" s="32"/>
    </row>
    <row r="10" spans="1:18">
      <c r="A10" s="6" t="s">
        <v>40</v>
      </c>
      <c r="B10" s="37">
        <f t="shared" si="0"/>
        <v>312.05500000000001</v>
      </c>
      <c r="C10" s="33"/>
      <c r="D10" s="37">
        <f>IF( ISERROR(IND_voed_gas_kWh/1000),0,IND_voed_gas_kWh/1000)*0.902</f>
        <v>675.54583914400007</v>
      </c>
      <c r="E10" s="33">
        <f>C32*'E Balans VL '!I20/100/3.6*1000000</f>
        <v>0.55244304980521719</v>
      </c>
      <c r="F10" s="33">
        <f>C32*'E Balans VL '!L20/100/3.6*1000000+C32*'E Balans VL '!N20/100/3.6*1000000</f>
        <v>16.853735718656097</v>
      </c>
      <c r="G10" s="34"/>
      <c r="H10" s="33"/>
      <c r="I10" s="33"/>
      <c r="J10" s="40">
        <f>C32*'E Balans VL '!D20/100/3.6*1000000+C32*'E Balans VL '!E20/100/3.6*1000000</f>
        <v>0</v>
      </c>
      <c r="K10" s="33"/>
      <c r="L10" s="33"/>
      <c r="M10" s="33"/>
      <c r="N10" s="33">
        <f>C32*'E Balans VL '!Y20/100/3.6*1000000</f>
        <v>18.132778693731712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6.3360000000000003</v>
      </c>
      <c r="C12" s="33"/>
      <c r="D12" s="37">
        <f>IF( ISERROR(IND_min_gas_kWh/1000),0,IND_min_gas_kWh/1000)*0.902</f>
        <v>0</v>
      </c>
      <c r="E12" s="33">
        <f>C34*'E Balans VL '!I22/100/3.6*1000000</f>
        <v>0.27901483927266829</v>
      </c>
      <c r="F12" s="33">
        <f>C34*'E Balans VL '!L22/100/3.6*1000000+C34*'E Balans VL '!N22/100/3.6*1000000</f>
        <v>2.4776318829055084</v>
      </c>
      <c r="G12" s="34"/>
      <c r="H12" s="33"/>
      <c r="I12" s="33"/>
      <c r="J12" s="40">
        <f>C34*'E Balans VL '!D22/100/3.6*1000000+C34*'E Balans VL '!E22/100/3.6*1000000</f>
        <v>1.9238347558487858E-3</v>
      </c>
      <c r="K12" s="33"/>
      <c r="L12" s="33"/>
      <c r="M12" s="33"/>
      <c r="N12" s="33">
        <f>C34*'E Balans VL '!Y22/100/3.6*1000000</f>
        <v>1.5673343870131748</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7.9459999999999997</v>
      </c>
      <c r="C15" s="33"/>
      <c r="D15" s="37">
        <f>IF( ISERROR(IND_rest_gas_kWh/1000),0,IND_rest_gas_kWh/1000)*0.902</f>
        <v>93.667287999999999</v>
      </c>
      <c r="E15" s="33">
        <f>C37*'E Balans VL '!I15/100/3.6*1000000</f>
        <v>0.37553257189455452</v>
      </c>
      <c r="F15" s="33">
        <f>C37*'E Balans VL '!L15/100/3.6*1000000+C37*'E Balans VL '!N15/100/3.6*1000000</f>
        <v>1.4127154225222989</v>
      </c>
      <c r="G15" s="34"/>
      <c r="H15" s="33"/>
      <c r="I15" s="33"/>
      <c r="J15" s="40">
        <f>C37*'E Balans VL '!D15/100/3.6*1000000+C37*'E Balans VL '!E15/100/3.6*1000000</f>
        <v>6.5643602502909487E-2</v>
      </c>
      <c r="K15" s="33"/>
      <c r="L15" s="33"/>
      <c r="M15" s="33"/>
      <c r="N15" s="33">
        <f>C37*'E Balans VL '!Y15/100/3.6*1000000</f>
        <v>0.30924909620398594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1030.8340000000001</v>
      </c>
      <c r="C18" s="21">
        <f>C5+C16</f>
        <v>0</v>
      </c>
      <c r="D18" s="21">
        <f>MAX((D5+D16),0)</f>
        <v>1458.8841311440001</v>
      </c>
      <c r="E18" s="21">
        <f>MAX((E5+E16),0)</f>
        <v>92.279016784800319</v>
      </c>
      <c r="F18" s="21">
        <f>MAX((F5+F16),0)</f>
        <v>321.29845806114866</v>
      </c>
      <c r="G18" s="21"/>
      <c r="H18" s="21"/>
      <c r="I18" s="21"/>
      <c r="J18" s="21">
        <f>MAX((J5+J16),0)</f>
        <v>0.45570588818848934</v>
      </c>
      <c r="K18" s="21"/>
      <c r="L18" s="21">
        <f>MAX((L5+L16),0)</f>
        <v>0</v>
      </c>
      <c r="M18" s="21"/>
      <c r="N18" s="21">
        <f>MAX((N5+N16),0)</f>
        <v>48.014524394618334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0.20657030963784426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212.93969856521755</v>
      </c>
      <c r="C22" s="23">
        <f ca="1">C18*C20</f>
        <v>0</v>
      </c>
      <c r="D22" s="23">
        <f>D18*D20</f>
        <v>294.69459449108803</v>
      </c>
      <c r="E22" s="23">
        <f>E18*E20</f>
        <v>20.947336810149672</v>
      </c>
      <c r="F22" s="23">
        <f>F18*F20</f>
        <v>85.786688302326695</v>
      </c>
      <c r="G22" s="23"/>
      <c r="H22" s="23"/>
      <c r="I22" s="23"/>
      <c r="J22" s="23">
        <f>J18*J20</f>
        <v>0.16131988441872522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385.89800000000002</v>
      </c>
      <c r="C30" s="39">
        <f>IF(ISERROR(B30*3.6/1000000/'E Balans VL '!Z18*100),0,B30*3.6/1000000/'E Balans VL '!Z18*100)</f>
        <v>2.2277289404955696E-2</v>
      </c>
      <c r="D30" s="237" t="s">
        <v>716</v>
      </c>
    </row>
    <row r="31" spans="1:18">
      <c r="A31" s="6" t="s">
        <v>32</v>
      </c>
      <c r="B31" s="37">
        <f>IF( ISERROR(IND_ander_ele_kWh/1000),0,IND_ander_ele_kWh/1000)</f>
        <v>318.59899999999999</v>
      </c>
      <c r="C31" s="39">
        <f>IF(ISERROR(B31*3.6/1000000/'E Balans VL '!Z19*100),0,B31*3.6/1000000/'E Balans VL '!Z19*100)</f>
        <v>1.6024497001328603E-2</v>
      </c>
      <c r="D31" s="237" t="s">
        <v>716</v>
      </c>
    </row>
    <row r="32" spans="1:18">
      <c r="A32" s="171" t="s">
        <v>40</v>
      </c>
      <c r="B32" s="37">
        <f>IF( ISERROR(IND_voed_ele_kWh/1000),0,IND_voed_ele_kWh/1000)</f>
        <v>312.05500000000001</v>
      </c>
      <c r="C32" s="39">
        <f>IF(ISERROR(B32*3.6/1000000/'E Balans VL '!Z20*100),0,B32*3.6/1000000/'E Balans VL '!Z20*100)</f>
        <v>1.039328456000628E-2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6.3360000000000003</v>
      </c>
      <c r="C34" s="39">
        <f>IF(ISERROR(B34*3.6/1000000/'E Balans VL '!Z22*100),0,B34*3.6/1000000/'E Balans VL '!Z22*100)</f>
        <v>1.1818780070060176E-3</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7.9459999999999997</v>
      </c>
      <c r="C37" s="39">
        <f>IF(ISERROR(B37*3.6/1000000/'E Balans VL '!Z15*100),0,B37*3.6/1000000/'E Balans VL '!Z15*100)</f>
        <v>6.200052937946045E-5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396.20962099999997</v>
      </c>
      <c r="C5" s="17">
        <f>'Eigen informatie GS &amp; warmtenet'!B62</f>
        <v>0</v>
      </c>
      <c r="D5" s="30">
        <f>IF(ISERROR(SUM(LB_lb_gas_kWh,LB_rest_gas_kWh)/1000),0,SUM(LB_lb_gas_kWh,LB_rest_gas_kWh)/1000)*0.902</f>
        <v>98.077166000000005</v>
      </c>
      <c r="E5" s="17">
        <f>B17*'E Balans VL '!I25/3.6*1000000/100</f>
        <v>12.365571617595478</v>
      </c>
      <c r="F5" s="17">
        <f>B17*('E Balans VL '!L25/3.6*1000000+'E Balans VL '!N25/3.6*1000000)/100</f>
        <v>1400.2486915318129</v>
      </c>
      <c r="G5" s="18"/>
      <c r="H5" s="17"/>
      <c r="I5" s="17"/>
      <c r="J5" s="17">
        <f>('E Balans VL '!D25+'E Balans VL '!E25)/3.6*1000000*landbouw!B17/100</f>
        <v>109.15849827514104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396.20962099999997</v>
      </c>
      <c r="C8" s="21">
        <f>C5+C6</f>
        <v>0</v>
      </c>
      <c r="D8" s="21">
        <f>MAX((D5+D6),0)</f>
        <v>98.077166000000005</v>
      </c>
      <c r="E8" s="21">
        <f>MAX((E5+E6),0)</f>
        <v>12.365571617595478</v>
      </c>
      <c r="F8" s="21">
        <f>MAX((F5+F6),0)</f>
        <v>1400.2486915318129</v>
      </c>
      <c r="G8" s="21"/>
      <c r="H8" s="21"/>
      <c r="I8" s="21"/>
      <c r="J8" s="21">
        <f>MAX((J5+J6),0)</f>
        <v>109.15849827514104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0.20657030963784426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81.845144091462913</v>
      </c>
      <c r="C12" s="23">
        <f ca="1">C8*C10</f>
        <v>0</v>
      </c>
      <c r="D12" s="23">
        <f>D8*D10</f>
        <v>19.811587532000001</v>
      </c>
      <c r="E12" s="23">
        <f>E8*E10</f>
        <v>2.8069847571941735</v>
      </c>
      <c r="F12" s="23">
        <f>F8*F10</f>
        <v>373.86640063899409</v>
      </c>
      <c r="G12" s="23"/>
      <c r="H12" s="23"/>
      <c r="I12" s="23"/>
      <c r="J12" s="23">
        <f>J8*J10</f>
        <v>38.64210838939993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5.8899400461252686E-2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4.9324502232529035</v>
      </c>
      <c r="C26" s="247">
        <f>B26*'GWP N2O_CH4'!B5</f>
        <v>103.58145468831097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0.29256246590465124</v>
      </c>
      <c r="C27" s="247">
        <f>B27*'GWP N2O_CH4'!B5</f>
        <v>6.143811783997676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6.8301359000964651E-2</v>
      </c>
      <c r="C28" s="247">
        <f>B28*'GWP N2O_CH4'!B4</f>
        <v>21.173421290299043</v>
      </c>
      <c r="D28" s="50"/>
    </row>
    <row r="29" spans="1:4">
      <c r="A29" s="41" t="s">
        <v>276</v>
      </c>
      <c r="B29" s="247">
        <f>B34*'ha_N2O bodem landbouw'!B4</f>
        <v>4.6790380307800472</v>
      </c>
      <c r="C29" s="247">
        <f>B29*'GWP N2O_CH4'!B4</f>
        <v>1450.5017895418146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1.0260287959645352E-3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2.2500273686999999E-4</v>
      </c>
      <c r="C5" s="463" t="s">
        <v>210</v>
      </c>
      <c r="D5" s="448">
        <f>SUM(D6:D11)</f>
        <v>8.5419373194862004E-4</v>
      </c>
      <c r="E5" s="448">
        <f>SUM(E6:E11)</f>
        <v>6.9347945920602498E-4</v>
      </c>
      <c r="F5" s="461" t="s">
        <v>210</v>
      </c>
      <c r="G5" s="448">
        <f>SUM(G6:G11)</f>
        <v>0.30484063459724287</v>
      </c>
      <c r="H5" s="448">
        <f>SUM(H6:H11)</f>
        <v>6.4319971207745866E-2</v>
      </c>
      <c r="I5" s="463" t="s">
        <v>210</v>
      </c>
      <c r="J5" s="463" t="s">
        <v>210</v>
      </c>
      <c r="K5" s="463" t="s">
        <v>210</v>
      </c>
      <c r="L5" s="463" t="s">
        <v>210</v>
      </c>
      <c r="M5" s="448">
        <f>SUM(M6:M11)</f>
        <v>2.1804316027227377E-2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1.5899104165499999E-4</v>
      </c>
      <c r="C6" s="449"/>
      <c r="D6" s="917">
        <f>vkm_2011_GW_PW*SUMIFS(TableVerdeelsleutelVkm[CNG],TableVerdeelsleutelVkm[Voertuigtype],"Lichte voertuigen")*SUMIFS(TableECFTransport[EnergieConsumptieFactor (PJ per km)],TableECFTransport[Index],CONCATENATE($A6,"_CNG_CNG"))</f>
        <v>5.5283893317298804E-4</v>
      </c>
      <c r="E6" s="917">
        <f>vkm_2011_GW_PW*SUMIFS(TableVerdeelsleutelVkm[LPG],TableVerdeelsleutelVkm[Voertuigtype],"Lichte voertuigen")*SUMIFS(TableECFTransport[EnergieConsumptieFactor (PJ per km)],TableECFTransport[Index],CONCATENATE($A6,"_LPG_LPG"))</f>
        <v>4.3554599625960001E-4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0.1185606844671423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4.1488364947903804E-2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9.5639366665385105E-3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8.3912278308842861E-2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2.1140206967250193E-5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4.8386441275015991E-3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2.4415926575000001E-5</v>
      </c>
      <c r="C8" s="449"/>
      <c r="D8" s="451">
        <f>vkm_2011_NGW_PW*SUMIFS(TableVerdeelsleutelVkm[CNG],TableVerdeelsleutelVkm[Voertuigtype],"Lichte voertuigen")*SUMIFS(TableECFTransport[EnergieConsumptieFactor (PJ per km)],TableECFTransport[Index],CONCATENATE($A8,"_CNG_CNG"))</f>
        <v>1.5024824365320001E-4</v>
      </c>
      <c r="E8" s="451">
        <f>vkm_2011_NGW_PW*SUMIFS(TableVerdeelsleutelVkm[LPG],TableVerdeelsleutelVkm[Voertuigtype],"Lichte voertuigen")*SUMIFS(TableECFTransport[EnergieConsumptieFactor (PJ per km)],TableECFTransport[Index],CONCATENATE($A8,"_LPG_LPG"))</f>
        <v>1.0973710098962501E-4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2.7720040888259325E-2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1.0986969086550228E-2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2.3207451702963898E-3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1.4918597606857674E-2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3.546327278252043E-6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8.6023899073474634E-4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4.1595768640000001E-5</v>
      </c>
      <c r="C10" s="449"/>
      <c r="D10" s="451">
        <f>vkm_2011_SW_PW*SUMIFS(TableVerdeelsleutelVkm[CNG],TableVerdeelsleutelVkm[Voertuigtype],"Lichte voertuigen")*SUMIFS(TableECFTransport[EnergieConsumptieFactor (PJ per km)],TableECFTransport[Index],CONCATENATE($A10,"_CNG_CNG"))</f>
        <v>1.5110655512243199E-4</v>
      </c>
      <c r="E10" s="451">
        <f>vkm_2011_SW_PW*SUMIFS(TableVerdeelsleutelVkm[LPG],TableVerdeelsleutelVkm[Voertuigtype],"Lichte voertuigen")*SUMIFS(TableECFTransport[EnergieConsumptieFactor (PJ per km)],TableECFTransport[Index],CONCATENATE($A10,"_LPG_LPG"))</f>
        <v>1.481963619568E-4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3.5834671271261768E-2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1.1813430760288145E-2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2.8428946044388899E-3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2.3894362054878941E-2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6.5198787581729102E-6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1.3778564677172404E-3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62.500760241666661</v>
      </c>
      <c r="C14" s="21"/>
      <c r="D14" s="21">
        <f t="shared" ref="D14:M14" si="0">((D5)*10^9/3600)+D12</f>
        <v>237.27603665239445</v>
      </c>
      <c r="E14" s="21">
        <f t="shared" si="0"/>
        <v>192.63318311278474</v>
      </c>
      <c r="F14" s="21"/>
      <c r="G14" s="21">
        <f t="shared" si="0"/>
        <v>84677.95405478969</v>
      </c>
      <c r="H14" s="21">
        <f t="shared" si="0"/>
        <v>17866.658668818294</v>
      </c>
      <c r="I14" s="21"/>
      <c r="J14" s="21"/>
      <c r="K14" s="21"/>
      <c r="L14" s="21"/>
      <c r="M14" s="21">
        <f t="shared" si="0"/>
        <v>6056.7544520076044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0.20657030963784426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12.910801395721748</v>
      </c>
      <c r="C18" s="23"/>
      <c r="D18" s="23">
        <f t="shared" ref="D18:M18" si="1">D14*D16</f>
        <v>47.929759403783684</v>
      </c>
      <c r="E18" s="23">
        <f t="shared" si="1"/>
        <v>43.727732566602135</v>
      </c>
      <c r="F18" s="23"/>
      <c r="G18" s="23">
        <f t="shared" si="1"/>
        <v>22609.01373262885</v>
      </c>
      <c r="H18" s="23">
        <f t="shared" si="1"/>
        <v>4448.7980085357549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1.7681384465095703E-2</v>
      </c>
      <c r="H50" s="321">
        <f t="shared" si="2"/>
        <v>0</v>
      </c>
      <c r="I50" s="321">
        <f t="shared" si="2"/>
        <v>0</v>
      </c>
      <c r="J50" s="321">
        <f t="shared" si="2"/>
        <v>0</v>
      </c>
      <c r="K50" s="321">
        <f t="shared" si="2"/>
        <v>0</v>
      </c>
      <c r="L50" s="321">
        <f t="shared" si="2"/>
        <v>0</v>
      </c>
      <c r="M50" s="321">
        <f t="shared" si="2"/>
        <v>9.8273330490773877E-4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1.7681384465095703E-2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9.8273330490773877E-4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4911.4956847488065</v>
      </c>
      <c r="H54" s="21">
        <f t="shared" si="3"/>
        <v>0</v>
      </c>
      <c r="I54" s="21">
        <f t="shared" si="3"/>
        <v>0</v>
      </c>
      <c r="J54" s="21">
        <f t="shared" si="3"/>
        <v>0</v>
      </c>
      <c r="K54" s="21">
        <f t="shared" si="3"/>
        <v>0</v>
      </c>
      <c r="L54" s="21">
        <f t="shared" si="3"/>
        <v>0</v>
      </c>
      <c r="M54" s="21">
        <f t="shared" si="3"/>
        <v>272.981473585483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0.20657030963784426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1311.3693478279315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25486.94169</v>
      </c>
      <c r="D10" s="712">
        <f ca="1">tertiair!C16</f>
        <v>0</v>
      </c>
      <c r="E10" s="712">
        <f ca="1">tertiair!D16</f>
        <v>32505.053602384003</v>
      </c>
      <c r="F10" s="712">
        <f>tertiair!E16</f>
        <v>242.450500357338</v>
      </c>
      <c r="G10" s="712">
        <f ca="1">tertiair!F16</f>
        <v>2903.4577913038629</v>
      </c>
      <c r="H10" s="712">
        <f>tertiair!G16</f>
        <v>0</v>
      </c>
      <c r="I10" s="712">
        <f>tertiair!H16</f>
        <v>0</v>
      </c>
      <c r="J10" s="712">
        <f>tertiair!I16</f>
        <v>0</v>
      </c>
      <c r="K10" s="712">
        <f>tertiair!J16</f>
        <v>2.7968576252051094E-2</v>
      </c>
      <c r="L10" s="712">
        <f>tertiair!K16</f>
        <v>0</v>
      </c>
      <c r="M10" s="712">
        <f ca="1">tertiair!L16</f>
        <v>0</v>
      </c>
      <c r="N10" s="712">
        <f>tertiair!M16</f>
        <v>0</v>
      </c>
      <c r="O10" s="712">
        <f ca="1">tertiair!N16</f>
        <v>1112.6321376749743</v>
      </c>
      <c r="P10" s="712">
        <f>tertiair!O16</f>
        <v>0</v>
      </c>
      <c r="Q10" s="713">
        <f>tertiair!P16</f>
        <v>157.61741491948504</v>
      </c>
      <c r="R10" s="715">
        <f ca="1">SUM(C10:Q10)</f>
        <v>62408.18110521591</v>
      </c>
      <c r="S10" s="67"/>
    </row>
    <row r="11" spans="1:19" s="474" customFormat="1">
      <c r="A11" s="834" t="s">
        <v>224</v>
      </c>
      <c r="B11" s="839"/>
      <c r="C11" s="712">
        <f>huishoudens!B8</f>
        <v>20151.131889473512</v>
      </c>
      <c r="D11" s="712">
        <f>huishoudens!C8</f>
        <v>0</v>
      </c>
      <c r="E11" s="712">
        <f>huishoudens!D8</f>
        <v>56252.830955199999</v>
      </c>
      <c r="F11" s="712">
        <f>huishoudens!E8</f>
        <v>2984.4242304312479</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8982.0048331094895</v>
      </c>
      <c r="P11" s="712">
        <f>huishoudens!O8</f>
        <v>124.98936782138301</v>
      </c>
      <c r="Q11" s="713">
        <f>huishoudens!P8</f>
        <v>326.5527385382357</v>
      </c>
      <c r="R11" s="715">
        <f>SUM(C11:Q11)</f>
        <v>88821.934014573868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1030.8340000000001</v>
      </c>
      <c r="D13" s="712">
        <f>industrie!C18</f>
        <v>0</v>
      </c>
      <c r="E13" s="712">
        <f>industrie!D18</f>
        <v>1458.8841311440001</v>
      </c>
      <c r="F13" s="712">
        <f>industrie!E18</f>
        <v>92.279016784800319</v>
      </c>
      <c r="G13" s="712">
        <f>industrie!F18</f>
        <v>321.29845806114866</v>
      </c>
      <c r="H13" s="712">
        <f>industrie!G18</f>
        <v>0</v>
      </c>
      <c r="I13" s="712">
        <f>industrie!H18</f>
        <v>0</v>
      </c>
      <c r="J13" s="712">
        <f>industrie!I18</f>
        <v>0</v>
      </c>
      <c r="K13" s="712">
        <f>industrie!J18</f>
        <v>0.45570588818848934</v>
      </c>
      <c r="L13" s="712">
        <f>industrie!K18</f>
        <v>0</v>
      </c>
      <c r="M13" s="712">
        <f>industrie!L18</f>
        <v>0</v>
      </c>
      <c r="N13" s="712">
        <f>industrie!M18</f>
        <v>0</v>
      </c>
      <c r="O13" s="712">
        <f>industrie!N18</f>
        <v>48.014524394618334</v>
      </c>
      <c r="P13" s="712">
        <f>industrie!O18</f>
        <v>0</v>
      </c>
      <c r="Q13" s="713">
        <f>industrie!P18</f>
        <v>0</v>
      </c>
      <c r="R13" s="715">
        <f>SUM(C13:Q13)</f>
        <v>2951.7658362727557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46668.907579473511</v>
      </c>
      <c r="D16" s="748">
        <f t="shared" ref="D16:R16" ca="1" si="0">SUM(D9:D15)</f>
        <v>0</v>
      </c>
      <c r="E16" s="748">
        <f t="shared" ca="1" si="0"/>
        <v>90216.768688728014</v>
      </c>
      <c r="F16" s="748">
        <f t="shared" si="0"/>
        <v>3319.1537475733862</v>
      </c>
      <c r="G16" s="748">
        <f t="shared" ca="1" si="0"/>
        <v>3224.7562493650116</v>
      </c>
      <c r="H16" s="748">
        <f t="shared" si="0"/>
        <v>0</v>
      </c>
      <c r="I16" s="748">
        <f t="shared" si="0"/>
        <v>0</v>
      </c>
      <c r="J16" s="748">
        <f t="shared" si="0"/>
        <v>0</v>
      </c>
      <c r="K16" s="748">
        <f t="shared" si="0"/>
        <v>0.48367446444054041</v>
      </c>
      <c r="L16" s="748">
        <f t="shared" si="0"/>
        <v>0</v>
      </c>
      <c r="M16" s="748">
        <f t="shared" ca="1" si="0"/>
        <v>0</v>
      </c>
      <c r="N16" s="748">
        <f t="shared" si="0"/>
        <v>0</v>
      </c>
      <c r="O16" s="748">
        <f t="shared" ca="1" si="0"/>
        <v>10142.651495179083</v>
      </c>
      <c r="P16" s="748">
        <f t="shared" si="0"/>
        <v>124.98936782138301</v>
      </c>
      <c r="Q16" s="748">
        <f t="shared" si="0"/>
        <v>484.17015345772074</v>
      </c>
      <c r="R16" s="748">
        <f t="shared" ca="1" si="0"/>
        <v>154181.88095606255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4911.4956847488065</v>
      </c>
      <c r="I19" s="712">
        <f>transport!H54</f>
        <v>0</v>
      </c>
      <c r="J19" s="712">
        <f>transport!I54</f>
        <v>0</v>
      </c>
      <c r="K19" s="712">
        <f>transport!J54</f>
        <v>0</v>
      </c>
      <c r="L19" s="712">
        <f>transport!K54</f>
        <v>0</v>
      </c>
      <c r="M19" s="712">
        <f>transport!L54</f>
        <v>0</v>
      </c>
      <c r="N19" s="712">
        <f>transport!M54</f>
        <v>272.981473585483</v>
      </c>
      <c r="O19" s="712">
        <f>transport!N54</f>
        <v>0</v>
      </c>
      <c r="P19" s="712">
        <f>transport!O54</f>
        <v>0</v>
      </c>
      <c r="Q19" s="713">
        <f>transport!P54</f>
        <v>0</v>
      </c>
      <c r="R19" s="715">
        <f>SUM(C19:Q19)</f>
        <v>5184.4771583342899</v>
      </c>
      <c r="S19" s="67"/>
    </row>
    <row r="20" spans="1:19" s="474" customFormat="1">
      <c r="A20" s="834" t="s">
        <v>306</v>
      </c>
      <c r="B20" s="839"/>
      <c r="C20" s="712">
        <f>transport!B14</f>
        <v>62.500760241666661</v>
      </c>
      <c r="D20" s="712">
        <f>transport!C14</f>
        <v>0</v>
      </c>
      <c r="E20" s="712">
        <f>transport!D14</f>
        <v>237.27603665239445</v>
      </c>
      <c r="F20" s="712">
        <f>transport!E14</f>
        <v>192.63318311278474</v>
      </c>
      <c r="G20" s="712">
        <f>transport!F14</f>
        <v>0</v>
      </c>
      <c r="H20" s="712">
        <f>transport!G14</f>
        <v>84677.95405478969</v>
      </c>
      <c r="I20" s="712">
        <f>transport!H14</f>
        <v>17866.658668818294</v>
      </c>
      <c r="J20" s="712">
        <f>transport!I14</f>
        <v>0</v>
      </c>
      <c r="K20" s="712">
        <f>transport!J14</f>
        <v>0</v>
      </c>
      <c r="L20" s="712">
        <f>transport!K14</f>
        <v>0</v>
      </c>
      <c r="M20" s="712">
        <f>transport!L14</f>
        <v>0</v>
      </c>
      <c r="N20" s="712">
        <f>transport!M14</f>
        <v>6056.7544520076044</v>
      </c>
      <c r="O20" s="712">
        <f>transport!N14</f>
        <v>0</v>
      </c>
      <c r="P20" s="712">
        <f>transport!O14</f>
        <v>0</v>
      </c>
      <c r="Q20" s="713">
        <f>transport!P14</f>
        <v>0</v>
      </c>
      <c r="R20" s="715">
        <f>SUM(C20:Q20)</f>
        <v>109093.77715562245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62.500760241666661</v>
      </c>
      <c r="D22" s="837">
        <f t="shared" ref="D22:R22" si="1">SUM(D18:D21)</f>
        <v>0</v>
      </c>
      <c r="E22" s="837">
        <f t="shared" si="1"/>
        <v>237.27603665239445</v>
      </c>
      <c r="F22" s="837">
        <f t="shared" si="1"/>
        <v>192.63318311278474</v>
      </c>
      <c r="G22" s="837">
        <f t="shared" si="1"/>
        <v>0</v>
      </c>
      <c r="H22" s="837">
        <f t="shared" si="1"/>
        <v>89589.449739538497</v>
      </c>
      <c r="I22" s="837">
        <f t="shared" si="1"/>
        <v>17866.658668818294</v>
      </c>
      <c r="J22" s="837">
        <f t="shared" si="1"/>
        <v>0</v>
      </c>
      <c r="K22" s="837">
        <f t="shared" si="1"/>
        <v>0</v>
      </c>
      <c r="L22" s="837">
        <f t="shared" si="1"/>
        <v>0</v>
      </c>
      <c r="M22" s="837">
        <f t="shared" si="1"/>
        <v>0</v>
      </c>
      <c r="N22" s="837">
        <f t="shared" si="1"/>
        <v>6329.7359255930878</v>
      </c>
      <c r="O22" s="837">
        <f t="shared" si="1"/>
        <v>0</v>
      </c>
      <c r="P22" s="837">
        <f t="shared" si="1"/>
        <v>0</v>
      </c>
      <c r="Q22" s="837">
        <f t="shared" si="1"/>
        <v>0</v>
      </c>
      <c r="R22" s="837">
        <f t="shared" si="1"/>
        <v>114278.25431395674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396.20962099999997</v>
      </c>
      <c r="D24" s="712">
        <f>+landbouw!C8</f>
        <v>0</v>
      </c>
      <c r="E24" s="712">
        <f>+landbouw!D8</f>
        <v>98.077166000000005</v>
      </c>
      <c r="F24" s="712">
        <f>+landbouw!E8</f>
        <v>12.365571617595478</v>
      </c>
      <c r="G24" s="712">
        <f>+landbouw!F8</f>
        <v>1400.2486915318129</v>
      </c>
      <c r="H24" s="712">
        <f>+landbouw!G8</f>
        <v>0</v>
      </c>
      <c r="I24" s="712">
        <f>+landbouw!H8</f>
        <v>0</v>
      </c>
      <c r="J24" s="712">
        <f>+landbouw!I8</f>
        <v>0</v>
      </c>
      <c r="K24" s="712">
        <f>+landbouw!J8</f>
        <v>109.15849827514104</v>
      </c>
      <c r="L24" s="712">
        <f>+landbouw!K8</f>
        <v>0</v>
      </c>
      <c r="M24" s="712">
        <f>+landbouw!L8</f>
        <v>0</v>
      </c>
      <c r="N24" s="712">
        <f>+landbouw!M8</f>
        <v>0</v>
      </c>
      <c r="O24" s="712">
        <f>+landbouw!N8</f>
        <v>0</v>
      </c>
      <c r="P24" s="712">
        <f>+landbouw!O8</f>
        <v>0</v>
      </c>
      <c r="Q24" s="713">
        <f>+landbouw!P8</f>
        <v>0</v>
      </c>
      <c r="R24" s="715">
        <f>SUM(C24:Q24)</f>
        <v>2016.0595484245496</v>
      </c>
      <c r="S24" s="67"/>
    </row>
    <row r="25" spans="1:19" s="474" customFormat="1" ht="15" thickBot="1">
      <c r="A25" s="856" t="s">
        <v>734</v>
      </c>
      <c r="B25" s="982"/>
      <c r="C25" s="983">
        <f>IF(Onbekend_ele_kWh="---",0,Onbekend_ele_kWh)/1000+IF(REST_rest_ele_kWh="---",0,REST_rest_ele_kWh)/1000</f>
        <v>297.68270000000001</v>
      </c>
      <c r="D25" s="983"/>
      <c r="E25" s="983">
        <f>IF(onbekend_gas_kWh="---",0,onbekend_gas_kWh)/1000+IF(REST_rest_gas_kWh="---",0,REST_rest_gas_kWh)/1000</f>
        <v>907.56119999999999</v>
      </c>
      <c r="F25" s="983"/>
      <c r="G25" s="983"/>
      <c r="H25" s="983"/>
      <c r="I25" s="983"/>
      <c r="J25" s="983"/>
      <c r="K25" s="983"/>
      <c r="L25" s="983"/>
      <c r="M25" s="983"/>
      <c r="N25" s="983"/>
      <c r="O25" s="983"/>
      <c r="P25" s="983"/>
      <c r="Q25" s="984"/>
      <c r="R25" s="715">
        <f>SUM(C25:Q25)</f>
        <v>1205.2438999999999</v>
      </c>
      <c r="S25" s="67"/>
    </row>
    <row r="26" spans="1:19" s="474" customFormat="1" ht="15.75" thickBot="1">
      <c r="A26" s="720" t="s">
        <v>735</v>
      </c>
      <c r="B26" s="842"/>
      <c r="C26" s="837">
        <f>SUM(C24:C25)</f>
        <v>693.89232100000004</v>
      </c>
      <c r="D26" s="837">
        <f t="shared" ref="D26:R26" si="2">SUM(D24:D25)</f>
        <v>0</v>
      </c>
      <c r="E26" s="837">
        <f t="shared" si="2"/>
        <v>1005.638366</v>
      </c>
      <c r="F26" s="837">
        <f t="shared" si="2"/>
        <v>12.365571617595478</v>
      </c>
      <c r="G26" s="837">
        <f t="shared" si="2"/>
        <v>1400.2486915318129</v>
      </c>
      <c r="H26" s="837">
        <f t="shared" si="2"/>
        <v>0</v>
      </c>
      <c r="I26" s="837">
        <f t="shared" si="2"/>
        <v>0</v>
      </c>
      <c r="J26" s="837">
        <f t="shared" si="2"/>
        <v>0</v>
      </c>
      <c r="K26" s="837">
        <f t="shared" si="2"/>
        <v>109.15849827514104</v>
      </c>
      <c r="L26" s="837">
        <f t="shared" si="2"/>
        <v>0</v>
      </c>
      <c r="M26" s="837">
        <f t="shared" si="2"/>
        <v>0</v>
      </c>
      <c r="N26" s="837">
        <f t="shared" si="2"/>
        <v>0</v>
      </c>
      <c r="O26" s="837">
        <f t="shared" si="2"/>
        <v>0</v>
      </c>
      <c r="P26" s="837">
        <f t="shared" si="2"/>
        <v>0</v>
      </c>
      <c r="Q26" s="837">
        <f t="shared" si="2"/>
        <v>0</v>
      </c>
      <c r="R26" s="837">
        <f t="shared" si="2"/>
        <v>3221.3034484245495</v>
      </c>
      <c r="S26" s="67"/>
    </row>
    <row r="27" spans="1:19" s="474" customFormat="1" ht="17.25" thickTop="1" thickBot="1">
      <c r="A27" s="721" t="s">
        <v>115</v>
      </c>
      <c r="B27" s="829"/>
      <c r="C27" s="722">
        <f ca="1">C22+C16+C26</f>
        <v>47425.300660715176</v>
      </c>
      <c r="D27" s="722">
        <f t="shared" ref="D27:R27" ca="1" si="3">D22+D16+D26</f>
        <v>0</v>
      </c>
      <c r="E27" s="722">
        <f t="shared" ca="1" si="3"/>
        <v>91459.683091380415</v>
      </c>
      <c r="F27" s="722">
        <f t="shared" si="3"/>
        <v>3524.1525023037661</v>
      </c>
      <c r="G27" s="722">
        <f t="shared" ca="1" si="3"/>
        <v>4625.0049408968243</v>
      </c>
      <c r="H27" s="722">
        <f t="shared" si="3"/>
        <v>89589.449739538497</v>
      </c>
      <c r="I27" s="722">
        <f t="shared" si="3"/>
        <v>17866.658668818294</v>
      </c>
      <c r="J27" s="722">
        <f t="shared" si="3"/>
        <v>0</v>
      </c>
      <c r="K27" s="722">
        <f t="shared" si="3"/>
        <v>109.64217273958158</v>
      </c>
      <c r="L27" s="722">
        <f t="shared" si="3"/>
        <v>0</v>
      </c>
      <c r="M27" s="722">
        <f t="shared" ca="1" si="3"/>
        <v>0</v>
      </c>
      <c r="N27" s="722">
        <f t="shared" si="3"/>
        <v>6329.7359255930878</v>
      </c>
      <c r="O27" s="722">
        <f t="shared" ca="1" si="3"/>
        <v>10142.651495179083</v>
      </c>
      <c r="P27" s="722">
        <f t="shared" si="3"/>
        <v>124.98936782138301</v>
      </c>
      <c r="Q27" s="722">
        <f t="shared" si="3"/>
        <v>484.17015345772074</v>
      </c>
      <c r="R27" s="722">
        <f t="shared" ca="1" si="3"/>
        <v>271681.43871844385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5264.8454366249816</v>
      </c>
      <c r="D40" s="712">
        <f ca="1">tertiair!C20</f>
        <v>0</v>
      </c>
      <c r="E40" s="712">
        <f ca="1">tertiair!D20</f>
        <v>6566.0208276815692</v>
      </c>
      <c r="F40" s="712">
        <f>tertiair!E20</f>
        <v>55.036263581115726</v>
      </c>
      <c r="G40" s="712">
        <f ca="1">tertiair!F20</f>
        <v>775.2232302781315</v>
      </c>
      <c r="H40" s="712">
        <f>tertiair!G20</f>
        <v>0</v>
      </c>
      <c r="I40" s="712">
        <f>tertiair!H20</f>
        <v>0</v>
      </c>
      <c r="J40" s="712">
        <f>tertiair!I20</f>
        <v>0</v>
      </c>
      <c r="K40" s="712">
        <f>tertiair!J20</f>
        <v>9.9008759932260864E-3</v>
      </c>
      <c r="L40" s="712">
        <f>tertiair!K20</f>
        <v>0</v>
      </c>
      <c r="M40" s="712">
        <f ca="1">tertiair!L20</f>
        <v>0</v>
      </c>
      <c r="N40" s="712">
        <f>tertiair!M20</f>
        <v>0</v>
      </c>
      <c r="O40" s="712">
        <f ca="1">tertiair!N20</f>
        <v>0</v>
      </c>
      <c r="P40" s="712">
        <f>tertiair!O20</f>
        <v>0</v>
      </c>
      <c r="Q40" s="795">
        <f>tertiair!P20</f>
        <v>0</v>
      </c>
      <c r="R40" s="875">
        <f t="shared" ca="1" si="4"/>
        <v>12661.135659041793</v>
      </c>
    </row>
    <row r="41" spans="1:18">
      <c r="A41" s="847" t="s">
        <v>224</v>
      </c>
      <c r="B41" s="854"/>
      <c r="C41" s="712">
        <f ca="1">huishoudens!B12</f>
        <v>4162.6255539615813</v>
      </c>
      <c r="D41" s="712">
        <f ca="1">huishoudens!C12</f>
        <v>0</v>
      </c>
      <c r="E41" s="712">
        <f>huishoudens!D12</f>
        <v>11363.071852950401</v>
      </c>
      <c r="F41" s="712">
        <f>huishoudens!E12</f>
        <v>677.46430030789327</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16203.161707219875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212.93969856521755</v>
      </c>
      <c r="D43" s="712">
        <f ca="1">industrie!C22</f>
        <v>0</v>
      </c>
      <c r="E43" s="712">
        <f>industrie!D22</f>
        <v>294.69459449108803</v>
      </c>
      <c r="F43" s="712">
        <f>industrie!E22</f>
        <v>20.947336810149672</v>
      </c>
      <c r="G43" s="712">
        <f>industrie!F22</f>
        <v>85.786688302326695</v>
      </c>
      <c r="H43" s="712">
        <f>industrie!G22</f>
        <v>0</v>
      </c>
      <c r="I43" s="712">
        <f>industrie!H22</f>
        <v>0</v>
      </c>
      <c r="J43" s="712">
        <f>industrie!I22</f>
        <v>0</v>
      </c>
      <c r="K43" s="712">
        <f>industrie!J22</f>
        <v>0.16131988441872522</v>
      </c>
      <c r="L43" s="712">
        <f>industrie!K22</f>
        <v>0</v>
      </c>
      <c r="M43" s="712">
        <f>industrie!L22</f>
        <v>0</v>
      </c>
      <c r="N43" s="712">
        <f>industrie!M22</f>
        <v>0</v>
      </c>
      <c r="O43" s="712">
        <f>industrie!N22</f>
        <v>0</v>
      </c>
      <c r="P43" s="712">
        <f>industrie!O22</f>
        <v>0</v>
      </c>
      <c r="Q43" s="795">
        <f>industrie!P22</f>
        <v>0</v>
      </c>
      <c r="R43" s="874">
        <f t="shared" ca="1" si="4"/>
        <v>614.52963805320076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9640.4106891517822</v>
      </c>
      <c r="D46" s="748">
        <f t="shared" ref="D46:Q46" ca="1" si="5">SUM(D39:D45)</f>
        <v>0</v>
      </c>
      <c r="E46" s="748">
        <f t="shared" ca="1" si="5"/>
        <v>18223.787275123057</v>
      </c>
      <c r="F46" s="748">
        <f t="shared" si="5"/>
        <v>753.44790069915859</v>
      </c>
      <c r="G46" s="748">
        <f t="shared" ca="1" si="5"/>
        <v>861.00991858045813</v>
      </c>
      <c r="H46" s="748">
        <f t="shared" si="5"/>
        <v>0</v>
      </c>
      <c r="I46" s="748">
        <f t="shared" si="5"/>
        <v>0</v>
      </c>
      <c r="J46" s="748">
        <f t="shared" si="5"/>
        <v>0</v>
      </c>
      <c r="K46" s="748">
        <f t="shared" si="5"/>
        <v>0.17122076041195131</v>
      </c>
      <c r="L46" s="748">
        <f t="shared" si="5"/>
        <v>0</v>
      </c>
      <c r="M46" s="748">
        <f t="shared" ca="1" si="5"/>
        <v>0</v>
      </c>
      <c r="N46" s="748">
        <f t="shared" si="5"/>
        <v>0</v>
      </c>
      <c r="O46" s="748">
        <f t="shared" ca="1" si="5"/>
        <v>0</v>
      </c>
      <c r="P46" s="748">
        <f t="shared" si="5"/>
        <v>0</v>
      </c>
      <c r="Q46" s="748">
        <f t="shared" si="5"/>
        <v>0</v>
      </c>
      <c r="R46" s="748">
        <f ca="1">SUM(R39:R45)</f>
        <v>29478.82700431487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1311.3693478279315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1311.3693478279315</v>
      </c>
    </row>
    <row r="50" spans="1:18">
      <c r="A50" s="850" t="s">
        <v>306</v>
      </c>
      <c r="B50" s="860"/>
      <c r="C50" s="718">
        <f ca="1">transport!B18</f>
        <v>12.910801395721748</v>
      </c>
      <c r="D50" s="718">
        <f>transport!C18</f>
        <v>0</v>
      </c>
      <c r="E50" s="718">
        <f>transport!D18</f>
        <v>47.929759403783684</v>
      </c>
      <c r="F50" s="718">
        <f>transport!E18</f>
        <v>43.727732566602135</v>
      </c>
      <c r="G50" s="718">
        <f>transport!F18</f>
        <v>0</v>
      </c>
      <c r="H50" s="718">
        <f>transport!G18</f>
        <v>22609.01373262885</v>
      </c>
      <c r="I50" s="718">
        <f>transport!H18</f>
        <v>4448.7980085357549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27162.380034530714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12.910801395721748</v>
      </c>
      <c r="D52" s="748">
        <f t="shared" ref="D52:Q52" ca="1" si="6">SUM(D48:D51)</f>
        <v>0</v>
      </c>
      <c r="E52" s="748">
        <f t="shared" si="6"/>
        <v>47.929759403783684</v>
      </c>
      <c r="F52" s="748">
        <f t="shared" si="6"/>
        <v>43.727732566602135</v>
      </c>
      <c r="G52" s="748">
        <f t="shared" si="6"/>
        <v>0</v>
      </c>
      <c r="H52" s="748">
        <f t="shared" si="6"/>
        <v>23920.383080456781</v>
      </c>
      <c r="I52" s="748">
        <f t="shared" si="6"/>
        <v>4448.7980085357549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28473.749382358645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81.845144091462913</v>
      </c>
      <c r="D54" s="718">
        <f ca="1">+landbouw!C12</f>
        <v>0</v>
      </c>
      <c r="E54" s="718">
        <f>+landbouw!D12</f>
        <v>19.811587532000001</v>
      </c>
      <c r="F54" s="718">
        <f>+landbouw!E12</f>
        <v>2.8069847571941735</v>
      </c>
      <c r="G54" s="718">
        <f>+landbouw!F12</f>
        <v>373.86640063899409</v>
      </c>
      <c r="H54" s="718">
        <f>+landbouw!G12</f>
        <v>0</v>
      </c>
      <c r="I54" s="718">
        <f>+landbouw!H12</f>
        <v>0</v>
      </c>
      <c r="J54" s="718">
        <f>+landbouw!I12</f>
        <v>0</v>
      </c>
      <c r="K54" s="718">
        <f>+landbouw!J12</f>
        <v>38.64210838939993</v>
      </c>
      <c r="L54" s="718">
        <f>+landbouw!K12</f>
        <v>0</v>
      </c>
      <c r="M54" s="718">
        <f>+landbouw!L12</f>
        <v>0</v>
      </c>
      <c r="N54" s="718">
        <f>+landbouw!M12</f>
        <v>0</v>
      </c>
      <c r="O54" s="718">
        <f>+landbouw!N12</f>
        <v>0</v>
      </c>
      <c r="P54" s="718">
        <f>+landbouw!O12</f>
        <v>0</v>
      </c>
      <c r="Q54" s="719">
        <f>+landbouw!P12</f>
        <v>0</v>
      </c>
      <c r="R54" s="747">
        <f ca="1">SUM(C54:Q54)</f>
        <v>516.97222540905113</v>
      </c>
    </row>
    <row r="55" spans="1:18" ht="15" thickBot="1">
      <c r="A55" s="850" t="s">
        <v>734</v>
      </c>
      <c r="B55" s="860"/>
      <c r="C55" s="718">
        <f ca="1">C25*'EF ele_warmte'!B12</f>
        <v>61.492407512829502</v>
      </c>
      <c r="D55" s="718"/>
      <c r="E55" s="718">
        <f>E25*EF_CO2_aardgas</f>
        <v>183.3273624</v>
      </c>
      <c r="F55" s="718"/>
      <c r="G55" s="718"/>
      <c r="H55" s="718"/>
      <c r="I55" s="718"/>
      <c r="J55" s="718"/>
      <c r="K55" s="718"/>
      <c r="L55" s="718"/>
      <c r="M55" s="718"/>
      <c r="N55" s="718"/>
      <c r="O55" s="718"/>
      <c r="P55" s="718"/>
      <c r="Q55" s="719"/>
      <c r="R55" s="747">
        <f ca="1">SUM(C55:Q55)</f>
        <v>244.81976991282949</v>
      </c>
    </row>
    <row r="56" spans="1:18" ht="15.75" thickBot="1">
      <c r="A56" s="848" t="s">
        <v>735</v>
      </c>
      <c r="B56" s="861"/>
      <c r="C56" s="748">
        <f ca="1">SUM(C54:C55)</f>
        <v>143.3375516042924</v>
      </c>
      <c r="D56" s="748">
        <f t="shared" ref="D56:Q56" ca="1" si="7">SUM(D54:D55)</f>
        <v>0</v>
      </c>
      <c r="E56" s="748">
        <f t="shared" si="7"/>
        <v>203.138949932</v>
      </c>
      <c r="F56" s="748">
        <f t="shared" si="7"/>
        <v>2.8069847571941735</v>
      </c>
      <c r="G56" s="748">
        <f t="shared" si="7"/>
        <v>373.86640063899409</v>
      </c>
      <c r="H56" s="748">
        <f t="shared" si="7"/>
        <v>0</v>
      </c>
      <c r="I56" s="748">
        <f t="shared" si="7"/>
        <v>0</v>
      </c>
      <c r="J56" s="748">
        <f t="shared" si="7"/>
        <v>0</v>
      </c>
      <c r="K56" s="748">
        <f t="shared" si="7"/>
        <v>38.64210838939993</v>
      </c>
      <c r="L56" s="748">
        <f t="shared" si="7"/>
        <v>0</v>
      </c>
      <c r="M56" s="748">
        <f t="shared" si="7"/>
        <v>0</v>
      </c>
      <c r="N56" s="748">
        <f t="shared" si="7"/>
        <v>0</v>
      </c>
      <c r="O56" s="748">
        <f t="shared" si="7"/>
        <v>0</v>
      </c>
      <c r="P56" s="748">
        <f t="shared" si="7"/>
        <v>0</v>
      </c>
      <c r="Q56" s="749">
        <f t="shared" si="7"/>
        <v>0</v>
      </c>
      <c r="R56" s="750">
        <f ca="1">SUM(R54:R55)</f>
        <v>761.79199532188068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9796.6590421517958</v>
      </c>
      <c r="D61" s="756">
        <f t="shared" ref="D61:Q61" ca="1" si="8">D46+D52+D56</f>
        <v>0</v>
      </c>
      <c r="E61" s="756">
        <f t="shared" ca="1" si="8"/>
        <v>18474.855984458842</v>
      </c>
      <c r="F61" s="756">
        <f t="shared" si="8"/>
        <v>799.98261802295497</v>
      </c>
      <c r="G61" s="756">
        <f t="shared" ca="1" si="8"/>
        <v>1234.8763192194522</v>
      </c>
      <c r="H61" s="756">
        <f t="shared" si="8"/>
        <v>23920.383080456781</v>
      </c>
      <c r="I61" s="756">
        <f t="shared" si="8"/>
        <v>4448.7980085357549</v>
      </c>
      <c r="J61" s="756">
        <f t="shared" si="8"/>
        <v>0</v>
      </c>
      <c r="K61" s="756">
        <f t="shared" si="8"/>
        <v>38.813329149811878</v>
      </c>
      <c r="L61" s="756">
        <f t="shared" si="8"/>
        <v>0</v>
      </c>
      <c r="M61" s="756">
        <f t="shared" ca="1" si="8"/>
        <v>0</v>
      </c>
      <c r="N61" s="756">
        <f t="shared" si="8"/>
        <v>0</v>
      </c>
      <c r="O61" s="756">
        <f t="shared" ca="1" si="8"/>
        <v>0</v>
      </c>
      <c r="P61" s="756">
        <f t="shared" si="8"/>
        <v>0</v>
      </c>
      <c r="Q61" s="756">
        <f t="shared" si="8"/>
        <v>0</v>
      </c>
      <c r="R61" s="756">
        <f ca="1">R46+R52+R56</f>
        <v>58714.368381995395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0.20657030963784428</v>
      </c>
      <c r="D63" s="802">
        <f t="shared" ca="1" si="9"/>
        <v>0</v>
      </c>
      <c r="E63" s="1008">
        <f t="shared" ca="1" si="9"/>
        <v>0.20199999999999999</v>
      </c>
      <c r="F63" s="802">
        <f t="shared" si="9"/>
        <v>0.22700000000000001</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3096.5267143269675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3096.5267143269675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3096.5267143269675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3096.5267143269675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20151.131889473512</v>
      </c>
      <c r="C4" s="478">
        <f>huishoudens!C8</f>
        <v>0</v>
      </c>
      <c r="D4" s="478">
        <f>huishoudens!D8</f>
        <v>56252.830955199999</v>
      </c>
      <c r="E4" s="478">
        <f>huishoudens!E8</f>
        <v>2984.4242304312479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8982.0048331094895</v>
      </c>
      <c r="O4" s="478">
        <f>huishoudens!O8</f>
        <v>124.98936782138301</v>
      </c>
      <c r="P4" s="479">
        <f>huishoudens!P8</f>
        <v>326.5527385382357</v>
      </c>
      <c r="Q4" s="480">
        <f>SUM(B4:P4)</f>
        <v>88821.934014573868</v>
      </c>
    </row>
    <row r="5" spans="1:17">
      <c r="A5" s="477" t="s">
        <v>155</v>
      </c>
      <c r="B5" s="478">
        <f ca="1">tertiair!B16</f>
        <v>24535.073690000001</v>
      </c>
      <c r="C5" s="478">
        <f ca="1">tertiair!C16</f>
        <v>0</v>
      </c>
      <c r="D5" s="478">
        <f ca="1">tertiair!D16</f>
        <v>32505.053602384003</v>
      </c>
      <c r="E5" s="478">
        <f>tertiair!E16</f>
        <v>242.450500357338</v>
      </c>
      <c r="F5" s="478">
        <f ca="1">tertiair!F16</f>
        <v>2903.4577913038629</v>
      </c>
      <c r="G5" s="478">
        <f>tertiair!G16</f>
        <v>0</v>
      </c>
      <c r="H5" s="478">
        <f>tertiair!H16</f>
        <v>0</v>
      </c>
      <c r="I5" s="478">
        <f>tertiair!I16</f>
        <v>0</v>
      </c>
      <c r="J5" s="478">
        <f>tertiair!J16</f>
        <v>2.7968576252051094E-2</v>
      </c>
      <c r="K5" s="478">
        <f>tertiair!K16</f>
        <v>0</v>
      </c>
      <c r="L5" s="478">
        <f ca="1">tertiair!L16</f>
        <v>0</v>
      </c>
      <c r="M5" s="478">
        <f>tertiair!M16</f>
        <v>0</v>
      </c>
      <c r="N5" s="478">
        <f ca="1">tertiair!N16</f>
        <v>1112.6321376749743</v>
      </c>
      <c r="O5" s="478">
        <f>tertiair!O16</f>
        <v>0</v>
      </c>
      <c r="P5" s="479">
        <f>tertiair!P16</f>
        <v>157.61741491948504</v>
      </c>
      <c r="Q5" s="477">
        <f t="shared" ref="Q5:Q14" ca="1" si="0">SUM(B5:P5)</f>
        <v>61456.313105215908</v>
      </c>
    </row>
    <row r="6" spans="1:17">
      <c r="A6" s="477" t="s">
        <v>193</v>
      </c>
      <c r="B6" s="478">
        <f>'openbare verlichting'!B8</f>
        <v>951.86800000000005</v>
      </c>
      <c r="C6" s="478"/>
      <c r="D6" s="478"/>
      <c r="E6" s="478"/>
      <c r="F6" s="478"/>
      <c r="G6" s="478"/>
      <c r="H6" s="478"/>
      <c r="I6" s="478"/>
      <c r="J6" s="478"/>
      <c r="K6" s="478"/>
      <c r="L6" s="478"/>
      <c r="M6" s="478"/>
      <c r="N6" s="478"/>
      <c r="O6" s="478"/>
      <c r="P6" s="479"/>
      <c r="Q6" s="477">
        <f t="shared" si="0"/>
        <v>951.86800000000005</v>
      </c>
    </row>
    <row r="7" spans="1:17">
      <c r="A7" s="477" t="s">
        <v>111</v>
      </c>
      <c r="B7" s="478">
        <f>landbouw!B8</f>
        <v>396.20962099999997</v>
      </c>
      <c r="C7" s="478">
        <f>landbouw!C8</f>
        <v>0</v>
      </c>
      <c r="D7" s="478">
        <f>landbouw!D8</f>
        <v>98.077166000000005</v>
      </c>
      <c r="E7" s="478">
        <f>landbouw!E8</f>
        <v>12.365571617595478</v>
      </c>
      <c r="F7" s="478">
        <f>landbouw!F8</f>
        <v>1400.2486915318129</v>
      </c>
      <c r="G7" s="478">
        <f>landbouw!G8</f>
        <v>0</v>
      </c>
      <c r="H7" s="478">
        <f>landbouw!H8</f>
        <v>0</v>
      </c>
      <c r="I7" s="478">
        <f>landbouw!I8</f>
        <v>0</v>
      </c>
      <c r="J7" s="478">
        <f>landbouw!J8</f>
        <v>109.15849827514104</v>
      </c>
      <c r="K7" s="478">
        <f>landbouw!K8</f>
        <v>0</v>
      </c>
      <c r="L7" s="478">
        <f>landbouw!L8</f>
        <v>0</v>
      </c>
      <c r="M7" s="478">
        <f>landbouw!M8</f>
        <v>0</v>
      </c>
      <c r="N7" s="478">
        <f>landbouw!N8</f>
        <v>0</v>
      </c>
      <c r="O7" s="478">
        <f>landbouw!O8</f>
        <v>0</v>
      </c>
      <c r="P7" s="479">
        <f>landbouw!P8</f>
        <v>0</v>
      </c>
      <c r="Q7" s="477">
        <f t="shared" si="0"/>
        <v>2016.0595484245496</v>
      </c>
    </row>
    <row r="8" spans="1:17">
      <c r="A8" s="477" t="s">
        <v>629</v>
      </c>
      <c r="B8" s="478">
        <f>industrie!B18</f>
        <v>1030.8340000000001</v>
      </c>
      <c r="C8" s="478">
        <f>industrie!C18</f>
        <v>0</v>
      </c>
      <c r="D8" s="478">
        <f>industrie!D18</f>
        <v>1458.8841311440001</v>
      </c>
      <c r="E8" s="478">
        <f>industrie!E18</f>
        <v>92.279016784800319</v>
      </c>
      <c r="F8" s="478">
        <f>industrie!F18</f>
        <v>321.29845806114866</v>
      </c>
      <c r="G8" s="478">
        <f>industrie!G18</f>
        <v>0</v>
      </c>
      <c r="H8" s="478">
        <f>industrie!H18</f>
        <v>0</v>
      </c>
      <c r="I8" s="478">
        <f>industrie!I18</f>
        <v>0</v>
      </c>
      <c r="J8" s="478">
        <f>industrie!J18</f>
        <v>0.45570588818848934</v>
      </c>
      <c r="K8" s="478">
        <f>industrie!K18</f>
        <v>0</v>
      </c>
      <c r="L8" s="478">
        <f>industrie!L18</f>
        <v>0</v>
      </c>
      <c r="M8" s="478">
        <f>industrie!M18</f>
        <v>0</v>
      </c>
      <c r="N8" s="478">
        <f>industrie!N18</f>
        <v>48.014524394618334</v>
      </c>
      <c r="O8" s="478">
        <f>industrie!O18</f>
        <v>0</v>
      </c>
      <c r="P8" s="479">
        <f>industrie!P18</f>
        <v>0</v>
      </c>
      <c r="Q8" s="477">
        <f t="shared" si="0"/>
        <v>2951.7658362727557</v>
      </c>
    </row>
    <row r="9" spans="1:17" s="483" customFormat="1">
      <c r="A9" s="481" t="s">
        <v>555</v>
      </c>
      <c r="B9" s="482">
        <f>transport!B14</f>
        <v>62.500760241666661</v>
      </c>
      <c r="C9" s="482">
        <f>transport!C14</f>
        <v>0</v>
      </c>
      <c r="D9" s="482">
        <f>transport!D14</f>
        <v>237.27603665239445</v>
      </c>
      <c r="E9" s="482">
        <f>transport!E14</f>
        <v>192.63318311278474</v>
      </c>
      <c r="F9" s="482">
        <f>transport!F14</f>
        <v>0</v>
      </c>
      <c r="G9" s="482">
        <f>transport!G14</f>
        <v>84677.95405478969</v>
      </c>
      <c r="H9" s="482">
        <f>transport!H14</f>
        <v>17866.658668818294</v>
      </c>
      <c r="I9" s="482">
        <f>transport!I14</f>
        <v>0</v>
      </c>
      <c r="J9" s="482">
        <f>transport!J14</f>
        <v>0</v>
      </c>
      <c r="K9" s="482">
        <f>transport!K14</f>
        <v>0</v>
      </c>
      <c r="L9" s="482">
        <f>transport!L14</f>
        <v>0</v>
      </c>
      <c r="M9" s="482">
        <f>transport!M14</f>
        <v>6056.7544520076044</v>
      </c>
      <c r="N9" s="482">
        <f>transport!N14</f>
        <v>0</v>
      </c>
      <c r="O9" s="482">
        <f>transport!O14</f>
        <v>0</v>
      </c>
      <c r="P9" s="482">
        <f>transport!P14</f>
        <v>0</v>
      </c>
      <c r="Q9" s="481">
        <f>SUM(B9:P9)</f>
        <v>109093.77715562245</v>
      </c>
    </row>
    <row r="10" spans="1:17">
      <c r="A10" s="477" t="s">
        <v>545</v>
      </c>
      <c r="B10" s="478">
        <f>transport!B54</f>
        <v>0</v>
      </c>
      <c r="C10" s="478">
        <f>transport!C54</f>
        <v>0</v>
      </c>
      <c r="D10" s="478">
        <f>transport!D54</f>
        <v>0</v>
      </c>
      <c r="E10" s="478">
        <f>transport!E54</f>
        <v>0</v>
      </c>
      <c r="F10" s="478">
        <f>transport!F54</f>
        <v>0</v>
      </c>
      <c r="G10" s="478">
        <f>transport!G54</f>
        <v>4911.4956847488065</v>
      </c>
      <c r="H10" s="478">
        <f>transport!H54</f>
        <v>0</v>
      </c>
      <c r="I10" s="478">
        <f>transport!I54</f>
        <v>0</v>
      </c>
      <c r="J10" s="478">
        <f>transport!J54</f>
        <v>0</v>
      </c>
      <c r="K10" s="478">
        <f>transport!K54</f>
        <v>0</v>
      </c>
      <c r="L10" s="478">
        <f>transport!L54</f>
        <v>0</v>
      </c>
      <c r="M10" s="478">
        <f>transport!M54</f>
        <v>272.981473585483</v>
      </c>
      <c r="N10" s="478">
        <f>transport!N54</f>
        <v>0</v>
      </c>
      <c r="O10" s="478">
        <f>transport!O54</f>
        <v>0</v>
      </c>
      <c r="P10" s="479">
        <f>transport!P54</f>
        <v>0</v>
      </c>
      <c r="Q10" s="477">
        <f t="shared" si="0"/>
        <v>5184.4771583342899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297.68270000000001</v>
      </c>
      <c r="C14" s="485"/>
      <c r="D14" s="485">
        <f>'SEAP template'!E25</f>
        <v>907.56119999999999</v>
      </c>
      <c r="E14" s="485"/>
      <c r="F14" s="485"/>
      <c r="G14" s="485"/>
      <c r="H14" s="485"/>
      <c r="I14" s="485"/>
      <c r="J14" s="485"/>
      <c r="K14" s="485"/>
      <c r="L14" s="485"/>
      <c r="M14" s="485"/>
      <c r="N14" s="485"/>
      <c r="O14" s="485"/>
      <c r="P14" s="486"/>
      <c r="Q14" s="477">
        <f t="shared" si="0"/>
        <v>1205.2438999999999</v>
      </c>
    </row>
    <row r="15" spans="1:17" s="489" customFormat="1">
      <c r="A15" s="487" t="s">
        <v>549</v>
      </c>
      <c r="B15" s="488">
        <f ca="1">SUM(B4:B14)</f>
        <v>47425.300660715184</v>
      </c>
      <c r="C15" s="488">
        <f t="shared" ref="C15:Q15" ca="1" si="1">SUM(C4:C14)</f>
        <v>0</v>
      </c>
      <c r="D15" s="488">
        <f t="shared" ca="1" si="1"/>
        <v>91459.683091380415</v>
      </c>
      <c r="E15" s="488">
        <f t="shared" si="1"/>
        <v>3524.1525023037661</v>
      </c>
      <c r="F15" s="488">
        <f t="shared" ca="1" si="1"/>
        <v>4625.0049408968243</v>
      </c>
      <c r="G15" s="488">
        <f t="shared" si="1"/>
        <v>89589.449739538497</v>
      </c>
      <c r="H15" s="488">
        <f t="shared" si="1"/>
        <v>17866.658668818294</v>
      </c>
      <c r="I15" s="488">
        <f t="shared" si="1"/>
        <v>0</v>
      </c>
      <c r="J15" s="488">
        <f t="shared" si="1"/>
        <v>109.64217273958158</v>
      </c>
      <c r="K15" s="488">
        <f t="shared" si="1"/>
        <v>0</v>
      </c>
      <c r="L15" s="488">
        <f t="shared" ca="1" si="1"/>
        <v>0</v>
      </c>
      <c r="M15" s="488">
        <f t="shared" si="1"/>
        <v>6329.7359255930878</v>
      </c>
      <c r="N15" s="488">
        <f t="shared" ca="1" si="1"/>
        <v>10142.651495179083</v>
      </c>
      <c r="O15" s="488">
        <f t="shared" si="1"/>
        <v>124.98936782138301</v>
      </c>
      <c r="P15" s="488">
        <f t="shared" si="1"/>
        <v>484.17015345772074</v>
      </c>
      <c r="Q15" s="488">
        <f t="shared" ca="1" si="1"/>
        <v>271681.43871844379</v>
      </c>
    </row>
    <row r="17" spans="1:17">
      <c r="A17" s="490" t="s">
        <v>550</v>
      </c>
      <c r="B17" s="807">
        <f ca="1">huishoudens!B10</f>
        <v>0.20657030963784426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4162.6255539615813</v>
      </c>
      <c r="C22" s="478">
        <f t="shared" ref="C22:C32" ca="1" si="3">C4*$C$17</f>
        <v>0</v>
      </c>
      <c r="D22" s="478">
        <f t="shared" ref="D22:D32" si="4">D4*$D$17</f>
        <v>11363.071852950401</v>
      </c>
      <c r="E22" s="478">
        <f t="shared" ref="E22:E32" si="5">E4*$E$17</f>
        <v>677.46430030789327</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16203.161707219875</v>
      </c>
    </row>
    <row r="23" spans="1:17">
      <c r="A23" s="477" t="s">
        <v>155</v>
      </c>
      <c r="B23" s="478">
        <f t="shared" ca="1" si="2"/>
        <v>5068.217769130626</v>
      </c>
      <c r="C23" s="478">
        <f t="shared" ca="1" si="3"/>
        <v>0</v>
      </c>
      <c r="D23" s="478">
        <f t="shared" ca="1" si="4"/>
        <v>6566.0208276815692</v>
      </c>
      <c r="E23" s="478">
        <f t="shared" si="5"/>
        <v>55.036263581115726</v>
      </c>
      <c r="F23" s="478">
        <f t="shared" ca="1" si="6"/>
        <v>775.2232302781315</v>
      </c>
      <c r="G23" s="478">
        <f t="shared" si="7"/>
        <v>0</v>
      </c>
      <c r="H23" s="478">
        <f t="shared" si="8"/>
        <v>0</v>
      </c>
      <c r="I23" s="478">
        <f t="shared" si="9"/>
        <v>0</v>
      </c>
      <c r="J23" s="478">
        <f t="shared" si="10"/>
        <v>9.9008759932260864E-3</v>
      </c>
      <c r="K23" s="478">
        <f t="shared" si="11"/>
        <v>0</v>
      </c>
      <c r="L23" s="478">
        <f t="shared" ca="1" si="12"/>
        <v>0</v>
      </c>
      <c r="M23" s="478">
        <f t="shared" si="13"/>
        <v>0</v>
      </c>
      <c r="N23" s="478">
        <f t="shared" ca="1" si="14"/>
        <v>0</v>
      </c>
      <c r="O23" s="478">
        <f t="shared" si="15"/>
        <v>0</v>
      </c>
      <c r="P23" s="479">
        <f t="shared" si="16"/>
        <v>0</v>
      </c>
      <c r="Q23" s="477">
        <f t="shared" ref="Q23:Q31" ca="1" si="17">SUM(B23:P23)</f>
        <v>12464.507991547438</v>
      </c>
    </row>
    <row r="24" spans="1:17">
      <c r="A24" s="477" t="s">
        <v>193</v>
      </c>
      <c r="B24" s="478">
        <f t="shared" ca="1" si="2"/>
        <v>196.62766749435553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196.62766749435553</v>
      </c>
    </row>
    <row r="25" spans="1:17">
      <c r="A25" s="477" t="s">
        <v>111</v>
      </c>
      <c r="B25" s="478">
        <f t="shared" ca="1" si="2"/>
        <v>81.845144091462913</v>
      </c>
      <c r="C25" s="478">
        <f t="shared" ca="1" si="3"/>
        <v>0</v>
      </c>
      <c r="D25" s="478">
        <f t="shared" si="4"/>
        <v>19.811587532000001</v>
      </c>
      <c r="E25" s="478">
        <f t="shared" si="5"/>
        <v>2.8069847571941735</v>
      </c>
      <c r="F25" s="478">
        <f t="shared" si="6"/>
        <v>373.86640063899409</v>
      </c>
      <c r="G25" s="478">
        <f t="shared" si="7"/>
        <v>0</v>
      </c>
      <c r="H25" s="478">
        <f t="shared" si="8"/>
        <v>0</v>
      </c>
      <c r="I25" s="478">
        <f t="shared" si="9"/>
        <v>0</v>
      </c>
      <c r="J25" s="478">
        <f t="shared" si="10"/>
        <v>38.64210838939993</v>
      </c>
      <c r="K25" s="478">
        <f t="shared" si="11"/>
        <v>0</v>
      </c>
      <c r="L25" s="478">
        <f t="shared" si="12"/>
        <v>0</v>
      </c>
      <c r="M25" s="478">
        <f t="shared" si="13"/>
        <v>0</v>
      </c>
      <c r="N25" s="478">
        <f t="shared" si="14"/>
        <v>0</v>
      </c>
      <c r="O25" s="478">
        <f t="shared" si="15"/>
        <v>0</v>
      </c>
      <c r="P25" s="479">
        <f t="shared" si="16"/>
        <v>0</v>
      </c>
      <c r="Q25" s="477">
        <f t="shared" ca="1" si="17"/>
        <v>516.97222540905113</v>
      </c>
    </row>
    <row r="26" spans="1:17">
      <c r="A26" s="477" t="s">
        <v>629</v>
      </c>
      <c r="B26" s="478">
        <f t="shared" ca="1" si="2"/>
        <v>212.93969856521755</v>
      </c>
      <c r="C26" s="478">
        <f t="shared" ca="1" si="3"/>
        <v>0</v>
      </c>
      <c r="D26" s="478">
        <f t="shared" si="4"/>
        <v>294.69459449108803</v>
      </c>
      <c r="E26" s="478">
        <f t="shared" si="5"/>
        <v>20.947336810149672</v>
      </c>
      <c r="F26" s="478">
        <f t="shared" si="6"/>
        <v>85.786688302326695</v>
      </c>
      <c r="G26" s="478">
        <f t="shared" si="7"/>
        <v>0</v>
      </c>
      <c r="H26" s="478">
        <f t="shared" si="8"/>
        <v>0</v>
      </c>
      <c r="I26" s="478">
        <f t="shared" si="9"/>
        <v>0</v>
      </c>
      <c r="J26" s="478">
        <f t="shared" si="10"/>
        <v>0.16131988441872522</v>
      </c>
      <c r="K26" s="478">
        <f t="shared" si="11"/>
        <v>0</v>
      </c>
      <c r="L26" s="478">
        <f t="shared" si="12"/>
        <v>0</v>
      </c>
      <c r="M26" s="478">
        <f t="shared" si="13"/>
        <v>0</v>
      </c>
      <c r="N26" s="478">
        <f t="shared" si="14"/>
        <v>0</v>
      </c>
      <c r="O26" s="478">
        <f t="shared" si="15"/>
        <v>0</v>
      </c>
      <c r="P26" s="479">
        <f t="shared" si="16"/>
        <v>0</v>
      </c>
      <c r="Q26" s="477">
        <f t="shared" ca="1" si="17"/>
        <v>614.52963805320076</v>
      </c>
    </row>
    <row r="27" spans="1:17" s="483" customFormat="1">
      <c r="A27" s="481" t="s">
        <v>555</v>
      </c>
      <c r="B27" s="801">
        <f t="shared" ca="1" si="2"/>
        <v>12.910801395721748</v>
      </c>
      <c r="C27" s="482">
        <f t="shared" ca="1" si="3"/>
        <v>0</v>
      </c>
      <c r="D27" s="482">
        <f t="shared" si="4"/>
        <v>47.929759403783684</v>
      </c>
      <c r="E27" s="482">
        <f t="shared" si="5"/>
        <v>43.727732566602135</v>
      </c>
      <c r="F27" s="482">
        <f t="shared" si="6"/>
        <v>0</v>
      </c>
      <c r="G27" s="482">
        <f t="shared" si="7"/>
        <v>22609.01373262885</v>
      </c>
      <c r="H27" s="482">
        <f t="shared" si="8"/>
        <v>4448.7980085357549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27162.380034530714</v>
      </c>
    </row>
    <row r="28" spans="1:17" ht="16.5" customHeight="1">
      <c r="A28" s="477" t="s">
        <v>545</v>
      </c>
      <c r="B28" s="478">
        <f t="shared" ca="1" si="2"/>
        <v>0</v>
      </c>
      <c r="C28" s="478">
        <f t="shared" ca="1" si="3"/>
        <v>0</v>
      </c>
      <c r="D28" s="478">
        <f t="shared" si="4"/>
        <v>0</v>
      </c>
      <c r="E28" s="478">
        <f t="shared" si="5"/>
        <v>0</v>
      </c>
      <c r="F28" s="478">
        <f t="shared" si="6"/>
        <v>0</v>
      </c>
      <c r="G28" s="478">
        <f t="shared" si="7"/>
        <v>1311.3693478279315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1311.3693478279315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61.492407512829502</v>
      </c>
      <c r="C32" s="478">
        <f t="shared" ca="1" si="3"/>
        <v>0</v>
      </c>
      <c r="D32" s="478">
        <f t="shared" si="4"/>
        <v>183.3273624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244.81976991282949</v>
      </c>
    </row>
    <row r="33" spans="1:17" s="489" customFormat="1">
      <c r="A33" s="487" t="s">
        <v>549</v>
      </c>
      <c r="B33" s="488">
        <f ca="1">SUM(B22:B32)</f>
        <v>9796.659042151794</v>
      </c>
      <c r="C33" s="488">
        <f t="shared" ref="C33:Q33" ca="1" si="19">SUM(C22:C32)</f>
        <v>0</v>
      </c>
      <c r="D33" s="488">
        <f t="shared" ca="1" si="19"/>
        <v>18474.855984458842</v>
      </c>
      <c r="E33" s="488">
        <f t="shared" si="19"/>
        <v>799.98261802295497</v>
      </c>
      <c r="F33" s="488">
        <f t="shared" ca="1" si="19"/>
        <v>1234.8763192194522</v>
      </c>
      <c r="G33" s="488">
        <f t="shared" si="19"/>
        <v>23920.383080456781</v>
      </c>
      <c r="H33" s="488">
        <f t="shared" si="19"/>
        <v>4448.7980085357549</v>
      </c>
      <c r="I33" s="488">
        <f t="shared" si="19"/>
        <v>0</v>
      </c>
      <c r="J33" s="488">
        <f t="shared" si="19"/>
        <v>38.813329149811878</v>
      </c>
      <c r="K33" s="488">
        <f t="shared" si="19"/>
        <v>0</v>
      </c>
      <c r="L33" s="488">
        <f t="shared" ca="1" si="19"/>
        <v>0</v>
      </c>
      <c r="M33" s="488">
        <f t="shared" si="19"/>
        <v>0</v>
      </c>
      <c r="N33" s="488">
        <f t="shared" ca="1" si="19"/>
        <v>0</v>
      </c>
      <c r="O33" s="488">
        <f t="shared" si="19"/>
        <v>0</v>
      </c>
      <c r="P33" s="488">
        <f t="shared" si="19"/>
        <v>0</v>
      </c>
      <c r="Q33" s="488">
        <f t="shared" ca="1" si="19"/>
        <v>58714.368381995395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3096.5267143269675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3096.5267143269675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0.20657030963784426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0.20657030963784426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2019-08-12T08:38:51Z</dcterms:modified>
</cp:coreProperties>
</file>