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K10" s="1"/>
  <c r="B75" i="14"/>
  <c r="B7" i="59" s="1"/>
  <c r="L78" i="14" l="1"/>
  <c r="L8" i="59"/>
  <c r="L10" s="1"/>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F16" i="16"/>
  <c r="G20" i="59"/>
  <c r="C13" i="15"/>
  <c r="L6" i="17"/>
  <c r="L5" s="1"/>
  <c r="E20" i="59"/>
  <c r="B13" i="15"/>
  <c r="F6" i="17"/>
  <c r="D89" i="14"/>
  <c r="D19" i="59" s="1"/>
  <c r="O19" i="18"/>
  <c r="K10"/>
  <c r="N77" i="14"/>
  <c r="L10" i="18"/>
  <c r="O77" i="14"/>
  <c r="C89"/>
  <c r="C19" i="59" s="1"/>
  <c r="B89" i="14"/>
  <c r="B19" i="59" s="1"/>
  <c r="H16" i="14"/>
  <c r="B8" i="9"/>
  <c r="C16" i="15"/>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H78" i="14" l="1"/>
  <c r="H9" i="59"/>
  <c r="H10" s="1"/>
  <c r="N78" i="14"/>
  <c r="N9" i="59"/>
  <c r="N10" s="1"/>
  <c r="M24" i="48"/>
  <c r="M32"/>
  <c r="E78" i="14"/>
  <c r="E9" i="59"/>
  <c r="E10" s="1"/>
  <c r="O78" i="14"/>
  <c r="O9" i="59"/>
  <c r="O10" s="1"/>
  <c r="G78" i="14"/>
  <c r="G9" i="59"/>
  <c r="G10" s="1"/>
  <c r="H90" i="14"/>
  <c r="H18" i="59"/>
  <c r="H20" s="1"/>
  <c r="K15" i="48"/>
  <c r="I33"/>
  <c r="J16" i="14"/>
  <c r="J27" s="1"/>
  <c r="I20" i="15"/>
  <c r="J40" i="14" s="1"/>
  <c r="J46" s="1"/>
  <c r="J61" s="1"/>
  <c r="I15" i="48"/>
  <c r="J7"/>
  <c r="J25" s="1"/>
  <c r="K33"/>
  <c r="P22"/>
  <c r="L8"/>
  <c r="L22" i="16"/>
  <c r="M43" i="14" s="1"/>
  <c r="C17" i="18"/>
  <c r="C20" s="1"/>
  <c r="D10" i="14"/>
  <c r="B88"/>
  <c r="B18" i="59" s="1"/>
  <c r="C88" i="14"/>
  <c r="C18" i="59" s="1"/>
  <c r="B77" i="14"/>
  <c r="B9" i="59" s="1"/>
  <c r="C77" i="14"/>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I90" i="14" l="1"/>
  <c r="I17" i="59"/>
  <c r="I20" s="1"/>
  <c r="J78" i="14"/>
  <c r="J8" i="59"/>
  <c r="J10" s="1"/>
  <c r="D90" i="14"/>
  <c r="D17" i="59"/>
  <c r="D20" s="1"/>
  <c r="J5" i="48"/>
  <c r="J23" s="1"/>
  <c r="O15"/>
  <c r="E27"/>
  <c r="G15"/>
  <c r="O17" i="18"/>
  <c r="O20" s="1"/>
  <c r="Q76" i="14"/>
  <c r="P8" i="59" s="1"/>
  <c r="P10" s="1"/>
  <c r="D78" i="14"/>
  <c r="B76"/>
  <c r="B8" i="59" s="1"/>
  <c r="B10" s="1"/>
  <c r="F23" i="48"/>
  <c r="L23"/>
  <c r="L33" s="1"/>
  <c r="L15"/>
  <c r="B20" i="6"/>
  <c r="B22" s="1"/>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P17" i="59"/>
  <c r="P20" s="1"/>
  <c r="Q5" i="48"/>
  <c r="C18" i="15"/>
  <c r="C20" s="1"/>
  <c r="D40" i="14" s="1"/>
  <c r="C22" i="59"/>
  <c r="G33" i="48"/>
  <c r="Q9"/>
  <c r="H15"/>
  <c r="F22" i="16"/>
  <c r="G43" i="14" s="1"/>
  <c r="G46" s="1"/>
  <c r="G61" s="1"/>
  <c r="G63" s="1"/>
  <c r="Q78" s="1"/>
  <c r="B9" i="6" s="1"/>
  <c r="F8" i="48"/>
  <c r="F15" s="1"/>
  <c r="O13" i="14"/>
  <c r="O16" s="1"/>
  <c r="O27" s="1"/>
  <c r="C10" i="13"/>
  <c r="C12" s="1"/>
  <c r="C29" i="20"/>
  <c r="C17" i="19"/>
  <c r="C19" s="1"/>
  <c r="D39" i="14" s="1"/>
  <c r="C16" i="22"/>
  <c r="C56"/>
  <c r="C58" s="1"/>
  <c r="D49" i="14" s="1"/>
  <c r="D52" s="1"/>
  <c r="C20" i="16"/>
  <c r="C22" s="1"/>
  <c r="D43" i="14" s="1"/>
  <c r="C10" i="17"/>
  <c r="C12" s="1"/>
  <c r="D54" i="14" s="1"/>
  <c r="D56" s="1"/>
  <c r="C17" i="49"/>
  <c r="C87" i="14"/>
  <c r="B87"/>
  <c r="I52"/>
  <c r="I61" s="1"/>
  <c r="I63" s="1"/>
  <c r="F46"/>
  <c r="F61" s="1"/>
  <c r="M46"/>
  <c r="M61" s="1"/>
  <c r="M63" s="1"/>
  <c r="B3" i="6"/>
  <c r="N22" i="16"/>
  <c r="O43" i="14" s="1"/>
  <c r="E8" i="48"/>
  <c r="E26" s="1"/>
  <c r="E33" s="1"/>
  <c r="F13" i="14"/>
  <c r="J22" i="16"/>
  <c r="K43" i="14" s="1"/>
  <c r="J8" i="48"/>
  <c r="N26"/>
  <c r="N33" s="1"/>
  <c r="N63" i="14"/>
  <c r="H63"/>
  <c r="R20"/>
  <c r="R22" s="1"/>
  <c r="H27" i="48"/>
  <c r="H33" s="1"/>
  <c r="C90" i="14" l="1"/>
  <c r="C17" i="59"/>
  <c r="C20" s="1"/>
  <c r="B90" i="14"/>
  <c r="B17" i="59"/>
  <c r="B20" s="1"/>
  <c r="F26" i="48"/>
  <c r="F33" s="1"/>
  <c r="J26"/>
  <c r="J33" s="1"/>
  <c r="J15"/>
  <c r="E15"/>
  <c r="C17"/>
  <c r="C24" s="1"/>
  <c r="D41" i="14"/>
  <c r="D46" s="1"/>
  <c r="D61" s="1"/>
  <c r="D63" s="1"/>
  <c r="O46"/>
  <c r="O61" s="1"/>
  <c r="O63" s="1"/>
  <c r="K46"/>
  <c r="K61" s="1"/>
  <c r="K63" s="1"/>
  <c r="F16"/>
  <c r="R13"/>
  <c r="R16" s="1"/>
  <c r="R27" s="1"/>
  <c r="Q8" i="48"/>
  <c r="Q15" s="1"/>
  <c r="C28" l="1"/>
  <c r="C30"/>
  <c r="C27"/>
  <c r="C29"/>
  <c r="C32"/>
  <c r="C25"/>
  <c r="C31"/>
  <c r="C26"/>
  <c r="C22"/>
  <c r="C23"/>
  <c r="F27" i="14"/>
  <c r="F63" s="1"/>
  <c r="C78"/>
  <c r="B78"/>
  <c r="B4" i="6" l="1"/>
  <c r="B12" s="1"/>
  <c r="C33" i="48"/>
  <c r="B18" i="15" l="1"/>
  <c r="B20" s="1"/>
  <c r="B16" i="22"/>
  <c r="B18" s="1"/>
  <c r="C50" i="14" s="1"/>
  <c r="R50" s="1"/>
  <c r="B10" i="17"/>
  <c r="B12" s="1"/>
  <c r="C54" i="14" s="1"/>
  <c r="R54" s="1"/>
  <c r="R56" s="1"/>
  <c r="B17" i="49"/>
  <c r="B19" s="1"/>
  <c r="C42" i="14" s="1"/>
  <c r="R42" s="1"/>
  <c r="B56" i="22"/>
  <c r="B58" s="1"/>
  <c r="C49" i="14" s="1"/>
  <c r="R49" s="1"/>
  <c r="B10" i="13"/>
  <c r="C55" i="14"/>
  <c r="R55" s="1"/>
  <c r="B10" i="9"/>
  <c r="B12" s="1"/>
  <c r="B29" i="20"/>
  <c r="B31" s="1"/>
  <c r="C12" i="59"/>
  <c r="B17" i="19"/>
  <c r="B19" s="1"/>
  <c r="C39" i="14" s="1"/>
  <c r="R39" s="1"/>
  <c r="B20" i="16"/>
  <c r="B22" s="1"/>
  <c r="C43" i="14" s="1"/>
  <c r="R43" s="1"/>
  <c r="C48"/>
  <c r="R48"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<sst xmlns="http://schemas.openxmlformats.org/spreadsheetml/2006/main" count="2384" uniqueCount="886">
  <si>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</si>
  <si>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</si>
  <si>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</si>
  <si>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</si>
  <si>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</si>
  <si>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</si>
  <si>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</si>
  <si>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</si>
  <si>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</si>
  <si>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</si>
  <si>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</si>
  <si>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</si>
  <si>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</si>
  <si>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</si>
  <si>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</si>
  <si>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</si>
  <si>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</si>
  <si>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</si>
  <si>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</si>
  <si>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</si>
  <si>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</si>
  <si>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</si>
  <si>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</si>
  <si>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</si>
  <si>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</si>
  <si>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</si>
  <si>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</si>
  <si>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</si>
  <si>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</si>
  <si>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</si>
  <si>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</si>
  <si>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</si>
  <si>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</si>
  <si>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</si>
  <si>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</si>
  <si>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</si>
  <si>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</si>
  <si>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</si>
  <si>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</si>
  <si>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</si>
  <si>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</si>
  <si>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</si>
  <si>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</si>
  <si>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</si>
  <si>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</si>
  <si>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</si>
  <si>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</si>
  <si>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</si>
  <si>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</si>
  <si>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</si>
  <si>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</si>
  <si>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</si>
  <si>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</si>
  <si>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</si>
  <si>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</si>
  <si>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</si>
  <si>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</si>
  <si>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</si>
  <si>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</si>
  <si>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</si>
  <si>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</si>
  <si>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</si>
  <si>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</si>
  <si>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</si>
  <si>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</si>
  <si>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</si>
  <si>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</si>
  <si>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</si>
  <si>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</si>
  <si>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</si>
  <si>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</si>
  <si>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</si>
  <si>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</si>
  <si>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</si>
  <si>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</si>
  <si>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</si>
  <si>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</si>
  <si>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</si>
  <si>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</si>
  <si>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</si>
  <si>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</si>
  <si>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</si>
  <si>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</si>
  <si>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</si>
  <si>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</si>
  <si>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</si>
  <si>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</si>
  <si>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</si>
  <si>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</si>
  <si>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</si>
  <si>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</si>
  <si>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</si>
  <si>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</si>
  <si>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</si>
  <si>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</si>
  <si>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</si>
  <si>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</si>
  <si>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</si>
  <si>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</si>
  <si>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</si>
  <si>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</si>
  <si>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</si>
  <si>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</si>
  <si>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</si>
  <si>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</si>
  <si>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</si>
  <si>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</si>
  <si>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</si>
  <si>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</si>
  <si>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</si>
  <si>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</si>
  <si>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</si>
  <si>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</si>
  <si>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</si>
  <si>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</si>
  <si>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</si>
  <si>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</si>
  <si>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</si>
  <si>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</si>
  <si>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</si>
  <si>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</si>
  <si>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</si>
  <si>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</si>
  <si>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</si>
  <si>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</si>
  <si>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</si>
  <si>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</si>
  <si>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</si>
  <si>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</si>
  <si>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</si>
  <si>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</si>
  <si>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</si>
  <si>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</si>
  <si>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</si>
  <si>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</si>
  <si>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</si>
  <si>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</si>
  <si>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</si>
  <si>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</si>
  <si>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</si>
  <si>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</si>
  <si>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</si>
  <si>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</si>
  <si>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</si>
  <si>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</si>
  <si>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</si>
  <si>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</si>
  <si>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</si>
  <si>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</si>
  <si>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</si>
  <si>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</si>
  <si>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</si>
  <si>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</si>
  <si>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</si>
  <si>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</si>
  <si>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</si>
  <si>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</si>
  <si>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</si>
  <si>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</si>
  <si>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</si>
  <si>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</si>
  <si>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</si>
  <si>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</si>
  <si>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</si>
  <si>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</si>
  <si>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</si>
  <si>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</si>
  <si>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</si>
  <si>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</si>
  <si>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</si>
  <si>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</si>
  <si>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</si>
  <si>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</si>
  <si>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</si>
  <si>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</si>
  <si>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</si>
  <si>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</si>
  <si>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</si>
  <si>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</si>
  <si>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</si>
  <si>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</si>
  <si>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</si>
  <si>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</si>
  <si>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</si>
  <si>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</si>
  <si>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</si>
  <si>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</si>
  <si>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</si>
  <si>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</si>
  <si>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</si>
  <si>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</si>
  <si>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</si>
  <si>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</si>
  <si>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</si>
  <si>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</si>
  <si>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</si>
  <si>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</si>
  <si>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</si>
  <si>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</si>
  <si>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</si>
  <si>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</si>
  <si>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</si>
  <si>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</si>
  <si>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</si>
  <si>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</si>
  <si>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</si>
  <si>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</si>
  <si>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</si>
  <si>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</si>
  <si>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</si>
  <si>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</si>
  <si>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</si>
  <si>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</si>
  <si>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</si>
  <si>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</si>
  <si>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</si>
  <si>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</si>
  <si>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</si>
  <si>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</si>
  <si>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</si>
  <si>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</si>
  <si>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</si>
  <si>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</si>
  <si>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</si>
  <si>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</si>
  <si>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</si>
  <si>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</si>
  <si>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</si>
  <si>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</si>
  <si>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</si>
  <si>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</si>
  <si>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</si>
  <si>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</si>
  <si>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</si>
  <si>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</si>
  <si>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</si>
  <si>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</si>
  <si>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</si>
  <si>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</si>
  <si>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</si>
  <si>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</si>
  <si>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</si>
  <si>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</si>
  <si>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</si>
  <si>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</si>
  <si>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</si>
  <si>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</si>
  <si>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</si>
  <si>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</si>
  <si>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</si>
  <si>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</si>
  <si>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</si>
  <si>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</si>
  <si>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</si>
  <si>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</si>
  <si>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</si>
  <si>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</si>
  <si>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</si>
  <si>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</si>
  <si>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</si>
  <si>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</si>
  <si>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</si>
  <si>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</si>
  <si>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</si>
  <si>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</si>
  <si>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</si>
  <si>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</si>
  <si>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</si>
  <si>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</si>
  <si>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</si>
  <si>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</si>
  <si>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</si>
  <si>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</si>
  <si>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</si>
  <si>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</si>
  <si>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</si>
  <si>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</si>
  <si>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</si>
  <si>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</si>
  <si>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</si>
  <si>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</si>
  <si>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</si>
  <si>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</si>
  <si>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</si>
  <si>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</si>
  <si>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</si>
  <si>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</si>
  <si>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</si>
  <si>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</si>
  <si>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</si>
  <si>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</si>
  <si>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</si>
  <si>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</si>
  <si>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</si>
  <si>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</si>
  <si>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</si>
  <si>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</si>
  <si>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</si>
  <si>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</si>
  <si>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</si>
  <si>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</si>
  <si>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</si>
  <si>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</si>
  <si>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</si>
  <si>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</si>
  <si>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</si>
  <si>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</si>
  <si>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</si>
  <si>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</si>
  <si>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</si>
  <si>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</si>
  <si>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</si>
  <si>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</si>
  <si>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</si>
  <si>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</si>
  <si>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</si>
  <si>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</si>
  <si>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</si>
  <si>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</si>
  <si>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</si>
  <si>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</si>
  <si>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</si>
  <si>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</si>
  <si>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</si>
  <si>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</si>
  <si>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</si>
  <si>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</si>
  <si>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</si>
  <si>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</si>
  <si>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</si>
  <si>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</si>
  <si>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</si>
  <si>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</si>
  <si>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</si>
  <si>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</si>
  <si>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</si>
  <si>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</si>
  <si>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</si>
  <si>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</si>
  <si>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</si>
  <si>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</si>
  <si>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</si>
  <si>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</si>
  <si>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</si>
  <si>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</si>
  <si>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</si>
  <si>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</si>
  <si>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</si>
  <si>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</si>
  <si>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</si>
  <si>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</si>
  <si>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</si>
  <si>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</si>
  <si>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</si>
  <si>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</si>
  <si>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</si>
  <si>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</si>
  <si>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</si>
  <si>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</si>
  <si>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</si>
  <si>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</si>
  <si>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</si>
  <si>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</si>
  <si>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</si>
  <si>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</si>
  <si>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</si>
  <si>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</si>
  <si>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</si>
  <si>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</si>
  <si>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</si>
  <si>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</si>
  <si>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</si>
  <si>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</si>
  <si>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</si>
  <si>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</si>
  <si>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</si>
  <si>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</si>
  <si>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</si>
  <si>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</si>
  <si>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</si>
  <si>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</si>
  <si>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</si>
  <si>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</si>
  <si>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</si>
  <si>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</si>
  <si>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</si>
  <si>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</si>
  <si>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</si>
  <si>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</si>
  <si>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</si>
  <si>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</si>
  <si>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</si>
  <si>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</si>
  <si>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</si>
  <si>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</si>
  <si>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</si>
  <si>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</si>
  <si>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</si>
  <si>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</si>
  <si>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</si>
  <si>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</si>
  <si>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</si>
  <si>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</si>
  <si>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</si>
  <si>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</si>
  <si>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</si>
  <si>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</si>
  <si>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</si>
  <si>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</si>
  <si>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</si>
  <si>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</si>
  <si>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</si>
  <si>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</si>
  <si>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</si>
  <si>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</si>
  <si>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</si>
  <si>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</si>
  <si>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</si>
  <si>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</si>
  <si>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</si>
  <si>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</si>
  <si>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</si>
  <si>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</si>
  <si>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</si>
  <si>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</si>
  <si>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</si>
  <si>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</si>
  <si>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</si>
  <si>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</si>
  <si>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</si>
  <si>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</si>
  <si>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</si>
  <si>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</si>
  <si>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</si>
  <si>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</si>
  <si>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</si>
  <si>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</si>
  <si>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</si>
  <si>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</si>
  <si>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</si>
  <si>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</si>
  <si>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</si>
  <si>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</si>
  <si>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</si>
  <si>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</si>
  <si>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</si>
  <si>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</si>
  <si>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</si>
  <si>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</si>
  <si>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</si>
  <si>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</si>
  <si>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</si>
  <si>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</si>
  <si>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</si>
  <si>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</si>
  <si>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</si>
  <si>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</si>
  <si>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</si>
  <si>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</si>
  <si>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</si>
  <si>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</si>
  <si>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</si>
  <si>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</si>
  <si>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</si>
  <si>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</si>
  <si>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</si>
  <si>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</si>
  <si>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</si>
  <si>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</si>
  <si>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</si>
  <si>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</si>
  <si>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</si>
  <si>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</si>
  <si>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</si>
  <si>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</si>
  <si>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</si>
  <si>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</si>
  <si>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</si>
  <si>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</si>
  <si>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</si>
  <si>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</si>
  <si>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</si>
  <si>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</si>
  <si>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</si>
  <si>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</si>
  <si>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</si>
  <si>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</si>
  <si>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</si>
  <si>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</si>
  <si>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</si>
  <si>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</si>
  <si>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</si>
  <si>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</si>
  <si>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</si>
  <si>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</si>
  <si>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</si>
  <si>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</si>
  <si>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</si>
  <si>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</si>
  <si>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</si>
  <si>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</si>
  <si>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</si>
  <si>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</si>
  <si>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</si>
  <si>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</si>
  <si>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</si>
  <si>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</si>
  <si>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</si>
  <si>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</si>
  <si>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</si>
  <si>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</si>
  <si>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</si>
  <si>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</si>
  <si>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</si>
  <si>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</si>
  <si>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</si>
  <si>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</si>
  <si>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</si>
  <si>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</si>
  <si>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</si>
  <si>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</si>
  <si>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</si>
  <si>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</si>
  <si>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</si>
  <si>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</si>
  <si>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</si>
  <si>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</si>
  <si>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</si>
  <si>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</si>
  <si>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</si>
  <si>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</si>
  <si>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</si>
  <si>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</si>
  <si>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</si>
  <si>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</si>
  <si>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</si>
  <si>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</si>
  <si>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</si>
  <si>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</si>
  <si>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</si>
  <si>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</si>
  <si>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</si>
  <si>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</si>
  <si>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</si>
  <si>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</si>
  <si>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</si>
  <si>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</si>
  <si>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</si>
  <si>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</si>
  <si>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</si>
  <si>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</si>
  <si>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</si>
  <si>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</si>
  <si>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</si>
  <si>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</si>
  <si>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</si>
  <si>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</si>
  <si>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</si>
  <si>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</si>
  <si>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</si>
  <si>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</si>
  <si>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</si>
  <si>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</si>
  <si>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</si>
  <si>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</si>
  <si>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</si>
  <si>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</si>
  <si>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</si>
  <si>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</si>
  <si>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</si>
  <si>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</si>
  <si>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</si>
  <si>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</si>
  <si>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</si>
  <si>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</si>
  <si>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</si>
  <si>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</si>
  <si>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</si>
  <si>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</si>
  <si>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</si>
  <si>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</si>
  <si>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</si>
  <si>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</si>
  <si>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</si>
  <si>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</si>
  <si>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</si>
  <si>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</si>
  <si>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</si>
  <si>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</si>
  <si>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</si>
  <si>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</si>
  <si>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</si>
  <si>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</si>
  <si>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</si>
  <si>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</si>
  <si>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</si>
  <si>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</si>
  <si>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</si>
  <si>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</si>
  <si>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</si>
  <si>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</si>
  <si>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</si>
  <si>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</si>
  <si>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</si>
  <si>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</si>
  <si>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</si>
  <si>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</si>
  <si>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</si>
  <si>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</si>
  <si>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</si>
  <si>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</si>
  <si>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</si>
  <si>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</si>
  <si>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</si>
  <si>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</si>
  <si>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</si>
  <si>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</si>
  <si>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</si>
  <si>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</si>
  <si>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</si>
  <si>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</si>
  <si>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</si>
  <si>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</si>
  <si>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</si>
  <si>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</si>
  <si>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</si>
  <si>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</si>
  <si>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</si>
  <si>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</si>
  <si>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</si>
  <si>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</si>
  <si>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</si>
  <si>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</si>
  <si>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</si>
  <si>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</si>
  <si>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</si>
  <si>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</si>
  <si>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</si>
  <si>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</si>
  <si>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</si>
  <si>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</si>
  <si>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</si>
  <si>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</si>
  <si>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</si>
  <si>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</si>
  <si>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</si>
  <si>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</si>
  <si>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</si>
  <si>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</si>
  <si>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</si>
  <si>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</si>
  <si>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</si>
  <si>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</si>
  <si>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</si>
  <si>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</si>
  <si>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</si>
  <si>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</si>
  <si>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</si>
  <si>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</si>
  <si>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</si>
  <si>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</si>
  <si>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</si>
  <si>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</si>
  <si>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</si>
  <si>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</si>
  <si>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</si>
  <si>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</si>
  <si>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</si>
  <si>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</si>
  <si>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</si>
  <si>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</si>
  <si>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</si>
  <si>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</si>
  <si>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</si>
  <si>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</si>
  <si>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</si>
  <si>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</si>
  <si>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</si>
  <si>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</si>
  <si>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</si>
  <si>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</si>
  <si>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</si>
  <si>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</si>
  <si>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</si>
  <si>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</si>
  <si>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</si>
  <si>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</si>
  <si>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</si>
  <si>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</si>
  <si>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</si>
  <si>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</si>
  <si>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</si>
  <si>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</si>
  <si>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</si>
  <si>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</si>
  <si>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</si>
  <si>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</si>
  <si>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</si>
  <si>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</si>
  <si>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</si>
  <si>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</si>
  <si>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</si>
  <si>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</si>
  <si>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</si>
  <si>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</si>
  <si>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</si>
  <si>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</si>
  <si>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</si>
  <si>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</si>
  <si>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</si>
  <si>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</si>
  <si>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</si>
  <si>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</si>
  <si>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</si>
  <si>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</si>
  <si>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</si>
  <si>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</si>
  <si>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</si>
  <si>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</si>
  <si>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</si>
  <si>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</si>
  <si>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</si>
  <si>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</si>
  <si>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</si>
  <si>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</si>
  <si>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</si>
  <si>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</si>
  <si>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</si>
  <si>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</si>
  <si>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</si>
  <si>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</si>
  <si>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</si>
  <si>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</si>
  <si>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</si>
  <si>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</si>
  <si>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</si>
  <si>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</si>
  <si>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</si>
  <si>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</si>
  <si>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</si>
  <si>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</si>
  <si>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</si>
  <si>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</si>
  <si>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</si>
  <si>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</si>
  <si>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</si>
  <si>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</si>
  <si>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</si>
  <si>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</si>
  <si>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</si>
  <si>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</si>
  <si>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</si>
  <si>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</si>
  <si>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</si>
  <si>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</si>
  <si>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</si>
  <si>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</si>
  <si>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</si>
  <si>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</si>
  <si>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</si>
  <si>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</si>
  <si>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</si>
  <si>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</si>
  <si>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</si>
  <si>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</si>
  <si>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</si>
  <si>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</si>
  <si>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</si>
  <si>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</si>
  <si>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</si>
  <si>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</si>
  <si>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</si>
  <si>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</si>
  <si>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</si>
  <si>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</si>
  <si>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</si>
  <si>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</si>
  <si>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</si>
  <si>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</si>
  <si>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</si>
  <si>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</si>
  <si>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</si>
  <si>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</si>
  <si>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</si>
  <si>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</si>
  <si>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</si>
  <si>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</si>
  <si>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</si>
  <si>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</si>
  <si>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</si>
  <si>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</si>
  <si>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</si>
  <si>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</si>
  <si>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</si>
  <si>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</si>
  <si>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</si>
  <si>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</si>
  <si>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</si>
  <si>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</si>
  <si>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</si>
  <si>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</si>
  <si>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</si>
  <si>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</si>
  <si>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</si>
  <si>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</si>
  <si>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</si>
  <si>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</si>
  <si>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</si>
  <si>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</si>
  <si>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</si>
  <si>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</si>
  <si>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</si>
  <si>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</si>
  <si>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</si>
  <si>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</si>
  <si>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</si>
  <si>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</si>
  <si>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</si>
  <si>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</si>
  <si>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</si>
  <si>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</si>
  <si>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</si>
  <si>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</si>
  <si>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</si>
  <si>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</si>
  <si>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</si>
  <si>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</si>
  <si>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</si>
  <si>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</si>
  <si>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</si>
  <si>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</si>
  <si>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</si>
  <si>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</si>
  <si>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</si>
  <si>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</si>
  <si>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</si>
  <si>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</si>
  <si>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</si>
  <si>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</si>
  <si>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</si>
  <si>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</si>
  <si>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</si>
  <si>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</si>
  <si>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</si>
  <si>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</si>
  <si>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</si>
  <si>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</si>
  <si>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</si>
  <si>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</si>
  <si>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</si>
  <si>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</si>
  <si>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</si>
  <si>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</si>
  <si>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</si>
  <si>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</si>
  <si>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</si>
  <si>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</si>
  <si>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</si>
  <si>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</si>
  <si>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</si>
  <si>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</si>
  <si>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</si>
  <si>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</si>
  <si>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</si>
  <si>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</si>
  <si>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</si>
  <si>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</si>
  <si>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</si>
  <si>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</si>
  <si>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</si>
  <si>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</si>
  <si>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</si>
  <si>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</si>
  <si>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</si>
  <si>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</si>
  <si>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</si>
  <si>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</si>
  <si>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</si>
  <si>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23044</t>
  </si>
  <si>
    <t>LIEDEKERKE</t>
  </si>
  <si>
    <t>Mestbank (maart 2019)</t>
  </si>
  <si>
    <t>Fluvius (februari 2019)</t>
  </si>
  <si>
    <t>referentietaak LNE (2017); Jaarverslag De Lijn (2018)</t>
  </si>
  <si>
    <t>VEA (30 april 2019)</t>
  </si>
  <si>
    <t>VEA (mei 2018)</t>
  </si>
  <si>
    <t>VEA (mei 2019)</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</si>
</sst>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97946.407029337104</c:v>
                </c:pt>
                <c:pt idx="1">
                  <c:v>28850.376409782704</c:v>
                </c:pt>
                <c:pt idx="2">
                  <c:v>569.31600000000003</c:v>
                </c:pt>
                <c:pt idx="3">
                  <c:v>443.49535070348912</c:v>
                </c:pt>
                <c:pt idx="4">
                  <c:v>14485.28592566682</c:v>
                </c:pt>
                <c:pt idx="5">
                  <c:v>29882.155274649991</c:v>
                </c:pt>
                <c:pt idx="6">
                  <c:v>1138.1909884746908</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1994624"/>
        <c:axId val="181996160"/>
      </c:barChart>
      <c:catAx>
        <c:axId val="181994624"/>
        <c:scaling>
          <c:orientation val="minMax"/>
        </c:scaling>
        <c:axPos val="b"/>
        <c:numFmt formatCode="General" sourceLinked="0"/>
        <c:tickLblPos val="nextTo"/>
        <c:crossAx val="181996160"/>
        <c:crosses val="autoZero"/>
        <c:auto val="1"/>
        <c:lblAlgn val="ctr"/>
        <c:lblOffset val="100"/>
      </c:catAx>
      <c:valAx>
        <c:axId val="181996160"/>
        <c:scaling>
          <c:orientation val="minMax"/>
        </c:scaling>
        <c:axPos val="l"/>
        <c:majorGridlines/>
        <c:numFmt formatCode="#,##0" sourceLinked="1"/>
        <c:tickLblPos val="nextTo"/>
        <c:crossAx val="1819946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97946.407029337104</c:v>
                </c:pt>
                <c:pt idx="1">
                  <c:v>28850.376409782704</c:v>
                </c:pt>
                <c:pt idx="2">
                  <c:v>569.31600000000003</c:v>
                </c:pt>
                <c:pt idx="3">
                  <c:v>443.49535070348912</c:v>
                </c:pt>
                <c:pt idx="4">
                  <c:v>14485.28592566682</c:v>
                </c:pt>
                <c:pt idx="5">
                  <c:v>29882.155274649991</c:v>
                </c:pt>
                <c:pt idx="6">
                  <c:v>1138.1909884746908</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20586.390878840321</c:v>
                </c:pt>
                <c:pt idx="1">
                  <c:v>5827.3068541773819</c:v>
                </c:pt>
                <c:pt idx="2">
                  <c:v>118.95923287278508</c:v>
                </c:pt>
                <c:pt idx="3">
                  <c:v>108.64396980777522</c:v>
                </c:pt>
                <c:pt idx="4">
                  <c:v>3077.3172052220757</c:v>
                </c:pt>
                <c:pt idx="5">
                  <c:v>7406.4756080674579</c:v>
                </c:pt>
                <c:pt idx="6">
                  <c:v>287.895718059106</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13664"/>
        <c:axId val="182515200"/>
      </c:barChart>
      <c:catAx>
        <c:axId val="182513664"/>
        <c:scaling>
          <c:orientation val="minMax"/>
        </c:scaling>
        <c:axPos val="b"/>
        <c:numFmt formatCode="General" sourceLinked="0"/>
        <c:tickLblPos val="nextTo"/>
        <c:crossAx val="182515200"/>
        <c:crosses val="autoZero"/>
        <c:auto val="1"/>
        <c:lblAlgn val="ctr"/>
        <c:lblOffset val="100"/>
      </c:catAx>
      <c:valAx>
        <c:axId val="182515200"/>
        <c:scaling>
          <c:orientation val="minMax"/>
        </c:scaling>
        <c:axPos val="l"/>
        <c:majorGridlines/>
        <c:numFmt formatCode="#,##0" sourceLinked="1"/>
        <c:tickLblPos val="nextTo"/>
        <c:crossAx val="1825136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20586.390878840321</c:v>
                </c:pt>
                <c:pt idx="1">
                  <c:v>5827.3068541773819</c:v>
                </c:pt>
                <c:pt idx="2">
                  <c:v>118.95923287278508</c:v>
                </c:pt>
                <c:pt idx="3">
                  <c:v>108.64396980777522</c:v>
                </c:pt>
                <c:pt idx="4">
                  <c:v>3077.3172052220757</c:v>
                </c:pt>
                <c:pt idx="5">
                  <c:v>7406.4756080674579</c:v>
                </c:pt>
                <c:pt idx="6">
                  <c:v>287.895718059106</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23044</v>
      </c>
      <c r="B6" s="415"/>
      <c r="C6" s="416"/>
    </row>
    <row r="7" spans="1:7" s="413" customFormat="1" ht="15.75" customHeight="1">
      <c r="A7" s="417" t="str">
        <f>txtMunicipality</f>
        <v>LIEDEKERKE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0.20895114992866012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0.20895114992866012</v>
      </c>
      <c r="C29" s="528">
        <f ca="1">'EF ele_warmte'!B22</f>
        <v>0</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23044</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5361</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231.43</v>
      </c>
    </row>
    <row r="15" spans="1:6">
      <c r="A15" s="348" t="s">
        <v>183</v>
      </c>
      <c r="B15" s="334">
        <v>1</v>
      </c>
    </row>
    <row r="16" spans="1:6">
      <c r="A16" s="348" t="s">
        <v>6</v>
      </c>
      <c r="B16" s="334">
        <v>31</v>
      </c>
    </row>
    <row r="17" spans="1:6">
      <c r="A17" s="348" t="s">
        <v>7</v>
      </c>
      <c r="B17" s="334">
        <v>49</v>
      </c>
    </row>
    <row r="18" spans="1:6">
      <c r="A18" s="348" t="s">
        <v>8</v>
      </c>
      <c r="B18" s="334">
        <v>49</v>
      </c>
    </row>
    <row r="19" spans="1:6">
      <c r="A19" s="348" t="s">
        <v>9</v>
      </c>
      <c r="B19" s="334">
        <v>43</v>
      </c>
    </row>
    <row r="20" spans="1:6">
      <c r="A20" s="348" t="s">
        <v>10</v>
      </c>
      <c r="B20" s="334">
        <v>73</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34</v>
      </c>
    </row>
    <row r="27" spans="1:6">
      <c r="A27" s="348" t="s">
        <v>17</v>
      </c>
      <c r="B27" s="334">
        <v>0</v>
      </c>
    </row>
    <row r="28" spans="1:6" s="356" customFormat="1">
      <c r="A28" s="355" t="s">
        <v>18</v>
      </c>
      <c r="B28" s="355">
        <v>10</v>
      </c>
    </row>
    <row r="29" spans="1:6">
      <c r="A29" s="355" t="s">
        <v>713</v>
      </c>
      <c r="B29" s="355">
        <v>4</v>
      </c>
      <c r="C29" s="356"/>
      <c r="D29" s="356"/>
      <c r="E29" s="356"/>
      <c r="F29" s="356"/>
    </row>
    <row r="30" spans="1:6">
      <c r="A30" s="341" t="s">
        <v>714</v>
      </c>
      <c r="B30" s="341">
        <v>1</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5</v>
      </c>
      <c r="F38" s="334">
        <v>31434</v>
      </c>
    </row>
    <row r="39" spans="1:6">
      <c r="A39" s="348" t="s">
        <v>29</v>
      </c>
      <c r="B39" s="348" t="s">
        <v>30</v>
      </c>
      <c r="C39" s="334">
        <v>3089</v>
      </c>
      <c r="D39" s="334">
        <v>49411229.219999999</v>
      </c>
      <c r="E39" s="334">
        <v>5334</v>
      </c>
      <c r="F39" s="334">
        <v>20301716.460000001</v>
      </c>
    </row>
    <row r="40" spans="1:6">
      <c r="A40" s="348" t="s">
        <v>29</v>
      </c>
      <c r="B40" s="348" t="s">
        <v>28</v>
      </c>
      <c r="C40" s="334">
        <v>0</v>
      </c>
      <c r="D40" s="334">
        <v>0</v>
      </c>
      <c r="E40" s="334">
        <v>0</v>
      </c>
      <c r="F40" s="334">
        <v>0</v>
      </c>
    </row>
    <row r="41" spans="1:6">
      <c r="A41" s="348" t="s">
        <v>31</v>
      </c>
      <c r="B41" s="348" t="s">
        <v>32</v>
      </c>
      <c r="C41" s="334">
        <v>28</v>
      </c>
      <c r="D41" s="334">
        <v>1304348.0789999999</v>
      </c>
      <c r="E41" s="334">
        <v>70</v>
      </c>
      <c r="F41" s="334">
        <v>815868.84900000005</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3</v>
      </c>
      <c r="F44" s="334">
        <v>52763.523999999998</v>
      </c>
    </row>
    <row r="45" spans="1:6">
      <c r="A45" s="348" t="s">
        <v>31</v>
      </c>
      <c r="B45" s="348" t="s">
        <v>36</v>
      </c>
      <c r="C45" s="334">
        <v>3</v>
      </c>
      <c r="D45" s="334">
        <v>80961.184999999998</v>
      </c>
      <c r="E45" s="334">
        <v>4</v>
      </c>
      <c r="F45" s="334">
        <v>104553.822</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18</v>
      </c>
      <c r="D48" s="334">
        <v>270527.22200000001</v>
      </c>
      <c r="E48" s="334">
        <v>26</v>
      </c>
      <c r="F48" s="334">
        <v>8364628.9639999997</v>
      </c>
    </row>
    <row r="49" spans="1:6">
      <c r="A49" s="348" t="s">
        <v>31</v>
      </c>
      <c r="B49" s="348" t="s">
        <v>39</v>
      </c>
      <c r="C49" s="334">
        <v>0</v>
      </c>
      <c r="D49" s="334">
        <v>0</v>
      </c>
      <c r="E49" s="334">
        <v>0</v>
      </c>
      <c r="F49" s="334">
        <v>0</v>
      </c>
    </row>
    <row r="50" spans="1:6">
      <c r="A50" s="348" t="s">
        <v>31</v>
      </c>
      <c r="B50" s="348" t="s">
        <v>40</v>
      </c>
      <c r="C50" s="334">
        <v>5</v>
      </c>
      <c r="D50" s="334">
        <v>61111.786</v>
      </c>
      <c r="E50" s="334">
        <v>12</v>
      </c>
      <c r="F50" s="334">
        <v>253795.79199999999</v>
      </c>
    </row>
    <row r="51" spans="1:6">
      <c r="A51" s="348" t="s">
        <v>41</v>
      </c>
      <c r="B51" s="348" t="s">
        <v>42</v>
      </c>
      <c r="C51" s="334">
        <v>0</v>
      </c>
      <c r="D51" s="334">
        <v>0</v>
      </c>
      <c r="E51" s="334">
        <v>3</v>
      </c>
      <c r="F51" s="334">
        <v>30140.720000000001</v>
      </c>
    </row>
    <row r="52" spans="1:6">
      <c r="A52" s="348" t="s">
        <v>41</v>
      </c>
      <c r="B52" s="348" t="s">
        <v>28</v>
      </c>
      <c r="C52" s="334">
        <v>2</v>
      </c>
      <c r="D52" s="334">
        <v>125514.429</v>
      </c>
      <c r="E52" s="334">
        <v>8</v>
      </c>
      <c r="F52" s="334">
        <v>38087.561999999998</v>
      </c>
    </row>
    <row r="53" spans="1:6">
      <c r="A53" s="348" t="s">
        <v>43</v>
      </c>
      <c r="B53" s="348" t="s">
        <v>44</v>
      </c>
      <c r="C53" s="334">
        <v>78</v>
      </c>
      <c r="D53" s="334">
        <v>2187379.577</v>
      </c>
      <c r="E53" s="334">
        <v>181</v>
      </c>
      <c r="F53" s="334">
        <v>627762.26</v>
      </c>
    </row>
    <row r="54" spans="1:6">
      <c r="A54" s="348" t="s">
        <v>45</v>
      </c>
      <c r="B54" s="348" t="s">
        <v>46</v>
      </c>
      <c r="C54" s="334">
        <v>0</v>
      </c>
      <c r="D54" s="334">
        <v>0</v>
      </c>
      <c r="E54" s="334">
        <v>1</v>
      </c>
      <c r="F54" s="334">
        <v>569316</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12</v>
      </c>
      <c r="D57" s="334">
        <v>287954.00099999999</v>
      </c>
      <c r="E57" s="334">
        <v>40</v>
      </c>
      <c r="F57" s="334">
        <v>677445.29599999997</v>
      </c>
    </row>
    <row r="58" spans="1:6">
      <c r="A58" s="348" t="s">
        <v>48</v>
      </c>
      <c r="B58" s="348" t="s">
        <v>50</v>
      </c>
      <c r="C58" s="334">
        <v>21</v>
      </c>
      <c r="D58" s="334">
        <v>1001546.638</v>
      </c>
      <c r="E58" s="334">
        <v>34</v>
      </c>
      <c r="F58" s="334">
        <v>494972.321</v>
      </c>
    </row>
    <row r="59" spans="1:6">
      <c r="A59" s="348" t="s">
        <v>48</v>
      </c>
      <c r="B59" s="348" t="s">
        <v>51</v>
      </c>
      <c r="C59" s="334">
        <v>55</v>
      </c>
      <c r="D59" s="334">
        <v>1917355.138</v>
      </c>
      <c r="E59" s="334">
        <v>109</v>
      </c>
      <c r="F59" s="334">
        <v>2021143.477</v>
      </c>
    </row>
    <row r="60" spans="1:6">
      <c r="A60" s="348" t="s">
        <v>48</v>
      </c>
      <c r="B60" s="348" t="s">
        <v>52</v>
      </c>
      <c r="C60" s="334">
        <v>32</v>
      </c>
      <c r="D60" s="334">
        <v>872225.03599999996</v>
      </c>
      <c r="E60" s="334">
        <v>53</v>
      </c>
      <c r="F60" s="334">
        <v>704268.16</v>
      </c>
    </row>
    <row r="61" spans="1:6">
      <c r="A61" s="348" t="s">
        <v>48</v>
      </c>
      <c r="B61" s="348" t="s">
        <v>53</v>
      </c>
      <c r="C61" s="334">
        <v>47</v>
      </c>
      <c r="D61" s="334">
        <v>3306725.4169999999</v>
      </c>
      <c r="E61" s="334">
        <v>154</v>
      </c>
      <c r="F61" s="334">
        <v>2429279.895</v>
      </c>
    </row>
    <row r="62" spans="1:6">
      <c r="A62" s="348" t="s">
        <v>48</v>
      </c>
      <c r="B62" s="348" t="s">
        <v>54</v>
      </c>
      <c r="C62" s="334">
        <v>3</v>
      </c>
      <c r="D62" s="334">
        <v>458281.28700000001</v>
      </c>
      <c r="E62" s="334">
        <v>4</v>
      </c>
      <c r="F62" s="334">
        <v>265210.87900000002</v>
      </c>
    </row>
    <row r="63" spans="1:6">
      <c r="A63" s="348" t="s">
        <v>48</v>
      </c>
      <c r="B63" s="348" t="s">
        <v>28</v>
      </c>
      <c r="C63" s="334">
        <v>85</v>
      </c>
      <c r="D63" s="334">
        <v>6707428.9809999997</v>
      </c>
      <c r="E63" s="334">
        <v>105</v>
      </c>
      <c r="F63" s="334">
        <v>6502225.2319999998</v>
      </c>
    </row>
    <row r="64" spans="1:6">
      <c r="A64" s="348" t="s">
        <v>55</v>
      </c>
      <c r="B64" s="348" t="s">
        <v>56</v>
      </c>
      <c r="C64" s="334">
        <v>0</v>
      </c>
      <c r="D64" s="334">
        <v>0</v>
      </c>
      <c r="E64" s="334">
        <v>0</v>
      </c>
      <c r="F64" s="334">
        <v>0</v>
      </c>
    </row>
    <row r="65" spans="1:6">
      <c r="A65" s="348" t="s">
        <v>55</v>
      </c>
      <c r="B65" s="348" t="s">
        <v>28</v>
      </c>
      <c r="C65" s="334">
        <v>0</v>
      </c>
      <c r="D65" s="334">
        <v>0</v>
      </c>
      <c r="E65" s="334">
        <v>3</v>
      </c>
      <c r="F65" s="334">
        <v>16138.633</v>
      </c>
    </row>
    <row r="66" spans="1:6">
      <c r="A66" s="348" t="s">
        <v>55</v>
      </c>
      <c r="B66" s="348" t="s">
        <v>57</v>
      </c>
      <c r="C66" s="334">
        <v>0</v>
      </c>
      <c r="D66" s="334">
        <v>0</v>
      </c>
      <c r="E66" s="334">
        <v>9</v>
      </c>
      <c r="F66" s="334">
        <v>172381</v>
      </c>
    </row>
    <row r="67" spans="1:6">
      <c r="A67" s="355" t="s">
        <v>55</v>
      </c>
      <c r="B67" s="355" t="s">
        <v>58</v>
      </c>
      <c r="C67" s="334">
        <v>0</v>
      </c>
      <c r="D67" s="334">
        <v>0</v>
      </c>
      <c r="E67" s="334">
        <v>0</v>
      </c>
      <c r="F67" s="334">
        <v>0</v>
      </c>
    </row>
    <row r="68" spans="1:6">
      <c r="A68" s="341" t="s">
        <v>55</v>
      </c>
      <c r="B68" s="341" t="s">
        <v>59</v>
      </c>
      <c r="C68" s="334">
        <v>0</v>
      </c>
      <c r="D68" s="334">
        <v>0</v>
      </c>
      <c r="E68" s="334">
        <v>6</v>
      </c>
      <c r="F68" s="334">
        <v>55051.419000000002</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20436388</v>
      </c>
      <c r="E73" s="476"/>
    </row>
    <row r="74" spans="1:6">
      <c r="A74" s="348" t="s">
        <v>63</v>
      </c>
      <c r="B74" s="348" t="s">
        <v>651</v>
      </c>
      <c r="C74" s="1307" t="s">
        <v>653</v>
      </c>
      <c r="D74" s="476">
        <v>1131904</v>
      </c>
      <c r="E74" s="476"/>
    </row>
    <row r="75" spans="1:6">
      <c r="A75" s="348" t="s">
        <v>64</v>
      </c>
      <c r="B75" s="348" t="s">
        <v>650</v>
      </c>
      <c r="C75" s="1307" t="s">
        <v>654</v>
      </c>
      <c r="D75" s="476">
        <v>14721591</v>
      </c>
      <c r="E75" s="476"/>
    </row>
    <row r="76" spans="1:6">
      <c r="A76" s="348" t="s">
        <v>64</v>
      </c>
      <c r="B76" s="348" t="s">
        <v>651</v>
      </c>
      <c r="C76" s="1307" t="s">
        <v>655</v>
      </c>
      <c r="D76" s="476">
        <v>362364</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316204</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2052.7125515162529</v>
      </c>
    </row>
    <row r="92" spans="1:6">
      <c r="A92" s="341" t="s">
        <v>68</v>
      </c>
      <c r="B92" s="342">
        <v>472.91094532389241</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1228</v>
      </c>
    </row>
    <row r="98" spans="1:6">
      <c r="A98" s="348" t="s">
        <v>71</v>
      </c>
      <c r="B98" s="334">
        <v>3</v>
      </c>
    </row>
    <row r="99" spans="1:6">
      <c r="A99" s="348" t="s">
        <v>72</v>
      </c>
      <c r="B99" s="334">
        <v>90</v>
      </c>
    </row>
    <row r="100" spans="1:6">
      <c r="A100" s="348" t="s">
        <v>73</v>
      </c>
      <c r="B100" s="334">
        <v>508</v>
      </c>
    </row>
    <row r="101" spans="1:6">
      <c r="A101" s="348" t="s">
        <v>74</v>
      </c>
      <c r="B101" s="334">
        <v>26</v>
      </c>
    </row>
    <row r="102" spans="1:6">
      <c r="A102" s="348" t="s">
        <v>75</v>
      </c>
      <c r="B102" s="334">
        <v>50</v>
      </c>
    </row>
    <row r="103" spans="1:6">
      <c r="A103" s="348" t="s">
        <v>76</v>
      </c>
      <c r="B103" s="334">
        <v>209</v>
      </c>
    </row>
    <row r="104" spans="1:6">
      <c r="A104" s="348" t="s">
        <v>77</v>
      </c>
      <c r="B104" s="334">
        <v>2569</v>
      </c>
    </row>
    <row r="105" spans="1:6">
      <c r="A105" s="341" t="s">
        <v>78</v>
      </c>
      <c r="B105" s="341">
        <v>5</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0</v>
      </c>
      <c r="C121" s="334">
        <v>0</v>
      </c>
    </row>
    <row r="122" spans="1:6">
      <c r="A122" s="348" t="s">
        <v>86</v>
      </c>
      <c r="B122" s="334">
        <v>0</v>
      </c>
      <c r="C122" s="334">
        <v>0</v>
      </c>
    </row>
    <row r="123" spans="1:6">
      <c r="A123" s="348" t="s">
        <v>87</v>
      </c>
      <c r="B123" s="334">
        <v>10</v>
      </c>
      <c r="C123" s="334">
        <v>55</v>
      </c>
    </row>
    <row r="124" spans="1:6">
      <c r="A124" s="341" t="s">
        <v>88</v>
      </c>
      <c r="B124" s="334">
        <v>1</v>
      </c>
      <c r="C124" s="334">
        <v>0</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63</v>
      </c>
    </row>
    <row r="130" spans="1:6">
      <c r="A130" s="348" t="s">
        <v>294</v>
      </c>
      <c r="B130" s="334">
        <v>2</v>
      </c>
    </row>
    <row r="131" spans="1:6">
      <c r="A131" s="348" t="s">
        <v>295</v>
      </c>
      <c r="B131" s="334">
        <v>0</v>
      </c>
    </row>
    <row r="132" spans="1:6">
      <c r="A132" s="341" t="s">
        <v>296</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46324.9845003343</v>
      </c>
      <c r="C3" s="43" t="s">
        <v>169</v>
      </c>
      <c r="D3" s="43"/>
      <c r="E3" s="154"/>
      <c r="F3" s="43"/>
      <c r="G3" s="43"/>
      <c r="H3" s="43"/>
      <c r="I3" s="43"/>
      <c r="J3" s="43"/>
      <c r="K3" s="96"/>
    </row>
    <row r="4" spans="1:11">
      <c r="A4" s="383" t="s">
        <v>170</v>
      </c>
      <c r="B4" s="49">
        <f>IF(ISERROR('SEAP template'!B78+'SEAP template'!C78),0,'SEAP template'!B78+'SEAP template'!C78)</f>
        <v>2525.6234968401454</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0.20895114992866012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0</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569.31600000000003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569.31600000000003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0.20895114992866012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118.95923287278508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20301.71646</v>
      </c>
      <c r="C5" s="17">
        <f>IF(ISERROR('Eigen informatie GS &amp; warmtenet'!B59),0,'Eigen informatie GS &amp; warmtenet'!B59)</f>
        <v>0</v>
      </c>
      <c r="D5" s="30">
        <f>(SUM(HH_hh_gas_kWh,HH_rest_gas_kWh)/1000)*0.902</f>
        <v>44568.92875644</v>
      </c>
      <c r="E5" s="17">
        <f>B46*B57</f>
        <v>7537.2698386831216</v>
      </c>
      <c r="F5" s="17">
        <f>B51*B62</f>
        <v>18590.142649404406</v>
      </c>
      <c r="G5" s="18"/>
      <c r="H5" s="17"/>
      <c r="I5" s="17"/>
      <c r="J5" s="17">
        <f>B50*B61+C50*C61</f>
        <v>672.19006020472693</v>
      </c>
      <c r="K5" s="17"/>
      <c r="L5" s="17"/>
      <c r="M5" s="17"/>
      <c r="N5" s="17">
        <f>B48*B59+C48*C59</f>
        <v>3768.1264977395585</v>
      </c>
      <c r="O5" s="17">
        <f>B69*B70*B71</f>
        <v>234.10706988766975</v>
      </c>
      <c r="P5" s="17">
        <f>B77*B78*B79/1000-B77*B78*B79/1000/B80</f>
        <v>221.21314546138547</v>
      </c>
    </row>
    <row r="6" spans="1:16">
      <c r="A6" s="16" t="s">
        <v>615</v>
      </c>
      <c r="B6" s="809">
        <f>kWh_PV_kleiner_dan_10kW</f>
        <v>2052.7125515162529</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22354.429011516251</v>
      </c>
      <c r="C8" s="21">
        <f>C5</f>
        <v>0</v>
      </c>
      <c r="D8" s="21">
        <f>D5</f>
        <v>44568.92875644</v>
      </c>
      <c r="E8" s="21">
        <f>E5</f>
        <v>7537.2698386831216</v>
      </c>
      <c r="F8" s="21">
        <f>F5</f>
        <v>18590.142649404406</v>
      </c>
      <c r="G8" s="21"/>
      <c r="H8" s="21"/>
      <c r="I8" s="21"/>
      <c r="J8" s="21">
        <f>J5</f>
        <v>672.19006020472693</v>
      </c>
      <c r="K8" s="21"/>
      <c r="L8" s="21">
        <f>L5</f>
        <v>0</v>
      </c>
      <c r="M8" s="21">
        <f>M5</f>
        <v>0</v>
      </c>
      <c r="N8" s="21">
        <f>N5</f>
        <v>3768.1264977395585</v>
      </c>
      <c r="O8" s="21">
        <f>O5</f>
        <v>234.10706988766975</v>
      </c>
      <c r="P8" s="21">
        <f>P5</f>
        <v>221.21314546138547</v>
      </c>
    </row>
    <row r="9" spans="1:16">
      <c r="B9" s="19"/>
      <c r="C9" s="19"/>
      <c r="D9" s="258"/>
      <c r="E9" s="19"/>
      <c r="F9" s="19"/>
      <c r="G9" s="19"/>
      <c r="H9" s="19"/>
      <c r="I9" s="19"/>
      <c r="J9" s="19"/>
      <c r="K9" s="19"/>
      <c r="L9" s="19"/>
      <c r="M9" s="19"/>
      <c r="N9" s="19"/>
      <c r="O9" s="19"/>
      <c r="P9" s="19"/>
    </row>
    <row r="10" spans="1:16">
      <c r="A10" s="24" t="s">
        <v>213</v>
      </c>
      <c r="B10" s="25">
        <f ca="1">'EF ele_warmte'!B12</f>
        <v>0.20895114992866012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4670.9836479549222</v>
      </c>
      <c r="C12" s="23">
        <f ca="1">C10*C8</f>
        <v>0</v>
      </c>
      <c r="D12" s="23">
        <f>D8*D10</f>
        <v>9002.9236088008802</v>
      </c>
      <c r="E12" s="23">
        <f>E10*E8</f>
        <v>1710.9602533810687</v>
      </c>
      <c r="F12" s="23">
        <f>F10*F8</f>
        <v>4963.5680873909769</v>
      </c>
      <c r="G12" s="23"/>
      <c r="H12" s="23"/>
      <c r="I12" s="23"/>
      <c r="J12" s="23">
        <f>J10*J8</f>
        <v>237.95528131247332</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1228</v>
      </c>
      <c r="C18" s="166" t="s">
        <v>110</v>
      </c>
      <c r="D18" s="228"/>
      <c r="E18" s="15"/>
    </row>
    <row r="19" spans="1:7">
      <c r="A19" s="171" t="s">
        <v>71</v>
      </c>
      <c r="B19" s="37">
        <f>aantalw2001_ander</f>
        <v>3</v>
      </c>
      <c r="C19" s="166" t="s">
        <v>110</v>
      </c>
      <c r="D19" s="229"/>
      <c r="E19" s="15"/>
    </row>
    <row r="20" spans="1:7">
      <c r="A20" s="171" t="s">
        <v>72</v>
      </c>
      <c r="B20" s="37">
        <f>aantalw2001_propaan</f>
        <v>90</v>
      </c>
      <c r="C20" s="167">
        <f>IF(ISERROR(B20/SUM($B$20,$B$21,$B$22)*100),0,B20/SUM($B$20,$B$21,$B$22)*100)</f>
        <v>14.423076923076922</v>
      </c>
      <c r="D20" s="229"/>
      <c r="E20" s="15"/>
    </row>
    <row r="21" spans="1:7">
      <c r="A21" s="171" t="s">
        <v>73</v>
      </c>
      <c r="B21" s="37">
        <f>aantalw2001_elektriciteit</f>
        <v>508</v>
      </c>
      <c r="C21" s="167">
        <f>IF(ISERROR(B21/SUM($B$20,$B$21,$B$22)*100),0,B21/SUM($B$20,$B$21,$B$22)*100)</f>
        <v>81.410256410256409</v>
      </c>
      <c r="D21" s="229"/>
      <c r="E21" s="15"/>
    </row>
    <row r="22" spans="1:7">
      <c r="A22" s="171" t="s">
        <v>74</v>
      </c>
      <c r="B22" s="37">
        <f>aantalw2001_hout</f>
        <v>26</v>
      </c>
      <c r="C22" s="167">
        <f>IF(ISERROR(B22/SUM($B$20,$B$21,$B$22)*100),0,B22/SUM($B$20,$B$21,$B$22)*100)</f>
        <v>4.1666666666666661</v>
      </c>
      <c r="D22" s="229"/>
      <c r="E22" s="15"/>
    </row>
    <row r="23" spans="1:7">
      <c r="A23" s="171" t="s">
        <v>75</v>
      </c>
      <c r="B23" s="37">
        <f>aantalw2001_niet_gespec</f>
        <v>50</v>
      </c>
      <c r="C23" s="166" t="s">
        <v>110</v>
      </c>
      <c r="D23" s="228"/>
      <c r="E23" s="15"/>
    </row>
    <row r="24" spans="1:7">
      <c r="A24" s="171" t="s">
        <v>76</v>
      </c>
      <c r="B24" s="37">
        <f>aantalw2001_steenkool</f>
        <v>209</v>
      </c>
      <c r="C24" s="166" t="s">
        <v>110</v>
      </c>
      <c r="D24" s="229"/>
      <c r="E24" s="15"/>
    </row>
    <row r="25" spans="1:7">
      <c r="A25" s="171" t="s">
        <v>77</v>
      </c>
      <c r="B25" s="37">
        <f>aantalw2001_stookolie</f>
        <v>2569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836</v>
      </c>
      <c r="B28" s="37">
        <f>aantalHuishoudens2011</f>
        <v>5361</v>
      </c>
      <c r="C28" s="36"/>
      <c r="D28" s="228"/>
    </row>
    <row r="29" spans="1:7" s="15" customFormat="1">
      <c r="A29" s="230" t="s">
        <v>837</v>
      </c>
      <c r="B29" s="37">
        <f>SUM(HH_hh_gas_aantal,HH_rest_gas_aantal)</f>
        <v>3089</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3089</v>
      </c>
      <c r="C32" s="167">
        <f>IF(ISERROR(B32/SUM($B$32,$B$34,$B$35,$B$36,$B$38,$B$39)*100),0,B32/SUM($B$32,$B$34,$B$35,$B$36,$B$38,$B$39)*100)</f>
        <v>57.846441947565538</v>
      </c>
      <c r="D32" s="233"/>
      <c r="G32" s="15"/>
    </row>
    <row r="33" spans="1:7">
      <c r="A33" s="171" t="s">
        <v>71</v>
      </c>
      <c r="B33" s="34" t="s">
        <v>110</v>
      </c>
      <c r="C33" s="167"/>
      <c r="D33" s="233"/>
      <c r="G33" s="15"/>
    </row>
    <row r="34" spans="1:7">
      <c r="A34" s="171" t="s">
        <v>72</v>
      </c>
      <c r="B34" s="33">
        <f>IF((($B$28-$B$32-$B$39-$B$77-$B$38)*C20/100)&lt;0,0,($B$28-$B$32-$B$39-$B$77-$B$38)*C20/100)</f>
        <v>192.40384615384613</v>
      </c>
      <c r="C34" s="167">
        <f>IF(ISERROR(B34/SUM($B$32,$B$34,$B$35,$B$36,$B$38,$B$39)*100),0,B34/SUM($B$32,$B$34,$B$35,$B$36,$B$38,$B$39)*100)</f>
        <v>3.6030682800345715</v>
      </c>
      <c r="D34" s="233"/>
      <c r="G34" s="15"/>
    </row>
    <row r="35" spans="1:7">
      <c r="A35" s="171" t="s">
        <v>73</v>
      </c>
      <c r="B35" s="33">
        <f>IF((($B$28-$B$32-$B$39-$B$77-$B$38)*C21/100)&lt;0,0,($B$28-$B$32-$B$39-$B$77-$B$38)*C21/100)</f>
        <v>1086.0128205128206</v>
      </c>
      <c r="C35" s="167">
        <f>IF(ISERROR(B35/SUM($B$32,$B$34,$B$35,$B$36,$B$38,$B$39)*100),0,B35/SUM($B$32,$B$34,$B$35,$B$36,$B$38,$B$39)*100)</f>
        <v>20.337318736195144</v>
      </c>
      <c r="D35" s="233"/>
      <c r="G35" s="15"/>
    </row>
    <row r="36" spans="1:7">
      <c r="A36" s="171" t="s">
        <v>74</v>
      </c>
      <c r="B36" s="33">
        <f>IF((($B$28-$B$32-$B$39-$B$77-$B$38)*C22/100)&lt;0,0,($B$28-$B$32-$B$39-$B$77-$B$38)*C22/100)</f>
        <v>55.583333333333321</v>
      </c>
      <c r="C36" s="167">
        <f>IF(ISERROR(B36/SUM($B$32,$B$34,$B$35,$B$36,$B$38,$B$39)*100),0,B36/SUM($B$32,$B$34,$B$35,$B$36,$B$38,$B$39)*100)</f>
        <v>1.0408863920099871</v>
      </c>
      <c r="D36" s="233"/>
      <c r="G36" s="15"/>
    </row>
    <row r="37" spans="1:7">
      <c r="A37" s="171" t="s">
        <v>75</v>
      </c>
      <c r="B37" s="34" t="s">
        <v>110</v>
      </c>
      <c r="C37" s="167"/>
      <c r="D37" s="173"/>
      <c r="G37" s="15"/>
    </row>
    <row r="38" spans="1:7">
      <c r="A38" s="171" t="s">
        <v>76</v>
      </c>
      <c r="B38" s="33">
        <f>IF((B24-(B29-B18)*0.1)&lt;0,0,B24-(B29-B18)*0.1)</f>
        <v>22.899999999999977</v>
      </c>
      <c r="C38" s="167">
        <f>IF(ISERROR(B38/SUM($B$32,$B$34,$B$35,$B$36,$B$38,$B$39)*100),0,B38/SUM($B$32,$B$34,$B$35,$B$36,$B$38,$B$39)*100)</f>
        <v>0.42883895131086103</v>
      </c>
      <c r="D38" s="234"/>
      <c r="G38" s="15"/>
    </row>
    <row r="39" spans="1:7">
      <c r="A39" s="171" t="s">
        <v>77</v>
      </c>
      <c r="B39" s="33">
        <f>IF((B25-(B29-B18))&lt;0,0,B25-(B29-B18)*0.9)</f>
        <v>894.09999999999991</v>
      </c>
      <c r="C39" s="167">
        <f>IF(ISERROR(B39/SUM($B$32,$B$34,$B$35,$B$36,$B$38,$B$39)*100),0,B39/SUM($B$32,$B$34,$B$35,$B$36,$B$38,$B$39)*100)</f>
        <v>16.743445692883892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3089</v>
      </c>
      <c r="C44" s="34" t="s">
        <v>110</v>
      </c>
      <c r="D44" s="174"/>
    </row>
    <row r="45" spans="1:7">
      <c r="A45" s="171" t="s">
        <v>71</v>
      </c>
      <c r="B45" s="33" t="str">
        <f t="shared" si="0"/>
        <v>-</v>
      </c>
      <c r="C45" s="34" t="s">
        <v>110</v>
      </c>
      <c r="D45" s="174"/>
    </row>
    <row r="46" spans="1:7">
      <c r="A46" s="171" t="s">
        <v>72</v>
      </c>
      <c r="B46" s="33">
        <f t="shared" si="0"/>
        <v>192.40384615384613</v>
      </c>
      <c r="C46" s="34" t="s">
        <v>110</v>
      </c>
      <c r="D46" s="174"/>
    </row>
    <row r="47" spans="1:7">
      <c r="A47" s="171" t="s">
        <v>73</v>
      </c>
      <c r="B47" s="33">
        <f t="shared" si="0"/>
        <v>1086.0128205128206</v>
      </c>
      <c r="C47" s="34" t="s">
        <v>110</v>
      </c>
      <c r="D47" s="174"/>
    </row>
    <row r="48" spans="1:7">
      <c r="A48" s="171" t="s">
        <v>74</v>
      </c>
      <c r="B48" s="33">
        <f t="shared" si="0"/>
        <v>55.583333333333321</v>
      </c>
      <c r="C48" s="33">
        <f>B48*10</f>
        <v>555.83333333333326</v>
      </c>
      <c r="D48" s="234"/>
    </row>
    <row r="49" spans="1:6">
      <c r="A49" s="171" t="s">
        <v>75</v>
      </c>
      <c r="B49" s="33" t="str">
        <f t="shared" si="0"/>
        <v>-</v>
      </c>
      <c r="C49" s="34" t="s">
        <v>110</v>
      </c>
      <c r="D49" s="234"/>
    </row>
    <row r="50" spans="1:6">
      <c r="A50" s="171" t="s">
        <v>76</v>
      </c>
      <c r="B50" s="33">
        <f t="shared" si="0"/>
        <v>22.899999999999977</v>
      </c>
      <c r="C50" s="33">
        <f>B50*2</f>
        <v>45.799999999999955</v>
      </c>
      <c r="D50" s="234"/>
    </row>
    <row r="51" spans="1:6">
      <c r="A51" s="171" t="s">
        <v>77</v>
      </c>
      <c r="B51" s="33">
        <f t="shared" si="0"/>
        <v>894.09999999999991</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21</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13094.545259999999</v>
      </c>
      <c r="C5" s="17">
        <f>IF(ISERROR('Eigen informatie GS &amp; warmtenet'!B60),0,'Eigen informatie GS &amp; warmtenet'!B60)</f>
        <v>0</v>
      </c>
      <c r="D5" s="30">
        <f>SUM(D6:D12)</f>
        <v>13125.467881196</v>
      </c>
      <c r="E5" s="17">
        <f>SUM(E6:E12)</f>
        <v>174.02101197754391</v>
      </c>
      <c r="F5" s="17">
        <f>SUM(F6:F12)</f>
        <v>1499.3662929186553</v>
      </c>
      <c r="G5" s="18"/>
      <c r="H5" s="17"/>
      <c r="I5" s="17"/>
      <c r="J5" s="17">
        <f>SUM(J6:J12)</f>
        <v>2.3961518984840287E-2</v>
      </c>
      <c r="K5" s="17"/>
      <c r="L5" s="17"/>
      <c r="M5" s="17"/>
      <c r="N5" s="17">
        <f>SUM(N6:N12)</f>
        <v>947.15748063984029</v>
      </c>
      <c r="O5" s="17">
        <f>B38*B39*B40</f>
        <v>9.7945215316823084</v>
      </c>
      <c r="P5" s="17">
        <f>B46*B47*B48/1000-B46*B47*B48/1000/B49</f>
        <v>0</v>
      </c>
      <c r="R5" s="32"/>
    </row>
    <row r="6" spans="1:18">
      <c r="A6" s="32" t="s">
        <v>53</v>
      </c>
      <c r="B6" s="37">
        <f>B26</f>
        <v>2429.2798950000001</v>
      </c>
      <c r="C6" s="33"/>
      <c r="D6" s="37">
        <f>IF(ISERROR(TER_kantoor_gas_kWh/1000),0,TER_kantoor_gas_kWh/1000)*0.902</f>
        <v>2982.666326134</v>
      </c>
      <c r="E6" s="33">
        <f>$C$26*'E Balans VL '!I12/100/3.6*1000000</f>
        <v>19.547636426567962</v>
      </c>
      <c r="F6" s="33">
        <f>$C$26*('E Balans VL '!L12+'E Balans VL '!N12)/100/3.6*1000000</f>
        <v>297.00502237007862</v>
      </c>
      <c r="G6" s="34"/>
      <c r="H6" s="33"/>
      <c r="I6" s="33"/>
      <c r="J6" s="33">
        <f>$C$26*('E Balans VL '!D12+'E Balans VL '!E12)/100/3.6*1000000</f>
        <v>0</v>
      </c>
      <c r="K6" s="33"/>
      <c r="L6" s="33"/>
      <c r="M6" s="33"/>
      <c r="N6" s="33">
        <f>$C$26*'E Balans VL '!Y12/100/3.6*1000000</f>
        <v>1.3056183144756652</v>
      </c>
      <c r="O6" s="33"/>
      <c r="P6" s="33"/>
      <c r="R6" s="32"/>
    </row>
    <row r="7" spans="1:18">
      <c r="A7" s="32" t="s">
        <v>52</v>
      </c>
      <c r="B7" s="37">
        <f t="shared" ref="B7:B12" si="0">B27</f>
        <v>704.26816000000008</v>
      </c>
      <c r="C7" s="33"/>
      <c r="D7" s="37">
        <f>IF(ISERROR(TER_horeca_gas_kWh/1000),0,TER_horeca_gas_kWh/1000)*0.902</f>
        <v>786.74698247200001</v>
      </c>
      <c r="E7" s="33">
        <f>$C$27*'E Balans VL '!I9/100/3.6*1000000</f>
        <v>7.5621106581435944</v>
      </c>
      <c r="F7" s="33">
        <f>$C$27*('E Balans VL '!L9+'E Balans VL '!N9)/100/3.6*1000000</f>
        <v>84.70638206580594</v>
      </c>
      <c r="G7" s="34"/>
      <c r="H7" s="33"/>
      <c r="I7" s="33"/>
      <c r="J7" s="33">
        <f>$C$27*('E Balans VL '!D9+'E Balans VL '!E9)/100/3.6*1000000</f>
        <v>0</v>
      </c>
      <c r="K7" s="33"/>
      <c r="L7" s="33"/>
      <c r="M7" s="33"/>
      <c r="N7" s="33">
        <f>$C$27*'E Balans VL '!Y9/100/3.6*1000000</f>
        <v>0.10558407104242916</v>
      </c>
      <c r="O7" s="33"/>
      <c r="P7" s="33"/>
      <c r="R7" s="32"/>
    </row>
    <row r="8" spans="1:18">
      <c r="A8" s="6" t="s">
        <v>51</v>
      </c>
      <c r="B8" s="37">
        <f t="shared" si="0"/>
        <v>2021.1434769999998</v>
      </c>
      <c r="C8" s="33"/>
      <c r="D8" s="37">
        <f>IF(ISERROR(TER_handel_gas_kWh/1000),0,TER_handel_gas_kWh/1000)*0.902</f>
        <v>1729.4543344760002</v>
      </c>
      <c r="E8" s="33">
        <f>$C$28*'E Balans VL '!I13/100/3.6*1000000</f>
        <v>54.24130325195047</v>
      </c>
      <c r="F8" s="33">
        <f>$C$28*('E Balans VL '!L13+'E Balans VL '!N13)/100/3.6*1000000</f>
        <v>192.87938095397715</v>
      </c>
      <c r="G8" s="34"/>
      <c r="H8" s="33"/>
      <c r="I8" s="33"/>
      <c r="J8" s="33">
        <f>$C$28*('E Balans VL '!D13+'E Balans VL '!E13)/100/3.6*1000000</f>
        <v>0</v>
      </c>
      <c r="K8" s="33"/>
      <c r="L8" s="33"/>
      <c r="M8" s="33"/>
      <c r="N8" s="33">
        <f>$C$28*'E Balans VL '!Y13/100/3.6*1000000</f>
        <v>0.80120425546324514</v>
      </c>
      <c r="O8" s="33"/>
      <c r="P8" s="33"/>
      <c r="R8" s="32"/>
    </row>
    <row r="9" spans="1:18">
      <c r="A9" s="32" t="s">
        <v>50</v>
      </c>
      <c r="B9" s="37">
        <f t="shared" si="0"/>
        <v>494.97232100000002</v>
      </c>
      <c r="C9" s="33"/>
      <c r="D9" s="37">
        <f>IF(ISERROR(TER_gezond_gas_kWh/1000),0,TER_gezond_gas_kWh/1000)*0.902</f>
        <v>903.39506747600001</v>
      </c>
      <c r="E9" s="33">
        <f>$C$29*'E Balans VL '!I10/100/3.6*1000000</f>
        <v>0.92773929954033052</v>
      </c>
      <c r="F9" s="33">
        <f>$C$29*('E Balans VL '!L10+'E Balans VL '!N10)/100/3.6*1000000</f>
        <v>40.691241060635214</v>
      </c>
      <c r="G9" s="34"/>
      <c r="H9" s="33"/>
      <c r="I9" s="33"/>
      <c r="J9" s="33">
        <f>$C$29*('E Balans VL '!D10+'E Balans VL '!E10)/100/3.6*1000000</f>
        <v>0</v>
      </c>
      <c r="K9" s="33"/>
      <c r="L9" s="33"/>
      <c r="M9" s="33"/>
      <c r="N9" s="33">
        <f>$C$29*'E Balans VL '!Y10/100/3.6*1000000</f>
        <v>3.8512539597954056</v>
      </c>
      <c r="O9" s="33"/>
      <c r="P9" s="33"/>
      <c r="R9" s="32"/>
    </row>
    <row r="10" spans="1:18">
      <c r="A10" s="32" t="s">
        <v>49</v>
      </c>
      <c r="B10" s="37">
        <f t="shared" si="0"/>
        <v>677.44529599999998</v>
      </c>
      <c r="C10" s="33"/>
      <c r="D10" s="37">
        <f>IF(ISERROR(TER_ander_gas_kWh/1000),0,TER_ander_gas_kWh/1000)*0.902</f>
        <v>259.73450890200002</v>
      </c>
      <c r="E10" s="33">
        <f>$C$30*'E Balans VL '!I14/100/3.6*1000000</f>
        <v>1.0442887882311198</v>
      </c>
      <c r="F10" s="33">
        <f>$C$30*('E Balans VL '!L14+'E Balans VL '!N14)/100/3.6*1000000</f>
        <v>105.17356922305605</v>
      </c>
      <c r="G10" s="34"/>
      <c r="H10" s="33"/>
      <c r="I10" s="33"/>
      <c r="J10" s="33">
        <f>$C$30*('E Balans VL '!D14+'E Balans VL '!E14)/100/3.6*1000000</f>
        <v>1.1500348350209692E-2</v>
      </c>
      <c r="K10" s="33"/>
      <c r="L10" s="33"/>
      <c r="M10" s="33"/>
      <c r="N10" s="33">
        <f>$C$30*'E Balans VL '!Y14/100/3.6*1000000</f>
        <v>448.17609587484128</v>
      </c>
      <c r="O10" s="33"/>
      <c r="P10" s="33"/>
      <c r="R10" s="32"/>
    </row>
    <row r="11" spans="1:18">
      <c r="A11" s="32" t="s">
        <v>54</v>
      </c>
      <c r="B11" s="37">
        <f t="shared" si="0"/>
        <v>265.21087900000003</v>
      </c>
      <c r="C11" s="33"/>
      <c r="D11" s="37">
        <f>IF(ISERROR(TER_onderwijs_gas_kWh/1000),0,TER_onderwijs_gas_kWh/1000)*0.902</f>
        <v>413.36972087400005</v>
      </c>
      <c r="E11" s="33">
        <f>$C$31*'E Balans VL '!I11/100/3.6*1000000</f>
        <v>6.764688819770309</v>
      </c>
      <c r="F11" s="33">
        <f>$C$31*('E Balans VL '!L11+'E Balans VL '!N11)/100/3.6*1000000</f>
        <v>31.894104459604055</v>
      </c>
      <c r="G11" s="34"/>
      <c r="H11" s="33"/>
      <c r="I11" s="33"/>
      <c r="J11" s="33">
        <f>$C$31*('E Balans VL '!D11+'E Balans VL '!E11)/100/3.6*1000000</f>
        <v>0</v>
      </c>
      <c r="K11" s="33"/>
      <c r="L11" s="33"/>
      <c r="M11" s="33"/>
      <c r="N11" s="33">
        <f>$C$31*'E Balans VL '!Y11/100/3.6*1000000</f>
        <v>0.58982252369479227</v>
      </c>
      <c r="O11" s="33"/>
      <c r="P11" s="33"/>
      <c r="R11" s="32"/>
    </row>
    <row r="12" spans="1:18">
      <c r="A12" s="32" t="s">
        <v>259</v>
      </c>
      <c r="B12" s="37">
        <f t="shared" si="0"/>
        <v>6502.2252319999998</v>
      </c>
      <c r="C12" s="33"/>
      <c r="D12" s="37">
        <f>IF(ISERROR(TER_rest_gas_kWh/1000),0,TER_rest_gas_kWh/1000)*0.902</f>
        <v>6050.1009408620002</v>
      </c>
      <c r="E12" s="33">
        <f>$C$32*'E Balans VL '!I8/100/3.6*1000000</f>
        <v>83.933244733340118</v>
      </c>
      <c r="F12" s="33">
        <f>$C$32*('E Balans VL '!L8+'E Balans VL '!N8)/100/3.6*1000000</f>
        <v>747.01659278549835</v>
      </c>
      <c r="G12" s="34"/>
      <c r="H12" s="33"/>
      <c r="I12" s="33"/>
      <c r="J12" s="33">
        <f>$C$32*('E Balans VL '!D8+'E Balans VL '!E8)/100/3.6*1000000</f>
        <v>1.2461170634630593E-2</v>
      </c>
      <c r="K12" s="33"/>
      <c r="L12" s="33"/>
      <c r="M12" s="33"/>
      <c r="N12" s="33">
        <f>$C$32*'E Balans VL '!Y8/100/3.6*1000000</f>
        <v>492.32790164052739</v>
      </c>
      <c r="O12" s="33"/>
      <c r="P12" s="33"/>
      <c r="R12" s="32"/>
    </row>
    <row r="13" spans="1:18">
      <c r="A13" s="16" t="s">
        <v>482</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13094.545259999999</v>
      </c>
      <c r="C16" s="21">
        <f t="shared" ca="1" si="1"/>
        <v>0</v>
      </c>
      <c r="D16" s="21">
        <f t="shared" ca="1" si="1"/>
        <v>13125.467881196</v>
      </c>
      <c r="E16" s="21">
        <f t="shared" si="1"/>
        <v>174.02101197754391</v>
      </c>
      <c r="F16" s="21">
        <f t="shared" ca="1" si="1"/>
        <v>1499.3662929186553</v>
      </c>
      <c r="G16" s="21">
        <f t="shared" si="1"/>
        <v>0</v>
      </c>
      <c r="H16" s="21">
        <f t="shared" si="1"/>
        <v>0</v>
      </c>
      <c r="I16" s="21">
        <f t="shared" si="1"/>
        <v>0</v>
      </c>
      <c r="J16" s="21">
        <f t="shared" si="1"/>
        <v>2.3961518984840287E-2</v>
      </c>
      <c r="K16" s="21">
        <f t="shared" si="1"/>
        <v>0</v>
      </c>
      <c r="L16" s="21">
        <f t="shared" ca="1" si="1"/>
        <v>0</v>
      </c>
      <c r="M16" s="21">
        <f t="shared" si="1"/>
        <v>0</v>
      </c>
      <c r="N16" s="21">
        <f t="shared" ca="1" si="1"/>
        <v>947.15748063984029</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0.20895114992866012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2736.1202898698857</v>
      </c>
      <c r="C20" s="23">
        <f t="shared" ref="C20:P20" ca="1" si="2">C16*C18</f>
        <v>0</v>
      </c>
      <c r="D20" s="23">
        <f t="shared" ca="1" si="2"/>
        <v>2651.3445120015922</v>
      </c>
      <c r="E20" s="23">
        <f t="shared" si="2"/>
        <v>39.502769718902471</v>
      </c>
      <c r="F20" s="23">
        <f t="shared" ca="1" si="2"/>
        <v>400.33080020928099</v>
      </c>
      <c r="G20" s="23">
        <f t="shared" si="2"/>
        <v>0</v>
      </c>
      <c r="H20" s="23">
        <f t="shared" si="2"/>
        <v>0</v>
      </c>
      <c r="I20" s="23">
        <f t="shared" si="2"/>
        <v>0</v>
      </c>
      <c r="J20" s="23">
        <f t="shared" si="2"/>
        <v>8.4823777206334619E-3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2429.2798950000001</v>
      </c>
      <c r="C26" s="39">
        <f>IF(ISERROR(B26*3.6/1000000/'E Balans VL '!Z12*100),0,B26*3.6/1000000/'E Balans VL '!Z12*100)</f>
        <v>5.153495043654302E-2</v>
      </c>
      <c r="D26" s="237" t="s">
        <v>716</v>
      </c>
      <c r="F26" s="6"/>
    </row>
    <row r="27" spans="1:18">
      <c r="A27" s="231" t="s">
        <v>52</v>
      </c>
      <c r="B27" s="33">
        <f>IF(ISERROR(TER_horeca_ele_kWh/1000),0,TER_horeca_ele_kWh/1000)</f>
        <v>704.26816000000008</v>
      </c>
      <c r="C27" s="39">
        <f>IF(ISERROR(B27*3.6/1000000/'E Balans VL '!Z9*100),0,B27*3.6/1000000/'E Balans VL '!Z9*100)</f>
        <v>5.3037631212113662E-2</v>
      </c>
      <c r="D27" s="237" t="s">
        <v>716</v>
      </c>
      <c r="F27" s="6"/>
    </row>
    <row r="28" spans="1:18">
      <c r="A28" s="171" t="s">
        <v>51</v>
      </c>
      <c r="B28" s="33">
        <f>IF(ISERROR(TER_handel_ele_kWh/1000),0,TER_handel_ele_kWh/1000)</f>
        <v>2021.1434769999998</v>
      </c>
      <c r="C28" s="39">
        <f>IF(ISERROR(B28*3.6/1000000/'E Balans VL '!Z13*100),0,B28*3.6/1000000/'E Balans VL '!Z13*100)</f>
        <v>5.8666633667220171E-2</v>
      </c>
      <c r="D28" s="237" t="s">
        <v>716</v>
      </c>
      <c r="F28" s="6"/>
    </row>
    <row r="29" spans="1:18">
      <c r="A29" s="231" t="s">
        <v>50</v>
      </c>
      <c r="B29" s="33">
        <f>IF(ISERROR(TER_gezond_ele_kWh/1000),0,TER_gezond_ele_kWh/1000)</f>
        <v>494.97232100000002</v>
      </c>
      <c r="C29" s="39">
        <f>IF(ISERROR(B29*3.6/1000000/'E Balans VL '!Z10*100),0,B29*3.6/1000000/'E Balans VL '!Z10*100)</f>
        <v>4.9918548851384317E-2</v>
      </c>
      <c r="D29" s="237" t="s">
        <v>716</v>
      </c>
      <c r="F29" s="6"/>
    </row>
    <row r="30" spans="1:18">
      <c r="A30" s="231" t="s">
        <v>49</v>
      </c>
      <c r="B30" s="33">
        <f>IF(ISERROR(TER_ander_ele_kWh/1000),0,TER_ander_ele_kWh/1000)</f>
        <v>677.44529599999998</v>
      </c>
      <c r="C30" s="39">
        <f>IF(ISERROR(B30*3.6/1000000/'E Balans VL '!Z14*100),0,B30*3.6/1000000/'E Balans VL '!Z14*100)</f>
        <v>4.9157898273214005E-2</v>
      </c>
      <c r="D30" s="237" t="s">
        <v>716</v>
      </c>
      <c r="F30" s="6"/>
    </row>
    <row r="31" spans="1:18">
      <c r="A31" s="231" t="s">
        <v>54</v>
      </c>
      <c r="B31" s="33">
        <f>IF(ISERROR(TER_onderwijs_ele_kWh/1000),0,TER_onderwijs_ele_kWh/1000)</f>
        <v>265.21087900000003</v>
      </c>
      <c r="C31" s="39">
        <f>IF(ISERROR(B31*3.6/1000000/'E Balans VL '!Z11*100),0,B31*3.6/1000000/'E Balans VL '!Z11*100)</f>
        <v>7.5595900404874919E-2</v>
      </c>
      <c r="D31" s="237" t="s">
        <v>716</v>
      </c>
    </row>
    <row r="32" spans="1:18">
      <c r="A32" s="231" t="s">
        <v>259</v>
      </c>
      <c r="B32" s="33">
        <f>IF(ISERROR(TER_rest_ele_kWh/1000),0,TER_rest_ele_kWh/1000)</f>
        <v>6502.2252319999998</v>
      </c>
      <c r="C32" s="39">
        <f>IF(ISERROR(B32*3.6/1000000/'E Balans VL '!Z8*100),0,B32*3.6/1000000/'E Balans VL '!Z8*100)</f>
        <v>5.3264904659271736E-2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2</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0</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9591.6109509999987</v>
      </c>
      <c r="C5" s="17">
        <f>IF(ISERROR('Eigen informatie GS &amp; warmtenet'!B61),0,'Eigen informatie GS &amp; warmtenet'!B61)</f>
        <v>0</v>
      </c>
      <c r="D5" s="30">
        <f>SUM(D6:D15)</f>
        <v>1548.6873413439998</v>
      </c>
      <c r="E5" s="17">
        <f>SUM(E6:E15)</f>
        <v>626.83952098311966</v>
      </c>
      <c r="F5" s="17">
        <f>SUM(F6:F15)</f>
        <v>2222.9195702856023</v>
      </c>
      <c r="G5" s="18"/>
      <c r="H5" s="17"/>
      <c r="I5" s="17"/>
      <c r="J5" s="17">
        <f>SUM(J6:J15)</f>
        <v>69.186801868316678</v>
      </c>
      <c r="K5" s="17"/>
      <c r="L5" s="17"/>
      <c r="M5" s="17"/>
      <c r="N5" s="17">
        <f>SUM(N6:N15)</f>
        <v>426.04174018578118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52.763523999999997</v>
      </c>
      <c r="C8" s="33"/>
      <c r="D8" s="37">
        <f>IF( ISERROR(IND_metaal_Gas_kWH/1000),0,IND_metaal_Gas_kWH/1000)*0.902</f>
        <v>0</v>
      </c>
      <c r="E8" s="33">
        <f>C30*'E Balans VL '!I18/100/3.6*1000000</f>
        <v>0.38065179275777794</v>
      </c>
      <c r="F8" s="33">
        <f>C30*'E Balans VL '!L18/100/3.6*1000000+C30*'E Balans VL '!N18/100/3.6*1000000</f>
        <v>4.9904564791686772</v>
      </c>
      <c r="G8" s="34"/>
      <c r="H8" s="33"/>
      <c r="I8" s="33"/>
      <c r="J8" s="40">
        <f>C30*'E Balans VL '!D18/100/3.6*1000000+C30*'E Balans VL '!E18/100/3.6*1000000</f>
        <v>5.3069859058491313E-2</v>
      </c>
      <c r="K8" s="33"/>
      <c r="L8" s="33"/>
      <c r="M8" s="33"/>
      <c r="N8" s="33">
        <f>C30*'E Balans VL '!Y18/100/3.6*1000000</f>
        <v>0.66707054186243919</v>
      </c>
      <c r="O8" s="33"/>
      <c r="P8" s="33"/>
      <c r="R8" s="32"/>
    </row>
    <row r="9" spans="1:18">
      <c r="A9" s="6" t="s">
        <v>32</v>
      </c>
      <c r="B9" s="37">
        <f t="shared" si="0"/>
        <v>815.86884900000007</v>
      </c>
      <c r="C9" s="33"/>
      <c r="D9" s="37">
        <f>IF( ISERROR(IND_andere_gas_kWh/1000),0,IND_andere_gas_kWh/1000)*0.902</f>
        <v>1176.5219672579999</v>
      </c>
      <c r="E9" s="33">
        <f>C31*'E Balans VL '!I19/100/3.6*1000000</f>
        <v>226.08816759118181</v>
      </c>
      <c r="F9" s="33">
        <f>C31*'E Balans VL '!L19/100/3.6*1000000+C31*'E Balans VL '!N19/100/3.6*1000000</f>
        <v>676.19386515737096</v>
      </c>
      <c r="G9" s="34"/>
      <c r="H9" s="33"/>
      <c r="I9" s="33"/>
      <c r="J9" s="40">
        <f>C31*'E Balans VL '!D19/100/3.6*1000000+C31*'E Balans VL '!E19/100/3.6*1000000</f>
        <v>0</v>
      </c>
      <c r="K9" s="33"/>
      <c r="L9" s="33"/>
      <c r="M9" s="33"/>
      <c r="N9" s="33">
        <f>C31*'E Balans VL '!Y19/100/3.6*1000000</f>
        <v>59.222099281050596</v>
      </c>
      <c r="O9" s="33"/>
      <c r="P9" s="33"/>
      <c r="R9" s="32"/>
    </row>
    <row r="10" spans="1:18">
      <c r="A10" s="6" t="s">
        <v>40</v>
      </c>
      <c r="B10" s="37">
        <f t="shared" si="0"/>
        <v>253.79579199999998</v>
      </c>
      <c r="C10" s="33"/>
      <c r="D10" s="37">
        <f>IF( ISERROR(IND_voed_gas_kWh/1000),0,IND_voed_gas_kWh/1000)*0.902</f>
        <v>55.122830972000003</v>
      </c>
      <c r="E10" s="33">
        <f>C32*'E Balans VL '!I20/100/3.6*1000000</f>
        <v>0.44930451798628618</v>
      </c>
      <c r="F10" s="33">
        <f>C32*'E Balans VL '!L20/100/3.6*1000000+C32*'E Balans VL '!N20/100/3.6*1000000</f>
        <v>13.707222139927298</v>
      </c>
      <c r="G10" s="34"/>
      <c r="H10" s="33"/>
      <c r="I10" s="33"/>
      <c r="J10" s="40">
        <f>C32*'E Balans VL '!D20/100/3.6*1000000+C32*'E Balans VL '!E20/100/3.6*1000000</f>
        <v>0</v>
      </c>
      <c r="K10" s="33"/>
      <c r="L10" s="33"/>
      <c r="M10" s="33"/>
      <c r="N10" s="33">
        <f>C32*'E Balans VL '!Y20/100/3.6*1000000</f>
        <v>14.747473777815978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104.553822</v>
      </c>
      <c r="C12" s="33"/>
      <c r="D12" s="37">
        <f>IF( ISERROR(IND_min_gas_kWh/1000),0,IND_min_gas_kWh/1000)*0.902</f>
        <v>73.026988869999997</v>
      </c>
      <c r="E12" s="33">
        <f>C34*'E Balans VL '!I22/100/3.6*1000000</f>
        <v>4.6041773738436191</v>
      </c>
      <c r="F12" s="33">
        <f>C34*'E Balans VL '!L22/100/3.6*1000000+C34*'E Balans VL '!N22/100/3.6*1000000</f>
        <v>40.884766866607862</v>
      </c>
      <c r="G12" s="34"/>
      <c r="H12" s="33"/>
      <c r="I12" s="33"/>
      <c r="J12" s="40">
        <f>C34*'E Balans VL '!D22/100/3.6*1000000+C34*'E Balans VL '!E22/100/3.6*1000000</f>
        <v>3.1746255779739177E-2</v>
      </c>
      <c r="K12" s="33"/>
      <c r="L12" s="33"/>
      <c r="M12" s="33"/>
      <c r="N12" s="33">
        <f>C34*'E Balans VL '!Y22/100/3.6*1000000</f>
        <v>25.863447050860888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8364.6289639999995</v>
      </c>
      <c r="C15" s="33"/>
      <c r="D15" s="37">
        <f>IF( ISERROR(IND_rest_gas_kWh/1000),0,IND_rest_gas_kWh/1000)*0.902</f>
        <v>244.01555424400001</v>
      </c>
      <c r="E15" s="33">
        <f>C37*'E Balans VL '!I15/100/3.6*1000000</f>
        <v>395.31721970735015</v>
      </c>
      <c r="F15" s="33">
        <f>C37*'E Balans VL '!L15/100/3.6*1000000+C37*'E Balans VL '!N15/100/3.6*1000000</f>
        <v>1487.1432596425273</v>
      </c>
      <c r="G15" s="34"/>
      <c r="H15" s="33"/>
      <c r="I15" s="33"/>
      <c r="J15" s="40">
        <f>C37*'E Balans VL '!D15/100/3.6*1000000+C37*'E Balans VL '!E15/100/3.6*1000000</f>
        <v>69.101985753478445</v>
      </c>
      <c r="K15" s="33"/>
      <c r="L15" s="33"/>
      <c r="M15" s="33"/>
      <c r="N15" s="33">
        <f>C37*'E Balans VL '!Y15/100/3.6*1000000</f>
        <v>325.54164953419127</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9591.6109509999987</v>
      </c>
      <c r="C18" s="21">
        <f>C5+C16</f>
        <v>0</v>
      </c>
      <c r="D18" s="21">
        <f>MAX((D5+D16),0)</f>
        <v>1548.6873413439998</v>
      </c>
      <c r="E18" s="21">
        <f>MAX((E5+E16),0)</f>
        <v>626.83952098311966</v>
      </c>
      <c r="F18" s="21">
        <f>MAX((F5+F16),0)</f>
        <v>2222.9195702856023</v>
      </c>
      <c r="G18" s="21"/>
      <c r="H18" s="21"/>
      <c r="I18" s="21"/>
      <c r="J18" s="21">
        <f>MAX((J5+J16),0)</f>
        <v>69.186801868316678</v>
      </c>
      <c r="K18" s="21"/>
      <c r="L18" s="21">
        <f>MAX((L5+L16),0)</f>
        <v>0</v>
      </c>
      <c r="M18" s="21"/>
      <c r="N18" s="21">
        <f>MAX((N5+N16),0)</f>
        <v>426.04174018578118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0.20895114992866012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2004.1781378797791</v>
      </c>
      <c r="C22" s="23">
        <f ca="1">C18*C20</f>
        <v>0</v>
      </c>
      <c r="D22" s="23">
        <f>D18*D20</f>
        <v>312.83484295148799</v>
      </c>
      <c r="E22" s="23">
        <f>E18*E20</f>
        <v>142.29257126316816</v>
      </c>
      <c r="F22" s="23">
        <f>F18*F20</f>
        <v>593.51952526625587</v>
      </c>
      <c r="G22" s="23"/>
      <c r="H22" s="23"/>
      <c r="I22" s="23"/>
      <c r="J22" s="23">
        <f>J18*J20</f>
        <v>24.492127861384102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52.763523999999997</v>
      </c>
      <c r="C30" s="39">
        <f>IF(ISERROR(B30*3.6/1000000/'E Balans VL '!Z18*100),0,B30*3.6/1000000/'E Balans VL '!Z18*100)</f>
        <v>3.0459559110783815E-3</v>
      </c>
      <c r="D30" s="237" t="s">
        <v>716</v>
      </c>
    </row>
    <row r="31" spans="1:18">
      <c r="A31" s="6" t="s">
        <v>32</v>
      </c>
      <c r="B31" s="37">
        <f>IF( ISERROR(IND_ander_ele_kWh/1000),0,IND_ander_ele_kWh/1000)</f>
        <v>815.86884900000007</v>
      </c>
      <c r="C31" s="39">
        <f>IF(ISERROR(B31*3.6/1000000/'E Balans VL '!Z19*100),0,B31*3.6/1000000/'E Balans VL '!Z19*100)</f>
        <v>4.1035558568225002E-2</v>
      </c>
      <c r="D31" s="237" t="s">
        <v>716</v>
      </c>
    </row>
    <row r="32" spans="1:18">
      <c r="A32" s="171" t="s">
        <v>40</v>
      </c>
      <c r="B32" s="37">
        <f>IF( ISERROR(IND_voed_ele_kWh/1000),0,IND_voed_ele_kWh/1000)</f>
        <v>253.79579199999998</v>
      </c>
      <c r="C32" s="39">
        <f>IF(ISERROR(B32*3.6/1000000/'E Balans VL '!Z20*100),0,B32*3.6/1000000/'E Balans VL '!Z20*100)</f>
        <v>8.4529069759759178E-3</v>
      </c>
      <c r="D32" s="237" t="s">
        <v>716</v>
      </c>
    </row>
    <row r="33" spans="1:5">
      <c r="A33" s="171" t="s">
        <v>39</v>
      </c>
      <c r="B33" s="37">
        <f>IF( ISERROR(IND_textiel_ele_kWh/1000),0,IND_textiel_ele_kWh/1000)</f>
        <v>0</v>
      </c>
      <c r="C33" s="39">
        <f>IF(ISERROR(B33*3.6/1000000/'E Balans VL '!Z21*100),0,B33*3.6/1000000/'E Balans VL '!Z21*100)</f>
        <v>0</v>
      </c>
      <c r="D33" s="237" t="s">
        <v>716</v>
      </c>
    </row>
    <row r="34" spans="1:5">
      <c r="A34" s="171" t="s">
        <v>36</v>
      </c>
      <c r="B34" s="37">
        <f>IF( ISERROR(IND_min_ele_kWh/1000),0,IND_min_ele_kWh/1000)</f>
        <v>104.553822</v>
      </c>
      <c r="C34" s="39">
        <f>IF(ISERROR(B34*3.6/1000000/'E Balans VL '!Z22*100),0,B34*3.6/1000000/'E Balans VL '!Z22*100)</f>
        <v>1.9502819250350682E-2</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8364.6289639999995</v>
      </c>
      <c r="C37" s="39">
        <f>IF(ISERROR(B37*3.6/1000000/'E Balans VL '!Z15*100),0,B37*3.6/1000000/'E Balans VL '!Z15*100)</f>
        <v>6.5266980094483756E-2</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68.228282000000007</v>
      </c>
      <c r="C5" s="17">
        <f>'Eigen informatie GS &amp; warmtenet'!B62</f>
        <v>0</v>
      </c>
      <c r="D5" s="30">
        <f>IF(ISERROR(SUM(LB_lb_gas_kWh,LB_rest_gas_kWh)/1000),0,SUM(LB_lb_gas_kWh,LB_rest_gas_kWh)/1000)*0.902</f>
        <v>113.21401495800001</v>
      </c>
      <c r="E5" s="17">
        <f>B17*'E Balans VL '!I25/3.6*1000000/100</f>
        <v>2.1293821823082397</v>
      </c>
      <c r="F5" s="17">
        <f>B17*('E Balans VL '!L25/3.6*1000000+'E Balans VL '!N25/3.6*1000000)/100</f>
        <v>241.12630671319198</v>
      </c>
      <c r="G5" s="18"/>
      <c r="H5" s="17"/>
      <c r="I5" s="17"/>
      <c r="J5" s="17">
        <f>('E Balans VL '!D25+'E Balans VL '!E25)/3.6*1000000*landbouw!B17/100</f>
        <v>18.797364849988934</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68.228282000000007</v>
      </c>
      <c r="C8" s="21">
        <f>C5+C6</f>
        <v>0</v>
      </c>
      <c r="D8" s="21">
        <f>MAX((D5+D6),0)</f>
        <v>113.21401495800001</v>
      </c>
      <c r="E8" s="21">
        <f>MAX((E5+E6),0)</f>
        <v>2.1293821823082397</v>
      </c>
      <c r="F8" s="21">
        <f>MAX((F5+F6),0)</f>
        <v>241.12630671319198</v>
      </c>
      <c r="G8" s="21"/>
      <c r="H8" s="21"/>
      <c r="I8" s="21"/>
      <c r="J8" s="21">
        <f>MAX((J5+J6),0)</f>
        <v>18.797364849988934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0.20895114992866012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14.256377981556904</v>
      </c>
      <c r="C12" s="23">
        <f ca="1">C8*C10</f>
        <v>0</v>
      </c>
      <c r="D12" s="23">
        <f>D8*D10</f>
        <v>22.869231021516004</v>
      </c>
      <c r="E12" s="23">
        <f>E8*E10</f>
        <v>0.48336975538397042</v>
      </c>
      <c r="F12" s="23">
        <f>F8*F10</f>
        <v>64.380723892422267</v>
      </c>
      <c r="G12" s="23"/>
      <c r="H12" s="23"/>
      <c r="I12" s="23"/>
      <c r="J12" s="23">
        <f>J8*J10</f>
        <v>6.6542671568960827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1.0142623225954623E-2</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16.911526998842355</v>
      </c>
      <c r="C26" s="247">
        <f>B26*'GWP N2O_CH4'!B5</f>
        <v>355.14206697568943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1.9016482970654309</v>
      </c>
      <c r="C27" s="247">
        <f>B27*'GWP N2O_CH4'!B5</f>
        <v>39.934614238374053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0.22110288131384945</v>
      </c>
      <c r="C28" s="247">
        <f>B28*'GWP N2O_CH4'!B4</f>
        <v>68.541893207293327</v>
      </c>
      <c r="D28" s="50"/>
    </row>
    <row r="29" spans="1:4">
      <c r="A29" s="41" t="s">
        <v>276</v>
      </c>
      <c r="B29" s="247">
        <f>B34*'ha_N2O bodem landbouw'!B4</f>
        <v>1.5625826428043672</v>
      </c>
      <c r="C29" s="247">
        <f>B29*'GWP N2O_CH4'!B4</f>
        <v>484.40061926935385</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3.426462398990944E-4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6.8733848944999999E-5</v>
      </c>
      <c r="C5" s="463" t="s">
        <v>210</v>
      </c>
      <c r="D5" s="448">
        <f>SUM(D6:D11)</f>
        <v>3.1603167411446405E-4</v>
      </c>
      <c r="E5" s="448">
        <f>SUM(E6:E11)</f>
        <v>2.3880369125227501E-4</v>
      </c>
      <c r="F5" s="461" t="s">
        <v>210</v>
      </c>
      <c r="G5" s="448">
        <f>SUM(G6:G11)</f>
        <v>7.7562382537557012E-2</v>
      </c>
      <c r="H5" s="448">
        <f>SUM(H6:H11)</f>
        <v>2.3380510837966495E-2</v>
      </c>
      <c r="I5" s="463" t="s">
        <v>210</v>
      </c>
      <c r="J5" s="463" t="s">
        <v>210</v>
      </c>
      <c r="K5" s="463" t="s">
        <v>210</v>
      </c>
      <c r="L5" s="463" t="s">
        <v>210</v>
      </c>
      <c r="M5" s="448">
        <f>SUM(M6:M11)</f>
        <v>6.0092963989047364E-3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3.9953138539999997E-5</v>
      </c>
      <c r="C6" s="449"/>
      <c r="D6" s="917">
        <f>vkm_2011_GW_PW*SUMIFS(TableVerdeelsleutelVkm[CNG],TableVerdeelsleutelVkm[Voertuigtype],"Lichte voertuigen")*SUMIFS(TableECFTransport[EnergieConsumptieFactor (PJ per km)],TableECFTransport[Index],CONCATENATE($A6,"_CNG_CNG"))</f>
        <v>1.3892386802078402E-4</v>
      </c>
      <c r="E6" s="917">
        <f>vkm_2011_GW_PW*SUMIFS(TableVerdeelsleutelVkm[LPG],TableVerdeelsleutelVkm[Voertuigtype],"Lichte voertuigen")*SUMIFS(TableECFTransport[EnergieConsumptieFactor (PJ per km)],TableECFTransport[Index],CONCATENATE($A6,"_LPG_LPG"))</f>
        <v>1.094491195728E-4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2.9793322960872587E-2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1.0425684210299983E-2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2.4033384689380842E-3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1.0707982891119164E-2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2.6976859535010134E-6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6.1745574757015329E-4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2.8780710404999999E-5</v>
      </c>
      <c r="C8" s="449"/>
      <c r="D8" s="451">
        <f>vkm_2011_NGW_PW*SUMIFS(TableVerdeelsleutelVkm[CNG],TableVerdeelsleutelVkm[Voertuigtype],"Lichte voertuigen")*SUMIFS(TableECFTransport[EnergieConsumptieFactor (PJ per km)],TableECFTransport[Index],CONCATENATE($A8,"_CNG_CNG"))</f>
        <v>1.7710780609368E-4</v>
      </c>
      <c r="E8" s="451">
        <f>vkm_2011_NGW_PW*SUMIFS(TableVerdeelsleutelVkm[LPG],TableVerdeelsleutelVkm[Voertuigtype],"Lichte voertuigen")*SUMIFS(TableECFTransport[EnergieConsumptieFactor (PJ per km)],TableECFTransport[Index],CONCATENATE($A8,"_LPG_LPG"))</f>
        <v>1.2935457167947501E-4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3.2675494283171624E-2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1.2951086436853339E-2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2.7356199022359976E-3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4.3855824023936512E-3</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1.0425048596713656E-6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2.5288228016050212E-4</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19.092735818055559</v>
      </c>
      <c r="C14" s="21"/>
      <c r="D14" s="21">
        <f t="shared" ref="D14:M14" si="0">((D5)*10^9/3600)+D12</f>
        <v>87.786576142906668</v>
      </c>
      <c r="E14" s="21">
        <f t="shared" si="0"/>
        <v>66.33435868118751</v>
      </c>
      <c r="F14" s="21"/>
      <c r="G14" s="21">
        <f t="shared" si="0"/>
        <v>21545.106260432502</v>
      </c>
      <c r="H14" s="21">
        <f t="shared" si="0"/>
        <v>6494.5863438795814</v>
      </c>
      <c r="I14" s="21"/>
      <c r="J14" s="21"/>
      <c r="K14" s="21"/>
      <c r="L14" s="21"/>
      <c r="M14" s="21">
        <f t="shared" si="0"/>
        <v>1669.2489996957599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0.20895114992866012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3.9894491044668263</v>
      </c>
      <c r="C18" s="23"/>
      <c r="D18" s="23">
        <f t="shared" ref="D18:M18" si="1">D14*D16</f>
        <v>17.732888380867148</v>
      </c>
      <c r="E18" s="23">
        <f t="shared" si="1"/>
        <v>15.057899420629566</v>
      </c>
      <c r="F18" s="23"/>
      <c r="G18" s="23">
        <f t="shared" si="1"/>
        <v>5752.5433715354784</v>
      </c>
      <c r="H18" s="23">
        <f t="shared" si="1"/>
        <v>1617.1519996260158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3.8817400187744632E-3</v>
      </c>
      <c r="H50" s="321">
        <f t="shared" si="2"/>
        <v>0</v>
      </c>
      <c r="I50" s="321">
        <f t="shared" si="2"/>
        <v>0</v>
      </c>
      <c r="J50" s="321">
        <f t="shared" si="2"/>
        <v>0</v>
      </c>
      <c r="K50" s="321">
        <f t="shared" si="2"/>
        <v>0</v>
      </c>
      <c r="L50" s="321">
        <f t="shared" si="2"/>
        <v>0</v>
      </c>
      <c r="M50" s="321">
        <f t="shared" si="2"/>
        <v>2.1574753973442365E-4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3.8817400187744632E-3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2.1574753973442365E-4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1078.2611163262397</v>
      </c>
      <c r="H54" s="21">
        <f t="shared" si="3"/>
        <v>0</v>
      </c>
      <c r="I54" s="21">
        <f t="shared" si="3"/>
        <v>0</v>
      </c>
      <c r="J54" s="21">
        <f t="shared" si="3"/>
        <v>0</v>
      </c>
      <c r="K54" s="21">
        <f t="shared" si="3"/>
        <v>0</v>
      </c>
      <c r="L54" s="21">
        <f t="shared" si="3"/>
        <v>0</v>
      </c>
      <c r="M54" s="21">
        <f t="shared" si="3"/>
        <v>59.929872148451018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0.20895114992866012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287.895718059106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13663.86126</v>
      </c>
      <c r="D10" s="712">
        <f ca="1">tertiair!C16</f>
        <v>0</v>
      </c>
      <c r="E10" s="712">
        <f ca="1">tertiair!D16</f>
        <v>13125.467881196</v>
      </c>
      <c r="F10" s="712">
        <f>tertiair!E16</f>
        <v>174.02101197754391</v>
      </c>
      <c r="G10" s="712">
        <f ca="1">tertiair!F16</f>
        <v>1499.3662929186553</v>
      </c>
      <c r="H10" s="712">
        <f>tertiair!G16</f>
        <v>0</v>
      </c>
      <c r="I10" s="712">
        <f>tertiair!H16</f>
        <v>0</v>
      </c>
      <c r="J10" s="712">
        <f>tertiair!I16</f>
        <v>0</v>
      </c>
      <c r="K10" s="712">
        <f>tertiair!J16</f>
        <v>2.3961518984840287E-2</v>
      </c>
      <c r="L10" s="712">
        <f>tertiair!K16</f>
        <v>0</v>
      </c>
      <c r="M10" s="712">
        <f ca="1">tertiair!L16</f>
        <v>0</v>
      </c>
      <c r="N10" s="712">
        <f>tertiair!M16</f>
        <v>0</v>
      </c>
      <c r="O10" s="712">
        <f ca="1">tertiair!N16</f>
        <v>947.15748063984029</v>
      </c>
      <c r="P10" s="712">
        <f>tertiair!O16</f>
        <v>9.7945215316823084</v>
      </c>
      <c r="Q10" s="713">
        <f>tertiair!P16</f>
        <v>0</v>
      </c>
      <c r="R10" s="715">
        <f ca="1">SUM(C10:Q10)</f>
        <v>29419.69240978271</v>
      </c>
      <c r="S10" s="67"/>
    </row>
    <row r="11" spans="1:19" s="474" customFormat="1">
      <c r="A11" s="834" t="s">
        <v>224</v>
      </c>
      <c r="B11" s="839"/>
      <c r="C11" s="712">
        <f>huishoudens!B8</f>
        <v>22354.429011516251</v>
      </c>
      <c r="D11" s="712">
        <f>huishoudens!C8</f>
        <v>0</v>
      </c>
      <c r="E11" s="712">
        <f>huishoudens!D8</f>
        <v>44568.92875644</v>
      </c>
      <c r="F11" s="712">
        <f>huishoudens!E8</f>
        <v>7537.2698386831216</v>
      </c>
      <c r="G11" s="712">
        <f>huishoudens!F8</f>
        <v>18590.142649404406</v>
      </c>
      <c r="H11" s="712">
        <f>huishoudens!G8</f>
        <v>0</v>
      </c>
      <c r="I11" s="712">
        <f>huishoudens!H8</f>
        <v>0</v>
      </c>
      <c r="J11" s="712">
        <f>huishoudens!I8</f>
        <v>0</v>
      </c>
      <c r="K11" s="712">
        <f>huishoudens!J8</f>
        <v>672.19006020472693</v>
      </c>
      <c r="L11" s="712">
        <f>huishoudens!K8</f>
        <v>0</v>
      </c>
      <c r="M11" s="712">
        <f>huishoudens!L8</f>
        <v>0</v>
      </c>
      <c r="N11" s="712">
        <f>huishoudens!M8</f>
        <v>0</v>
      </c>
      <c r="O11" s="712">
        <f>huishoudens!N8</f>
        <v>3768.1264977395585</v>
      </c>
      <c r="P11" s="712">
        <f>huishoudens!O8</f>
        <v>234.10706988766975</v>
      </c>
      <c r="Q11" s="713">
        <f>huishoudens!P8</f>
        <v>221.21314546138547</v>
      </c>
      <c r="R11" s="715">
        <f>SUM(C11:Q11)</f>
        <v>97946.407029337104</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9591.6109509999987</v>
      </c>
      <c r="D13" s="712">
        <f>industrie!C18</f>
        <v>0</v>
      </c>
      <c r="E13" s="712">
        <f>industrie!D18</f>
        <v>1548.6873413439998</v>
      </c>
      <c r="F13" s="712">
        <f>industrie!E18</f>
        <v>626.83952098311966</v>
      </c>
      <c r="G13" s="712">
        <f>industrie!F18</f>
        <v>2222.9195702856023</v>
      </c>
      <c r="H13" s="712">
        <f>industrie!G18</f>
        <v>0</v>
      </c>
      <c r="I13" s="712">
        <f>industrie!H18</f>
        <v>0</v>
      </c>
      <c r="J13" s="712">
        <f>industrie!I18</f>
        <v>0</v>
      </c>
      <c r="K13" s="712">
        <f>industrie!J18</f>
        <v>69.186801868316678</v>
      </c>
      <c r="L13" s="712">
        <f>industrie!K18</f>
        <v>0</v>
      </c>
      <c r="M13" s="712">
        <f>industrie!L18</f>
        <v>0</v>
      </c>
      <c r="N13" s="712">
        <f>industrie!M18</f>
        <v>0</v>
      </c>
      <c r="O13" s="712">
        <f>industrie!N18</f>
        <v>426.04174018578118</v>
      </c>
      <c r="P13" s="712">
        <f>industrie!O18</f>
        <v>0</v>
      </c>
      <c r="Q13" s="713">
        <f>industrie!P18</f>
        <v>0</v>
      </c>
      <c r="R13" s="715">
        <f>SUM(C13:Q13)</f>
        <v>14485.28592566682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45609.901222516244</v>
      </c>
      <c r="D16" s="748">
        <f t="shared" ref="D16:R16" ca="1" si="0">SUM(D9:D15)</f>
        <v>0</v>
      </c>
      <c r="E16" s="748">
        <f t="shared" ca="1" si="0"/>
        <v>59243.083978980001</v>
      </c>
      <c r="F16" s="748">
        <f t="shared" si="0"/>
        <v>8338.1303716437851</v>
      </c>
      <c r="G16" s="748">
        <f t="shared" ca="1" si="0"/>
        <v>22312.428512608662</v>
      </c>
      <c r="H16" s="748">
        <f t="shared" si="0"/>
        <v>0</v>
      </c>
      <c r="I16" s="748">
        <f t="shared" si="0"/>
        <v>0</v>
      </c>
      <c r="J16" s="748">
        <f t="shared" si="0"/>
        <v>0</v>
      </c>
      <c r="K16" s="748">
        <f t="shared" si="0"/>
        <v>741.40082359202847</v>
      </c>
      <c r="L16" s="748">
        <f t="shared" si="0"/>
        <v>0</v>
      </c>
      <c r="M16" s="748">
        <f t="shared" ca="1" si="0"/>
        <v>0</v>
      </c>
      <c r="N16" s="748">
        <f t="shared" si="0"/>
        <v>0</v>
      </c>
      <c r="O16" s="748">
        <f t="shared" ca="1" si="0"/>
        <v>5141.3257185651801</v>
      </c>
      <c r="P16" s="748">
        <f t="shared" si="0"/>
        <v>243.90159141935206</v>
      </c>
      <c r="Q16" s="748">
        <f t="shared" si="0"/>
        <v>221.21314546138547</v>
      </c>
      <c r="R16" s="748">
        <f t="shared" ca="1" si="0"/>
        <v>141851.38536478663</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1078.2611163262397</v>
      </c>
      <c r="I19" s="712">
        <f>transport!H54</f>
        <v>0</v>
      </c>
      <c r="J19" s="712">
        <f>transport!I54</f>
        <v>0</v>
      </c>
      <c r="K19" s="712">
        <f>transport!J54</f>
        <v>0</v>
      </c>
      <c r="L19" s="712">
        <f>transport!K54</f>
        <v>0</v>
      </c>
      <c r="M19" s="712">
        <f>transport!L54</f>
        <v>0</v>
      </c>
      <c r="N19" s="712">
        <f>transport!M54</f>
        <v>59.929872148451018</v>
      </c>
      <c r="O19" s="712">
        <f>transport!N54</f>
        <v>0</v>
      </c>
      <c r="P19" s="712">
        <f>transport!O54</f>
        <v>0</v>
      </c>
      <c r="Q19" s="713">
        <f>transport!P54</f>
        <v>0</v>
      </c>
      <c r="R19" s="715">
        <f>SUM(C19:Q19)</f>
        <v>1138.1909884746908</v>
      </c>
      <c r="S19" s="67"/>
    </row>
    <row r="20" spans="1:19" s="474" customFormat="1">
      <c r="A20" s="834" t="s">
        <v>306</v>
      </c>
      <c r="B20" s="839"/>
      <c r="C20" s="712">
        <f>transport!B14</f>
        <v>19.092735818055559</v>
      </c>
      <c r="D20" s="712">
        <f>transport!C14</f>
        <v>0</v>
      </c>
      <c r="E20" s="712">
        <f>transport!D14</f>
        <v>87.786576142906668</v>
      </c>
      <c r="F20" s="712">
        <f>transport!E14</f>
        <v>66.33435868118751</v>
      </c>
      <c r="G20" s="712">
        <f>transport!F14</f>
        <v>0</v>
      </c>
      <c r="H20" s="712">
        <f>transport!G14</f>
        <v>21545.106260432502</v>
      </c>
      <c r="I20" s="712">
        <f>transport!H14</f>
        <v>6494.5863438795814</v>
      </c>
      <c r="J20" s="712">
        <f>transport!I14</f>
        <v>0</v>
      </c>
      <c r="K20" s="712">
        <f>transport!J14</f>
        <v>0</v>
      </c>
      <c r="L20" s="712">
        <f>transport!K14</f>
        <v>0</v>
      </c>
      <c r="M20" s="712">
        <f>transport!L14</f>
        <v>0</v>
      </c>
      <c r="N20" s="712">
        <f>transport!M14</f>
        <v>1669.2489996957599</v>
      </c>
      <c r="O20" s="712">
        <f>transport!N14</f>
        <v>0</v>
      </c>
      <c r="P20" s="712">
        <f>transport!O14</f>
        <v>0</v>
      </c>
      <c r="Q20" s="713">
        <f>transport!P14</f>
        <v>0</v>
      </c>
      <c r="R20" s="715">
        <f>SUM(C20:Q20)</f>
        <v>29882.155274649991</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19.092735818055559</v>
      </c>
      <c r="D22" s="837">
        <f t="shared" ref="D22:R22" si="1">SUM(D18:D21)</f>
        <v>0</v>
      </c>
      <c r="E22" s="837">
        <f t="shared" si="1"/>
        <v>87.786576142906668</v>
      </c>
      <c r="F22" s="837">
        <f t="shared" si="1"/>
        <v>66.33435868118751</v>
      </c>
      <c r="G22" s="837">
        <f t="shared" si="1"/>
        <v>0</v>
      </c>
      <c r="H22" s="837">
        <f t="shared" si="1"/>
        <v>22623.367376758742</v>
      </c>
      <c r="I22" s="837">
        <f t="shared" si="1"/>
        <v>6494.5863438795814</v>
      </c>
      <c r="J22" s="837">
        <f t="shared" si="1"/>
        <v>0</v>
      </c>
      <c r="K22" s="837">
        <f t="shared" si="1"/>
        <v>0</v>
      </c>
      <c r="L22" s="837">
        <f t="shared" si="1"/>
        <v>0</v>
      </c>
      <c r="M22" s="837">
        <f t="shared" si="1"/>
        <v>0</v>
      </c>
      <c r="N22" s="837">
        <f t="shared" si="1"/>
        <v>1729.178871844211</v>
      </c>
      <c r="O22" s="837">
        <f t="shared" si="1"/>
        <v>0</v>
      </c>
      <c r="P22" s="837">
        <f t="shared" si="1"/>
        <v>0</v>
      </c>
      <c r="Q22" s="837">
        <f t="shared" si="1"/>
        <v>0</v>
      </c>
      <c r="R22" s="837">
        <f t="shared" si="1"/>
        <v>31020.34626312468</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68.228282000000007</v>
      </c>
      <c r="D24" s="712">
        <f>+landbouw!C8</f>
        <v>0</v>
      </c>
      <c r="E24" s="712">
        <f>+landbouw!D8</f>
        <v>113.21401495800001</v>
      </c>
      <c r="F24" s="712">
        <f>+landbouw!E8</f>
        <v>2.1293821823082397</v>
      </c>
      <c r="G24" s="712">
        <f>+landbouw!F8</f>
        <v>241.12630671319198</v>
      </c>
      <c r="H24" s="712">
        <f>+landbouw!G8</f>
        <v>0</v>
      </c>
      <c r="I24" s="712">
        <f>+landbouw!H8</f>
        <v>0</v>
      </c>
      <c r="J24" s="712">
        <f>+landbouw!I8</f>
        <v>0</v>
      </c>
      <c r="K24" s="712">
        <f>+landbouw!J8</f>
        <v>18.797364849988934</v>
      </c>
      <c r="L24" s="712">
        <f>+landbouw!K8</f>
        <v>0</v>
      </c>
      <c r="M24" s="712">
        <f>+landbouw!L8</f>
        <v>0</v>
      </c>
      <c r="N24" s="712">
        <f>+landbouw!M8</f>
        <v>0</v>
      </c>
      <c r="O24" s="712">
        <f>+landbouw!N8</f>
        <v>0</v>
      </c>
      <c r="P24" s="712">
        <f>+landbouw!O8</f>
        <v>0</v>
      </c>
      <c r="Q24" s="713">
        <f>+landbouw!P8</f>
        <v>0</v>
      </c>
      <c r="R24" s="715">
        <f>SUM(C24:Q24)</f>
        <v>443.49535070348912</v>
      </c>
      <c r="S24" s="67"/>
    </row>
    <row r="25" spans="1:19" s="474" customFormat="1" ht="15" thickBot="1">
      <c r="A25" s="856" t="s">
        <v>734</v>
      </c>
      <c r="B25" s="982"/>
      <c r="C25" s="983">
        <f>IF(Onbekend_ele_kWh="---",0,Onbekend_ele_kWh)/1000+IF(REST_rest_ele_kWh="---",0,REST_rest_ele_kWh)/1000</f>
        <v>627.76225999999997</v>
      </c>
      <c r="D25" s="983"/>
      <c r="E25" s="983">
        <f>IF(onbekend_gas_kWh="---",0,onbekend_gas_kWh)/1000+IF(REST_rest_gas_kWh="---",0,REST_rest_gas_kWh)/1000</f>
        <v>2187.3795770000002</v>
      </c>
      <c r="F25" s="983"/>
      <c r="G25" s="983"/>
      <c r="H25" s="983"/>
      <c r="I25" s="983"/>
      <c r="J25" s="983"/>
      <c r="K25" s="983"/>
      <c r="L25" s="983"/>
      <c r="M25" s="983"/>
      <c r="N25" s="983"/>
      <c r="O25" s="983"/>
      <c r="P25" s="983"/>
      <c r="Q25" s="984"/>
      <c r="R25" s="715">
        <f>SUM(C25:Q25)</f>
        <v>2815.1418370000001</v>
      </c>
      <c r="S25" s="67"/>
    </row>
    <row r="26" spans="1:19" s="474" customFormat="1" ht="15.75" thickBot="1">
      <c r="A26" s="720" t="s">
        <v>735</v>
      </c>
      <c r="B26" s="842"/>
      <c r="C26" s="837">
        <f>SUM(C24:C25)</f>
        <v>695.990542</v>
      </c>
      <c r="D26" s="837">
        <f t="shared" ref="D26:R26" si="2">SUM(D24:D25)</f>
        <v>0</v>
      </c>
      <c r="E26" s="837">
        <f t="shared" si="2"/>
        <v>2300.5935919580002</v>
      </c>
      <c r="F26" s="837">
        <f t="shared" si="2"/>
        <v>2.1293821823082397</v>
      </c>
      <c r="G26" s="837">
        <f t="shared" si="2"/>
        <v>241.12630671319198</v>
      </c>
      <c r="H26" s="837">
        <f t="shared" si="2"/>
        <v>0</v>
      </c>
      <c r="I26" s="837">
        <f t="shared" si="2"/>
        <v>0</v>
      </c>
      <c r="J26" s="837">
        <f t="shared" si="2"/>
        <v>0</v>
      </c>
      <c r="K26" s="837">
        <f t="shared" si="2"/>
        <v>18.797364849988934</v>
      </c>
      <c r="L26" s="837">
        <f t="shared" si="2"/>
        <v>0</v>
      </c>
      <c r="M26" s="837">
        <f t="shared" si="2"/>
        <v>0</v>
      </c>
      <c r="N26" s="837">
        <f t="shared" si="2"/>
        <v>0</v>
      </c>
      <c r="O26" s="837">
        <f t="shared" si="2"/>
        <v>0</v>
      </c>
      <c r="P26" s="837">
        <f t="shared" si="2"/>
        <v>0</v>
      </c>
      <c r="Q26" s="837">
        <f t="shared" si="2"/>
        <v>0</v>
      </c>
      <c r="R26" s="837">
        <f t="shared" si="2"/>
        <v>3258.6371877034894</v>
      </c>
      <c r="S26" s="67"/>
    </row>
    <row r="27" spans="1:19" s="474" customFormat="1" ht="17.25" thickTop="1" thickBot="1">
      <c r="A27" s="721" t="s">
        <v>115</v>
      </c>
      <c r="B27" s="829"/>
      <c r="C27" s="722">
        <f ca="1">C22+C16+C26</f>
        <v>46324.9845003343</v>
      </c>
      <c r="D27" s="722">
        <f t="shared" ref="D27:R27" ca="1" si="3">D22+D16+D26</f>
        <v>0</v>
      </c>
      <c r="E27" s="722">
        <f t="shared" ca="1" si="3"/>
        <v>61631.464147080907</v>
      </c>
      <c r="F27" s="722">
        <f t="shared" si="3"/>
        <v>8406.5941125072804</v>
      </c>
      <c r="G27" s="722">
        <f t="shared" ca="1" si="3"/>
        <v>22553.554819321853</v>
      </c>
      <c r="H27" s="722">
        <f t="shared" si="3"/>
        <v>22623.367376758742</v>
      </c>
      <c r="I27" s="722">
        <f t="shared" si="3"/>
        <v>6494.5863438795814</v>
      </c>
      <c r="J27" s="722">
        <f t="shared" si="3"/>
        <v>0</v>
      </c>
      <c r="K27" s="722">
        <f t="shared" si="3"/>
        <v>760.19818844201745</v>
      </c>
      <c r="L27" s="722">
        <f t="shared" si="3"/>
        <v>0</v>
      </c>
      <c r="M27" s="722">
        <f t="shared" ca="1" si="3"/>
        <v>0</v>
      </c>
      <c r="N27" s="722">
        <f t="shared" si="3"/>
        <v>1729.178871844211</v>
      </c>
      <c r="O27" s="722">
        <f t="shared" ca="1" si="3"/>
        <v>5141.3257185651801</v>
      </c>
      <c r="P27" s="722">
        <f t="shared" si="3"/>
        <v>243.90159141935206</v>
      </c>
      <c r="Q27" s="722">
        <f t="shared" si="3"/>
        <v>221.21314546138547</v>
      </c>
      <c r="R27" s="722">
        <f t="shared" ca="1" si="3"/>
        <v>176130.36881561481</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2855.0795227426706</v>
      </c>
      <c r="D40" s="712">
        <f ca="1">tertiair!C20</f>
        <v>0</v>
      </c>
      <c r="E40" s="712">
        <f ca="1">tertiair!D20</f>
        <v>2651.3445120015922</v>
      </c>
      <c r="F40" s="712">
        <f>tertiair!E20</f>
        <v>39.502769718902471</v>
      </c>
      <c r="G40" s="712">
        <f ca="1">tertiair!F20</f>
        <v>400.33080020928099</v>
      </c>
      <c r="H40" s="712">
        <f>tertiair!G20</f>
        <v>0</v>
      </c>
      <c r="I40" s="712">
        <f>tertiair!H20</f>
        <v>0</v>
      </c>
      <c r="J40" s="712">
        <f>tertiair!I20</f>
        <v>0</v>
      </c>
      <c r="K40" s="712">
        <f>tertiair!J20</f>
        <v>8.4823777206334619E-3</v>
      </c>
      <c r="L40" s="712">
        <f>tertiair!K20</f>
        <v>0</v>
      </c>
      <c r="M40" s="712">
        <f ca="1">tertiair!L20</f>
        <v>0</v>
      </c>
      <c r="N40" s="712">
        <f>tertiair!M20</f>
        <v>0</v>
      </c>
      <c r="O40" s="712">
        <f ca="1">tertiair!N20</f>
        <v>0</v>
      </c>
      <c r="P40" s="712">
        <f>tertiair!O20</f>
        <v>0</v>
      </c>
      <c r="Q40" s="795">
        <f>tertiair!P20</f>
        <v>0</v>
      </c>
      <c r="R40" s="875">
        <f t="shared" ca="1" si="4"/>
        <v>5946.2660870501668</v>
      </c>
    </row>
    <row r="41" spans="1:18">
      <c r="A41" s="847" t="s">
        <v>224</v>
      </c>
      <c r="B41" s="854"/>
      <c r="C41" s="712">
        <f ca="1">huishoudens!B12</f>
        <v>4670.9836479549222</v>
      </c>
      <c r="D41" s="712">
        <f ca="1">huishoudens!C12</f>
        <v>0</v>
      </c>
      <c r="E41" s="712">
        <f>huishoudens!D12</f>
        <v>9002.9236088008802</v>
      </c>
      <c r="F41" s="712">
        <f>huishoudens!E12</f>
        <v>1710.9602533810687</v>
      </c>
      <c r="G41" s="712">
        <f>huishoudens!F12</f>
        <v>4963.5680873909769</v>
      </c>
      <c r="H41" s="712">
        <f>huishoudens!G12</f>
        <v>0</v>
      </c>
      <c r="I41" s="712">
        <f>huishoudens!H12</f>
        <v>0</v>
      </c>
      <c r="J41" s="712">
        <f>huishoudens!I12</f>
        <v>0</v>
      </c>
      <c r="K41" s="712">
        <f>huishoudens!J12</f>
        <v>237.95528131247332</v>
      </c>
      <c r="L41" s="712">
        <f>huishoudens!K12</f>
        <v>0</v>
      </c>
      <c r="M41" s="712">
        <f>huishoudens!L12</f>
        <v>0</v>
      </c>
      <c r="N41" s="712">
        <f>huishoudens!M12</f>
        <v>0</v>
      </c>
      <c r="O41" s="712">
        <f>huishoudens!N12</f>
        <v>0</v>
      </c>
      <c r="P41" s="712">
        <f>huishoudens!O12</f>
        <v>0</v>
      </c>
      <c r="Q41" s="795">
        <f>huishoudens!P12</f>
        <v>0</v>
      </c>
      <c r="R41" s="875">
        <f t="shared" ca="1" si="4"/>
        <v>20586.390878840321</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2004.1781378797791</v>
      </c>
      <c r="D43" s="712">
        <f ca="1">industrie!C22</f>
        <v>0</v>
      </c>
      <c r="E43" s="712">
        <f>industrie!D22</f>
        <v>312.83484295148799</v>
      </c>
      <c r="F43" s="712">
        <f>industrie!E22</f>
        <v>142.29257126316816</v>
      </c>
      <c r="G43" s="712">
        <f>industrie!F22</f>
        <v>593.51952526625587</v>
      </c>
      <c r="H43" s="712">
        <f>industrie!G22</f>
        <v>0</v>
      </c>
      <c r="I43" s="712">
        <f>industrie!H22</f>
        <v>0</v>
      </c>
      <c r="J43" s="712">
        <f>industrie!I22</f>
        <v>0</v>
      </c>
      <c r="K43" s="712">
        <f>industrie!J22</f>
        <v>24.492127861384102</v>
      </c>
      <c r="L43" s="712">
        <f>industrie!K22</f>
        <v>0</v>
      </c>
      <c r="M43" s="712">
        <f>industrie!L22</f>
        <v>0</v>
      </c>
      <c r="N43" s="712">
        <f>industrie!M22</f>
        <v>0</v>
      </c>
      <c r="O43" s="712">
        <f>industrie!N22</f>
        <v>0</v>
      </c>
      <c r="P43" s="712">
        <f>industrie!O22</f>
        <v>0</v>
      </c>
      <c r="Q43" s="795">
        <f>industrie!P22</f>
        <v>0</v>
      </c>
      <c r="R43" s="874">
        <f t="shared" ca="1" si="4"/>
        <v>3077.3172052220757</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9530.2413085773715</v>
      </c>
      <c r="D46" s="748">
        <f t="shared" ref="D46:Q46" ca="1" si="5">SUM(D39:D45)</f>
        <v>0</v>
      </c>
      <c r="E46" s="748">
        <f t="shared" ca="1" si="5"/>
        <v>11967.102963753961</v>
      </c>
      <c r="F46" s="748">
        <f t="shared" si="5"/>
        <v>1892.7555943631394</v>
      </c>
      <c r="G46" s="748">
        <f t="shared" ca="1" si="5"/>
        <v>5957.4184128665138</v>
      </c>
      <c r="H46" s="748">
        <f t="shared" si="5"/>
        <v>0</v>
      </c>
      <c r="I46" s="748">
        <f t="shared" si="5"/>
        <v>0</v>
      </c>
      <c r="J46" s="748">
        <f t="shared" si="5"/>
        <v>0</v>
      </c>
      <c r="K46" s="748">
        <f t="shared" si="5"/>
        <v>262.45589155157808</v>
      </c>
      <c r="L46" s="748">
        <f t="shared" si="5"/>
        <v>0</v>
      </c>
      <c r="M46" s="748">
        <f t="shared" ca="1" si="5"/>
        <v>0</v>
      </c>
      <c r="N46" s="748">
        <f t="shared" si="5"/>
        <v>0</v>
      </c>
      <c r="O46" s="748">
        <f t="shared" ca="1" si="5"/>
        <v>0</v>
      </c>
      <c r="P46" s="748">
        <f t="shared" si="5"/>
        <v>0</v>
      </c>
      <c r="Q46" s="748">
        <f t="shared" si="5"/>
        <v>0</v>
      </c>
      <c r="R46" s="748">
        <f ca="1">SUM(R39:R45)</f>
        <v>29609.974171112564</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287.895718059106</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287.895718059106</v>
      </c>
    </row>
    <row r="50" spans="1:18">
      <c r="A50" s="850" t="s">
        <v>306</v>
      </c>
      <c r="B50" s="860"/>
      <c r="C50" s="718">
        <f ca="1">transport!B18</f>
        <v>3.9894491044668263</v>
      </c>
      <c r="D50" s="718">
        <f>transport!C18</f>
        <v>0</v>
      </c>
      <c r="E50" s="718">
        <f>transport!D18</f>
        <v>17.732888380867148</v>
      </c>
      <c r="F50" s="718">
        <f>transport!E18</f>
        <v>15.057899420629566</v>
      </c>
      <c r="G50" s="718">
        <f>transport!F18</f>
        <v>0</v>
      </c>
      <c r="H50" s="718">
        <f>transport!G18</f>
        <v>5752.5433715354784</v>
      </c>
      <c r="I50" s="718">
        <f>transport!H18</f>
        <v>1617.1519996260158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7406.4756080674579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3.9894491044668263</v>
      </c>
      <c r="D52" s="748">
        <f t="shared" ref="D52:Q52" ca="1" si="6">SUM(D48:D51)</f>
        <v>0</v>
      </c>
      <c r="E52" s="748">
        <f t="shared" si="6"/>
        <v>17.732888380867148</v>
      </c>
      <c r="F52" s="748">
        <f t="shared" si="6"/>
        <v>15.057899420629566</v>
      </c>
      <c r="G52" s="748">
        <f t="shared" si="6"/>
        <v>0</v>
      </c>
      <c r="H52" s="748">
        <f t="shared" si="6"/>
        <v>6040.4390895945844</v>
      </c>
      <c r="I52" s="748">
        <f t="shared" si="6"/>
        <v>1617.1519996260158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7694.3713261265639</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14.256377981556904</v>
      </c>
      <c r="D54" s="718">
        <f ca="1">+landbouw!C12</f>
        <v>0</v>
      </c>
      <c r="E54" s="718">
        <f>+landbouw!D12</f>
        <v>22.869231021516004</v>
      </c>
      <c r="F54" s="718">
        <f>+landbouw!E12</f>
        <v>0.48336975538397042</v>
      </c>
      <c r="G54" s="718">
        <f>+landbouw!F12</f>
        <v>64.380723892422267</v>
      </c>
      <c r="H54" s="718">
        <f>+landbouw!G12</f>
        <v>0</v>
      </c>
      <c r="I54" s="718">
        <f>+landbouw!H12</f>
        <v>0</v>
      </c>
      <c r="J54" s="718">
        <f>+landbouw!I12</f>
        <v>0</v>
      </c>
      <c r="K54" s="718">
        <f>+landbouw!J12</f>
        <v>6.6542671568960827</v>
      </c>
      <c r="L54" s="718">
        <f>+landbouw!K12</f>
        <v>0</v>
      </c>
      <c r="M54" s="718">
        <f>+landbouw!L12</f>
        <v>0</v>
      </c>
      <c r="N54" s="718">
        <f>+landbouw!M12</f>
        <v>0</v>
      </c>
      <c r="O54" s="718">
        <f>+landbouw!N12</f>
        <v>0</v>
      </c>
      <c r="P54" s="718">
        <f>+landbouw!O12</f>
        <v>0</v>
      </c>
      <c r="Q54" s="719">
        <f>+landbouw!P12</f>
        <v>0</v>
      </c>
      <c r="R54" s="747">
        <f ca="1">SUM(C54:Q54)</f>
        <v>108.64396980777522</v>
      </c>
    </row>
    <row r="55" spans="1:18" ht="15" thickBot="1">
      <c r="A55" s="850" t="s">
        <v>734</v>
      </c>
      <c r="B55" s="860"/>
      <c r="C55" s="718">
        <f ca="1">C25*'EF ele_warmte'!B12</f>
        <v>131.17164610881451</v>
      </c>
      <c r="D55" s="718"/>
      <c r="E55" s="718">
        <f>E25*EF_CO2_aardgas</f>
        <v>441.85067455400008</v>
      </c>
      <c r="F55" s="718"/>
      <c r="G55" s="718"/>
      <c r="H55" s="718"/>
      <c r="I55" s="718"/>
      <c r="J55" s="718"/>
      <c r="K55" s="718"/>
      <c r="L55" s="718"/>
      <c r="M55" s="718"/>
      <c r="N55" s="718"/>
      <c r="O55" s="718"/>
      <c r="P55" s="718"/>
      <c r="Q55" s="719"/>
      <c r="R55" s="747">
        <f ca="1">SUM(C55:Q55)</f>
        <v>573.02232066281454</v>
      </c>
    </row>
    <row r="56" spans="1:18" ht="15.75" thickBot="1">
      <c r="A56" s="848" t="s">
        <v>735</v>
      </c>
      <c r="B56" s="861"/>
      <c r="C56" s="748">
        <f ca="1">SUM(C54:C55)</f>
        <v>145.42802409037142</v>
      </c>
      <c r="D56" s="748">
        <f t="shared" ref="D56:Q56" ca="1" si="7">SUM(D54:D55)</f>
        <v>0</v>
      </c>
      <c r="E56" s="748">
        <f t="shared" si="7"/>
        <v>464.71990557551607</v>
      </c>
      <c r="F56" s="748">
        <f t="shared" si="7"/>
        <v>0.48336975538397042</v>
      </c>
      <c r="G56" s="748">
        <f t="shared" si="7"/>
        <v>64.380723892422267</v>
      </c>
      <c r="H56" s="748">
        <f t="shared" si="7"/>
        <v>0</v>
      </c>
      <c r="I56" s="748">
        <f t="shared" si="7"/>
        <v>0</v>
      </c>
      <c r="J56" s="748">
        <f t="shared" si="7"/>
        <v>0</v>
      </c>
      <c r="K56" s="748">
        <f t="shared" si="7"/>
        <v>6.6542671568960827</v>
      </c>
      <c r="L56" s="748">
        <f t="shared" si="7"/>
        <v>0</v>
      </c>
      <c r="M56" s="748">
        <f t="shared" si="7"/>
        <v>0</v>
      </c>
      <c r="N56" s="748">
        <f t="shared" si="7"/>
        <v>0</v>
      </c>
      <c r="O56" s="748">
        <f t="shared" si="7"/>
        <v>0</v>
      </c>
      <c r="P56" s="748">
        <f t="shared" si="7"/>
        <v>0</v>
      </c>
      <c r="Q56" s="749">
        <f t="shared" si="7"/>
        <v>0</v>
      </c>
      <c r="R56" s="750">
        <f ca="1">SUM(R54:R55)</f>
        <v>681.66629047058973</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9679.6587817722102</v>
      </c>
      <c r="D61" s="756">
        <f t="shared" ref="D61:Q61" ca="1" si="8">D46+D52+D56</f>
        <v>0</v>
      </c>
      <c r="E61" s="756">
        <f t="shared" ca="1" si="8"/>
        <v>12449.555757710345</v>
      </c>
      <c r="F61" s="756">
        <f t="shared" si="8"/>
        <v>1908.296863539153</v>
      </c>
      <c r="G61" s="756">
        <f t="shared" ca="1" si="8"/>
        <v>6021.7991367589357</v>
      </c>
      <c r="H61" s="756">
        <f t="shared" si="8"/>
        <v>6040.4390895945844</v>
      </c>
      <c r="I61" s="756">
        <f t="shared" si="8"/>
        <v>1617.1519996260158</v>
      </c>
      <c r="J61" s="756">
        <f t="shared" si="8"/>
        <v>0</v>
      </c>
      <c r="K61" s="756">
        <f t="shared" si="8"/>
        <v>269.11015870847416</v>
      </c>
      <c r="L61" s="756">
        <f t="shared" si="8"/>
        <v>0</v>
      </c>
      <c r="M61" s="756">
        <f t="shared" ca="1" si="8"/>
        <v>0</v>
      </c>
      <c r="N61" s="756">
        <f t="shared" si="8"/>
        <v>0</v>
      </c>
      <c r="O61" s="756">
        <f t="shared" ca="1" si="8"/>
        <v>0</v>
      </c>
      <c r="P61" s="756">
        <f t="shared" si="8"/>
        <v>0</v>
      </c>
      <c r="Q61" s="756">
        <f t="shared" si="8"/>
        <v>0</v>
      </c>
      <c r="R61" s="756">
        <f ca="1">R46+R52+R56</f>
        <v>37986.011787709715</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0.20895114992866015</v>
      </c>
      <c r="D63" s="802">
        <f t="shared" ca="1" si="9"/>
        <v>0</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2525.6234968401454</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0</v>
      </c>
      <c r="D76" s="991">
        <f>'lokale energieproductie'!C8</f>
        <v>0</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2525.6234968401454</v>
      </c>
      <c r="C78" s="774">
        <f>SUM(C72:C77)</f>
        <v>0</v>
      </c>
      <c r="D78" s="775">
        <f t="shared" ref="D78:H78" si="10">SUM(D76:D77)</f>
        <v>0</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0</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0</v>
      </c>
      <c r="D87" s="798">
        <f>'lokale energieproductie'!C17</f>
        <v>0</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0</v>
      </c>
      <c r="D90" s="774">
        <f t="shared" ref="D90:H90" si="12">SUM(D87:D89)</f>
        <v>0</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0</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2525.6234968401454</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0</v>
      </c>
      <c r="C8" s="574">
        <f>B101</f>
        <v>0</v>
      </c>
      <c r="D8" s="575"/>
      <c r="E8" s="575">
        <f>E101</f>
        <v>0</v>
      </c>
      <c r="F8" s="576"/>
      <c r="G8" s="577"/>
      <c r="H8" s="575">
        <f>I101</f>
        <v>0</v>
      </c>
      <c r="I8" s="575">
        <f>G101+F101</f>
        <v>0</v>
      </c>
      <c r="J8" s="575">
        <f>H101+D101+C101</f>
        <v>0</v>
      </c>
      <c r="K8" s="575"/>
      <c r="L8" s="575"/>
      <c r="M8" s="575"/>
      <c r="N8" s="578"/>
      <c r="O8" s="579">
        <f>C8*$C$12+D8*$D$12+E8*$E$12+F8*$F$12+G8*$G$12+H8*$H$12+I8*$I$12+J8*$J$12</f>
        <v>0</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2525.6234968401454</v>
      </c>
      <c r="C10" s="589">
        <f t="shared" ref="C10:L10" si="0">SUM(C8:C9)</f>
        <v>0</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0</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0</v>
      </c>
      <c r="C17" s="605">
        <f>B102</f>
        <v>0</v>
      </c>
      <c r="D17" s="606"/>
      <c r="E17" s="606">
        <f>E102</f>
        <v>0</v>
      </c>
      <c r="F17" s="607"/>
      <c r="G17" s="608"/>
      <c r="H17" s="605">
        <f>I102</f>
        <v>0</v>
      </c>
      <c r="I17" s="606">
        <f>G102+F102</f>
        <v>0</v>
      </c>
      <c r="J17" s="606">
        <f>H102+D102+C102</f>
        <v>0</v>
      </c>
      <c r="K17" s="606"/>
      <c r="L17" s="606"/>
      <c r="M17" s="606"/>
      <c r="N17" s="1005"/>
      <c r="O17" s="609">
        <f>C17*$C$22+E17*$E$22+H17*$H$22+I17*$I$22+J17*$J$22+D17*$D$22+F17*$F$22+G17*$G$22+K17*$K$22+L17*$L$22</f>
        <v>0</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0</v>
      </c>
      <c r="C20" s="588">
        <f>SUM(C17:C19)</f>
        <v>0</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0</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12.75">
      <c r="A28" s="618"/>
      <c r="B28" s="817"/>
      <c r="C28" s="817"/>
      <c r="D28" s="666"/>
      <c r="E28" s="665"/>
      <c r="F28" s="665"/>
      <c r="G28" s="665"/>
      <c r="H28" s="665"/>
      <c r="I28" s="665"/>
      <c r="J28" s="816"/>
      <c r="K28" s="816"/>
      <c r="L28" s="665"/>
      <c r="M28" s="665"/>
      <c r="N28" s="665"/>
      <c r="O28" s="665"/>
      <c r="P28" s="665"/>
      <c r="Q28" s="665"/>
      <c r="R28" s="665"/>
      <c r="S28" s="665"/>
      <c r="T28" s="665"/>
      <c r="U28" s="665"/>
      <c r="V28" s="665"/>
      <c r="W28" s="665"/>
      <c r="X28" s="665"/>
      <c r="Y28" s="665"/>
      <c r="Z28" s="667"/>
    </row>
    <row r="29" spans="1:26" s="619" customFormat="1" ht="12.75">
      <c r="A29" s="618"/>
      <c r="B29" s="817"/>
      <c r="C29" s="817"/>
      <c r="D29" s="666"/>
      <c r="E29" s="665"/>
      <c r="F29" s="665"/>
      <c r="G29" s="665"/>
      <c r="H29" s="665"/>
      <c r="I29" s="665"/>
      <c r="J29" s="816"/>
      <c r="K29" s="816"/>
      <c r="L29" s="665"/>
      <c r="M29" s="665"/>
      <c r="N29" s="665"/>
      <c r="O29" s="665"/>
      <c r="P29" s="665"/>
      <c r="Q29" s="665"/>
      <c r="R29" s="665"/>
      <c r="S29" s="665"/>
      <c r="T29" s="665"/>
      <c r="U29" s="665"/>
      <c r="V29" s="665"/>
      <c r="W29" s="665"/>
      <c r="X29" s="665"/>
      <c r="Y29" s="665"/>
      <c r="Z29" s="667"/>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0</v>
      </c>
      <c r="N58" s="623">
        <f>SUM(N28:N57)</f>
        <v>0</v>
      </c>
      <c r="O58" s="623">
        <f t="shared" ref="O58:W58" si="2">SUM(O28:O57)</f>
        <v>0</v>
      </c>
      <c r="P58" s="623">
        <f t="shared" si="2"/>
        <v>0</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0</v>
      </c>
      <c r="N60" s="623">
        <f ca="1">SUMIF($Z$28:AD57,"tertiair",N28:N57)</f>
        <v>0</v>
      </c>
      <c r="O60" s="623">
        <f ca="1">SUMIF($Z$28:AE57,"tertiair",O28:O57)</f>
        <v>0</v>
      </c>
      <c r="P60" s="623">
        <f ca="1">SUMIF($Z$28:AF57,"tertiair",P28:P57)</f>
        <v>0</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v>
      </c>
      <c r="C98" s="648">
        <f>IF(ISERROR(N58/(O58+N58)),0,N58/(N58+O58))</f>
        <v>0</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0</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0</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22354.429011516251</v>
      </c>
      <c r="C4" s="478">
        <f>huishoudens!C8</f>
        <v>0</v>
      </c>
      <c r="D4" s="478">
        <f>huishoudens!D8</f>
        <v>44568.92875644</v>
      </c>
      <c r="E4" s="478">
        <f>huishoudens!E8</f>
        <v>7537.2698386831216</v>
      </c>
      <c r="F4" s="478">
        <f>huishoudens!F8</f>
        <v>18590.142649404406</v>
      </c>
      <c r="G4" s="478">
        <f>huishoudens!G8</f>
        <v>0</v>
      </c>
      <c r="H4" s="478">
        <f>huishoudens!H8</f>
        <v>0</v>
      </c>
      <c r="I4" s="478">
        <f>huishoudens!I8</f>
        <v>0</v>
      </c>
      <c r="J4" s="478">
        <f>huishoudens!J8</f>
        <v>672.19006020472693</v>
      </c>
      <c r="K4" s="478">
        <f>huishoudens!K8</f>
        <v>0</v>
      </c>
      <c r="L4" s="478">
        <f>huishoudens!L8</f>
        <v>0</v>
      </c>
      <c r="M4" s="478">
        <f>huishoudens!M8</f>
        <v>0</v>
      </c>
      <c r="N4" s="478">
        <f>huishoudens!N8</f>
        <v>3768.1264977395585</v>
      </c>
      <c r="O4" s="478">
        <f>huishoudens!O8</f>
        <v>234.10706988766975</v>
      </c>
      <c r="P4" s="479">
        <f>huishoudens!P8</f>
        <v>221.21314546138547</v>
      </c>
      <c r="Q4" s="480">
        <f>SUM(B4:P4)</f>
        <v>97946.407029337104</v>
      </c>
    </row>
    <row r="5" spans="1:17">
      <c r="A5" s="477" t="s">
        <v>155</v>
      </c>
      <c r="B5" s="478">
        <f ca="1">tertiair!B16</f>
        <v>13094.545259999999</v>
      </c>
      <c r="C5" s="478">
        <f ca="1">tertiair!C16</f>
        <v>0</v>
      </c>
      <c r="D5" s="478">
        <f ca="1">tertiair!D16</f>
        <v>13125.467881196</v>
      </c>
      <c r="E5" s="478">
        <f>tertiair!E16</f>
        <v>174.02101197754391</v>
      </c>
      <c r="F5" s="478">
        <f ca="1">tertiair!F16</f>
        <v>1499.3662929186553</v>
      </c>
      <c r="G5" s="478">
        <f>tertiair!G16</f>
        <v>0</v>
      </c>
      <c r="H5" s="478">
        <f>tertiair!H16</f>
        <v>0</v>
      </c>
      <c r="I5" s="478">
        <f>tertiair!I16</f>
        <v>0</v>
      </c>
      <c r="J5" s="478">
        <f>tertiair!J16</f>
        <v>2.3961518984840287E-2</v>
      </c>
      <c r="K5" s="478">
        <f>tertiair!K16</f>
        <v>0</v>
      </c>
      <c r="L5" s="478">
        <f ca="1">tertiair!L16</f>
        <v>0</v>
      </c>
      <c r="M5" s="478">
        <f>tertiair!M16</f>
        <v>0</v>
      </c>
      <c r="N5" s="478">
        <f ca="1">tertiair!N16</f>
        <v>947.15748063984029</v>
      </c>
      <c r="O5" s="478">
        <f>tertiair!O16</f>
        <v>9.7945215316823084</v>
      </c>
      <c r="P5" s="479">
        <f>tertiair!P16</f>
        <v>0</v>
      </c>
      <c r="Q5" s="477">
        <f t="shared" ref="Q5:Q14" ca="1" si="0">SUM(B5:P5)</f>
        <v>28850.376409782704</v>
      </c>
    </row>
    <row r="6" spans="1:17">
      <c r="A6" s="477" t="s">
        <v>193</v>
      </c>
      <c r="B6" s="478">
        <f>'openbare verlichting'!B8</f>
        <v>569.31600000000003</v>
      </c>
      <c r="C6" s="478"/>
      <c r="D6" s="478"/>
      <c r="E6" s="478"/>
      <c r="F6" s="478"/>
      <c r="G6" s="478"/>
      <c r="H6" s="478"/>
      <c r="I6" s="478"/>
      <c r="J6" s="478"/>
      <c r="K6" s="478"/>
      <c r="L6" s="478"/>
      <c r="M6" s="478"/>
      <c r="N6" s="478"/>
      <c r="O6" s="478"/>
      <c r="P6" s="479"/>
      <c r="Q6" s="477">
        <f t="shared" si="0"/>
        <v>569.31600000000003</v>
      </c>
    </row>
    <row r="7" spans="1:17">
      <c r="A7" s="477" t="s">
        <v>111</v>
      </c>
      <c r="B7" s="478">
        <f>landbouw!B8</f>
        <v>68.228282000000007</v>
      </c>
      <c r="C7" s="478">
        <f>landbouw!C8</f>
        <v>0</v>
      </c>
      <c r="D7" s="478">
        <f>landbouw!D8</f>
        <v>113.21401495800001</v>
      </c>
      <c r="E7" s="478">
        <f>landbouw!E8</f>
        <v>2.1293821823082397</v>
      </c>
      <c r="F7" s="478">
        <f>landbouw!F8</f>
        <v>241.12630671319198</v>
      </c>
      <c r="G7" s="478">
        <f>landbouw!G8</f>
        <v>0</v>
      </c>
      <c r="H7" s="478">
        <f>landbouw!H8</f>
        <v>0</v>
      </c>
      <c r="I7" s="478">
        <f>landbouw!I8</f>
        <v>0</v>
      </c>
      <c r="J7" s="478">
        <f>landbouw!J8</f>
        <v>18.797364849988934</v>
      </c>
      <c r="K7" s="478">
        <f>landbouw!K8</f>
        <v>0</v>
      </c>
      <c r="L7" s="478">
        <f>landbouw!L8</f>
        <v>0</v>
      </c>
      <c r="M7" s="478">
        <f>landbouw!M8</f>
        <v>0</v>
      </c>
      <c r="N7" s="478">
        <f>landbouw!N8</f>
        <v>0</v>
      </c>
      <c r="O7" s="478">
        <f>landbouw!O8</f>
        <v>0</v>
      </c>
      <c r="P7" s="479">
        <f>landbouw!P8</f>
        <v>0</v>
      </c>
      <c r="Q7" s="477">
        <f t="shared" si="0"/>
        <v>443.49535070348912</v>
      </c>
    </row>
    <row r="8" spans="1:17">
      <c r="A8" s="477" t="s">
        <v>629</v>
      </c>
      <c r="B8" s="478">
        <f>industrie!B18</f>
        <v>9591.6109509999987</v>
      </c>
      <c r="C8" s="478">
        <f>industrie!C18</f>
        <v>0</v>
      </c>
      <c r="D8" s="478">
        <f>industrie!D18</f>
        <v>1548.6873413439998</v>
      </c>
      <c r="E8" s="478">
        <f>industrie!E18</f>
        <v>626.83952098311966</v>
      </c>
      <c r="F8" s="478">
        <f>industrie!F18</f>
        <v>2222.9195702856023</v>
      </c>
      <c r="G8" s="478">
        <f>industrie!G18</f>
        <v>0</v>
      </c>
      <c r="H8" s="478">
        <f>industrie!H18</f>
        <v>0</v>
      </c>
      <c r="I8" s="478">
        <f>industrie!I18</f>
        <v>0</v>
      </c>
      <c r="J8" s="478">
        <f>industrie!J18</f>
        <v>69.186801868316678</v>
      </c>
      <c r="K8" s="478">
        <f>industrie!K18</f>
        <v>0</v>
      </c>
      <c r="L8" s="478">
        <f>industrie!L18</f>
        <v>0</v>
      </c>
      <c r="M8" s="478">
        <f>industrie!M18</f>
        <v>0</v>
      </c>
      <c r="N8" s="478">
        <f>industrie!N18</f>
        <v>426.04174018578118</v>
      </c>
      <c r="O8" s="478">
        <f>industrie!O18</f>
        <v>0</v>
      </c>
      <c r="P8" s="479">
        <f>industrie!P18</f>
        <v>0</v>
      </c>
      <c r="Q8" s="477">
        <f t="shared" si="0"/>
        <v>14485.28592566682</v>
      </c>
    </row>
    <row r="9" spans="1:17" s="483" customFormat="1">
      <c r="A9" s="481" t="s">
        <v>555</v>
      </c>
      <c r="B9" s="482">
        <f>transport!B14</f>
        <v>19.092735818055559</v>
      </c>
      <c r="C9" s="482">
        <f>transport!C14</f>
        <v>0</v>
      </c>
      <c r="D9" s="482">
        <f>transport!D14</f>
        <v>87.786576142906668</v>
      </c>
      <c r="E9" s="482">
        <f>transport!E14</f>
        <v>66.33435868118751</v>
      </c>
      <c r="F9" s="482">
        <f>transport!F14</f>
        <v>0</v>
      </c>
      <c r="G9" s="482">
        <f>transport!G14</f>
        <v>21545.106260432502</v>
      </c>
      <c r="H9" s="482">
        <f>transport!H14</f>
        <v>6494.5863438795814</v>
      </c>
      <c r="I9" s="482">
        <f>transport!I14</f>
        <v>0</v>
      </c>
      <c r="J9" s="482">
        <f>transport!J14</f>
        <v>0</v>
      </c>
      <c r="K9" s="482">
        <f>transport!K14</f>
        <v>0</v>
      </c>
      <c r="L9" s="482">
        <f>transport!L14</f>
        <v>0</v>
      </c>
      <c r="M9" s="482">
        <f>transport!M14</f>
        <v>1669.2489996957599</v>
      </c>
      <c r="N9" s="482">
        <f>transport!N14</f>
        <v>0</v>
      </c>
      <c r="O9" s="482">
        <f>transport!O14</f>
        <v>0</v>
      </c>
      <c r="P9" s="482">
        <f>transport!P14</f>
        <v>0</v>
      </c>
      <c r="Q9" s="481">
        <f>SUM(B9:P9)</f>
        <v>29882.155274649991</v>
      </c>
    </row>
    <row r="10" spans="1:17">
      <c r="A10" s="477" t="s">
        <v>545</v>
      </c>
      <c r="B10" s="478">
        <f>transport!B54</f>
        <v>0</v>
      </c>
      <c r="C10" s="478">
        <f>transport!C54</f>
        <v>0</v>
      </c>
      <c r="D10" s="478">
        <f>transport!D54</f>
        <v>0</v>
      </c>
      <c r="E10" s="478">
        <f>transport!E54</f>
        <v>0</v>
      </c>
      <c r="F10" s="478">
        <f>transport!F54</f>
        <v>0</v>
      </c>
      <c r="G10" s="478">
        <f>transport!G54</f>
        <v>1078.2611163262397</v>
      </c>
      <c r="H10" s="478">
        <f>transport!H54</f>
        <v>0</v>
      </c>
      <c r="I10" s="478">
        <f>transport!I54</f>
        <v>0</v>
      </c>
      <c r="J10" s="478">
        <f>transport!J54</f>
        <v>0</v>
      </c>
      <c r="K10" s="478">
        <f>transport!K54</f>
        <v>0</v>
      </c>
      <c r="L10" s="478">
        <f>transport!L54</f>
        <v>0</v>
      </c>
      <c r="M10" s="478">
        <f>transport!M54</f>
        <v>59.929872148451018</v>
      </c>
      <c r="N10" s="478">
        <f>transport!N54</f>
        <v>0</v>
      </c>
      <c r="O10" s="478">
        <f>transport!O54</f>
        <v>0</v>
      </c>
      <c r="P10" s="479">
        <f>transport!P54</f>
        <v>0</v>
      </c>
      <c r="Q10" s="477">
        <f t="shared" si="0"/>
        <v>1138.1909884746908</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627.76225999999997</v>
      </c>
      <c r="C14" s="485"/>
      <c r="D14" s="485">
        <f>'SEAP template'!E25</f>
        <v>2187.3795770000002</v>
      </c>
      <c r="E14" s="485"/>
      <c r="F14" s="485"/>
      <c r="G14" s="485"/>
      <c r="H14" s="485"/>
      <c r="I14" s="485"/>
      <c r="J14" s="485"/>
      <c r="K14" s="485"/>
      <c r="L14" s="485"/>
      <c r="M14" s="485"/>
      <c r="N14" s="485"/>
      <c r="O14" s="485"/>
      <c r="P14" s="486"/>
      <c r="Q14" s="477">
        <f t="shared" si="0"/>
        <v>2815.1418370000001</v>
      </c>
    </row>
    <row r="15" spans="1:17" s="489" customFormat="1">
      <c r="A15" s="487" t="s">
        <v>549</v>
      </c>
      <c r="B15" s="488">
        <f ca="1">SUM(B4:B14)</f>
        <v>46324.9845003343</v>
      </c>
      <c r="C15" s="488">
        <f t="shared" ref="C15:Q15" ca="1" si="1">SUM(C4:C14)</f>
        <v>0</v>
      </c>
      <c r="D15" s="488">
        <f t="shared" ca="1" si="1"/>
        <v>61631.464147080907</v>
      </c>
      <c r="E15" s="488">
        <f t="shared" si="1"/>
        <v>8406.5941125072804</v>
      </c>
      <c r="F15" s="488">
        <f t="shared" ca="1" si="1"/>
        <v>22553.554819321853</v>
      </c>
      <c r="G15" s="488">
        <f t="shared" si="1"/>
        <v>22623.367376758742</v>
      </c>
      <c r="H15" s="488">
        <f t="shared" si="1"/>
        <v>6494.5863438795814</v>
      </c>
      <c r="I15" s="488">
        <f t="shared" si="1"/>
        <v>0</v>
      </c>
      <c r="J15" s="488">
        <f t="shared" si="1"/>
        <v>760.19818844201745</v>
      </c>
      <c r="K15" s="488">
        <f t="shared" si="1"/>
        <v>0</v>
      </c>
      <c r="L15" s="488">
        <f t="shared" ca="1" si="1"/>
        <v>0</v>
      </c>
      <c r="M15" s="488">
        <f t="shared" si="1"/>
        <v>1729.178871844211</v>
      </c>
      <c r="N15" s="488">
        <f t="shared" ca="1" si="1"/>
        <v>5141.3257185651801</v>
      </c>
      <c r="O15" s="488">
        <f t="shared" si="1"/>
        <v>243.90159141935206</v>
      </c>
      <c r="P15" s="488">
        <f t="shared" si="1"/>
        <v>221.21314546138547</v>
      </c>
      <c r="Q15" s="488">
        <f t="shared" ca="1" si="1"/>
        <v>176130.36881561484</v>
      </c>
    </row>
    <row r="17" spans="1:17">
      <c r="A17" s="490" t="s">
        <v>550</v>
      </c>
      <c r="B17" s="807">
        <f ca="1">huishoudens!B10</f>
        <v>0.20895114992866012</v>
      </c>
      <c r="C17" s="807">
        <f ca="1">huishoudens!C10</f>
        <v>0</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4670.9836479549222</v>
      </c>
      <c r="C22" s="478">
        <f t="shared" ref="C22:C32" ca="1" si="3">C4*$C$17</f>
        <v>0</v>
      </c>
      <c r="D22" s="478">
        <f t="shared" ref="D22:D32" si="4">D4*$D$17</f>
        <v>9002.9236088008802</v>
      </c>
      <c r="E22" s="478">
        <f t="shared" ref="E22:E32" si="5">E4*$E$17</f>
        <v>1710.9602533810687</v>
      </c>
      <c r="F22" s="478">
        <f t="shared" ref="F22:F32" si="6">F4*$F$17</f>
        <v>4963.5680873909769</v>
      </c>
      <c r="G22" s="478">
        <f t="shared" ref="G22:G32" si="7">G4*$G$17</f>
        <v>0</v>
      </c>
      <c r="H22" s="478">
        <f t="shared" ref="H22:H32" si="8">H4*$H$17</f>
        <v>0</v>
      </c>
      <c r="I22" s="478">
        <f t="shared" ref="I22:I32" si="9">I4*$I$17</f>
        <v>0</v>
      </c>
      <c r="J22" s="478">
        <f t="shared" ref="J22:J32" si="10">J4*$J$17</f>
        <v>237.95528131247332</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20586.390878840321</v>
      </c>
    </row>
    <row r="23" spans="1:17">
      <c r="A23" s="477" t="s">
        <v>155</v>
      </c>
      <c r="B23" s="478">
        <f t="shared" ca="1" si="2"/>
        <v>2736.1202898698857</v>
      </c>
      <c r="C23" s="478">
        <f t="shared" ca="1" si="3"/>
        <v>0</v>
      </c>
      <c r="D23" s="478">
        <f t="shared" ca="1" si="4"/>
        <v>2651.3445120015922</v>
      </c>
      <c r="E23" s="478">
        <f t="shared" si="5"/>
        <v>39.502769718902471</v>
      </c>
      <c r="F23" s="478">
        <f t="shared" ca="1" si="6"/>
        <v>400.33080020928099</v>
      </c>
      <c r="G23" s="478">
        <f t="shared" si="7"/>
        <v>0</v>
      </c>
      <c r="H23" s="478">
        <f t="shared" si="8"/>
        <v>0</v>
      </c>
      <c r="I23" s="478">
        <f t="shared" si="9"/>
        <v>0</v>
      </c>
      <c r="J23" s="478">
        <f t="shared" si="10"/>
        <v>8.4823777206334619E-3</v>
      </c>
      <c r="K23" s="478">
        <f t="shared" si="11"/>
        <v>0</v>
      </c>
      <c r="L23" s="478">
        <f t="shared" ca="1" si="12"/>
        <v>0</v>
      </c>
      <c r="M23" s="478">
        <f t="shared" si="13"/>
        <v>0</v>
      </c>
      <c r="N23" s="478">
        <f t="shared" ca="1" si="14"/>
        <v>0</v>
      </c>
      <c r="O23" s="478">
        <f t="shared" si="15"/>
        <v>0</v>
      </c>
      <c r="P23" s="479">
        <f t="shared" si="16"/>
        <v>0</v>
      </c>
      <c r="Q23" s="477">
        <f t="shared" ref="Q23:Q31" ca="1" si="17">SUM(B23:P23)</f>
        <v>5827.3068541773819</v>
      </c>
    </row>
    <row r="24" spans="1:17">
      <c r="A24" s="477" t="s">
        <v>193</v>
      </c>
      <c r="B24" s="478">
        <f t="shared" ca="1" si="2"/>
        <v>118.95923287278508</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118.95923287278508</v>
      </c>
    </row>
    <row r="25" spans="1:17">
      <c r="A25" s="477" t="s">
        <v>111</v>
      </c>
      <c r="B25" s="478">
        <f t="shared" ca="1" si="2"/>
        <v>14.256377981556904</v>
      </c>
      <c r="C25" s="478">
        <f t="shared" ca="1" si="3"/>
        <v>0</v>
      </c>
      <c r="D25" s="478">
        <f t="shared" si="4"/>
        <v>22.869231021516004</v>
      </c>
      <c r="E25" s="478">
        <f t="shared" si="5"/>
        <v>0.48336975538397042</v>
      </c>
      <c r="F25" s="478">
        <f t="shared" si="6"/>
        <v>64.380723892422267</v>
      </c>
      <c r="G25" s="478">
        <f t="shared" si="7"/>
        <v>0</v>
      </c>
      <c r="H25" s="478">
        <f t="shared" si="8"/>
        <v>0</v>
      </c>
      <c r="I25" s="478">
        <f t="shared" si="9"/>
        <v>0</v>
      </c>
      <c r="J25" s="478">
        <f t="shared" si="10"/>
        <v>6.6542671568960827</v>
      </c>
      <c r="K25" s="478">
        <f t="shared" si="11"/>
        <v>0</v>
      </c>
      <c r="L25" s="478">
        <f t="shared" si="12"/>
        <v>0</v>
      </c>
      <c r="M25" s="478">
        <f t="shared" si="13"/>
        <v>0</v>
      </c>
      <c r="N25" s="478">
        <f t="shared" si="14"/>
        <v>0</v>
      </c>
      <c r="O25" s="478">
        <f t="shared" si="15"/>
        <v>0</v>
      </c>
      <c r="P25" s="479">
        <f t="shared" si="16"/>
        <v>0</v>
      </c>
      <c r="Q25" s="477">
        <f t="shared" ca="1" si="17"/>
        <v>108.64396980777522</v>
      </c>
    </row>
    <row r="26" spans="1:17">
      <c r="A26" s="477" t="s">
        <v>629</v>
      </c>
      <c r="B26" s="478">
        <f t="shared" ca="1" si="2"/>
        <v>2004.1781378797791</v>
      </c>
      <c r="C26" s="478">
        <f t="shared" ca="1" si="3"/>
        <v>0</v>
      </c>
      <c r="D26" s="478">
        <f t="shared" si="4"/>
        <v>312.83484295148799</v>
      </c>
      <c r="E26" s="478">
        <f t="shared" si="5"/>
        <v>142.29257126316816</v>
      </c>
      <c r="F26" s="478">
        <f t="shared" si="6"/>
        <v>593.51952526625587</v>
      </c>
      <c r="G26" s="478">
        <f t="shared" si="7"/>
        <v>0</v>
      </c>
      <c r="H26" s="478">
        <f t="shared" si="8"/>
        <v>0</v>
      </c>
      <c r="I26" s="478">
        <f t="shared" si="9"/>
        <v>0</v>
      </c>
      <c r="J26" s="478">
        <f t="shared" si="10"/>
        <v>24.492127861384102</v>
      </c>
      <c r="K26" s="478">
        <f t="shared" si="11"/>
        <v>0</v>
      </c>
      <c r="L26" s="478">
        <f t="shared" si="12"/>
        <v>0</v>
      </c>
      <c r="M26" s="478">
        <f t="shared" si="13"/>
        <v>0</v>
      </c>
      <c r="N26" s="478">
        <f t="shared" si="14"/>
        <v>0</v>
      </c>
      <c r="O26" s="478">
        <f t="shared" si="15"/>
        <v>0</v>
      </c>
      <c r="P26" s="479">
        <f t="shared" si="16"/>
        <v>0</v>
      </c>
      <c r="Q26" s="477">
        <f t="shared" ca="1" si="17"/>
        <v>3077.3172052220757</v>
      </c>
    </row>
    <row r="27" spans="1:17" s="483" customFormat="1">
      <c r="A27" s="481" t="s">
        <v>555</v>
      </c>
      <c r="B27" s="801">
        <f t="shared" ca="1" si="2"/>
        <v>3.9894491044668263</v>
      </c>
      <c r="C27" s="482">
        <f t="shared" ca="1" si="3"/>
        <v>0</v>
      </c>
      <c r="D27" s="482">
        <f t="shared" si="4"/>
        <v>17.732888380867148</v>
      </c>
      <c r="E27" s="482">
        <f t="shared" si="5"/>
        <v>15.057899420629566</v>
      </c>
      <c r="F27" s="482">
        <f t="shared" si="6"/>
        <v>0</v>
      </c>
      <c r="G27" s="482">
        <f t="shared" si="7"/>
        <v>5752.5433715354784</v>
      </c>
      <c r="H27" s="482">
        <f t="shared" si="8"/>
        <v>1617.1519996260158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7406.4756080674579</v>
      </c>
    </row>
    <row r="28" spans="1:17" ht="16.5" customHeight="1">
      <c r="A28" s="477" t="s">
        <v>545</v>
      </c>
      <c r="B28" s="478">
        <f t="shared" ca="1" si="2"/>
        <v>0</v>
      </c>
      <c r="C28" s="478">
        <f t="shared" ca="1" si="3"/>
        <v>0</v>
      </c>
      <c r="D28" s="478">
        <f t="shared" si="4"/>
        <v>0</v>
      </c>
      <c r="E28" s="478">
        <f t="shared" si="5"/>
        <v>0</v>
      </c>
      <c r="F28" s="478">
        <f t="shared" si="6"/>
        <v>0</v>
      </c>
      <c r="G28" s="478">
        <f t="shared" si="7"/>
        <v>287.895718059106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287.895718059106</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131.17164610881451</v>
      </c>
      <c r="C32" s="478">
        <f t="shared" ca="1" si="3"/>
        <v>0</v>
      </c>
      <c r="D32" s="478">
        <f t="shared" si="4"/>
        <v>441.85067455400008</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573.02232066281454</v>
      </c>
    </row>
    <row r="33" spans="1:17" s="489" customFormat="1">
      <c r="A33" s="487" t="s">
        <v>549</v>
      </c>
      <c r="B33" s="488">
        <f ca="1">SUM(B22:B32)</f>
        <v>9679.6587817722102</v>
      </c>
      <c r="C33" s="488">
        <f t="shared" ref="C33:Q33" ca="1" si="19">SUM(C22:C32)</f>
        <v>0</v>
      </c>
      <c r="D33" s="488">
        <f t="shared" ca="1" si="19"/>
        <v>12449.555757710345</v>
      </c>
      <c r="E33" s="488">
        <f t="shared" si="19"/>
        <v>1908.296863539153</v>
      </c>
      <c r="F33" s="488">
        <f t="shared" ca="1" si="19"/>
        <v>6021.7991367589357</v>
      </c>
      <c r="G33" s="488">
        <f t="shared" si="19"/>
        <v>6040.4390895945844</v>
      </c>
      <c r="H33" s="488">
        <f t="shared" si="19"/>
        <v>1617.1519996260158</v>
      </c>
      <c r="I33" s="488">
        <f t="shared" si="19"/>
        <v>0</v>
      </c>
      <c r="J33" s="488">
        <f t="shared" si="19"/>
        <v>269.11015870847416</v>
      </c>
      <c r="K33" s="488">
        <f t="shared" si="19"/>
        <v>0</v>
      </c>
      <c r="L33" s="488">
        <f t="shared" ca="1" si="19"/>
        <v>0</v>
      </c>
      <c r="M33" s="488">
        <f t="shared" si="19"/>
        <v>0</v>
      </c>
      <c r="N33" s="488">
        <f t="shared" ca="1" si="19"/>
        <v>0</v>
      </c>
      <c r="O33" s="488">
        <f t="shared" si="19"/>
        <v>0</v>
      </c>
      <c r="P33" s="488">
        <f t="shared" si="19"/>
        <v>0</v>
      </c>
      <c r="Q33" s="488">
        <f t="shared" ca="1" si="19"/>
        <v>37986.011787709722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2525.6234968401454</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0</v>
      </c>
      <c r="D8" s="1062">
        <f>'SEAP template'!D76</f>
        <v>0</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0</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2525.6234968401454</v>
      </c>
      <c r="C10" s="1064">
        <f>SUM(C4:C9)</f>
        <v>0</v>
      </c>
      <c r="D10" s="1064">
        <f t="shared" ref="D10:H10" si="0">SUM(D8:D9)</f>
        <v>0</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0</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0.20895114992866012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0</v>
      </c>
      <c r="D17" s="1063">
        <f>'SEAP template'!D87</f>
        <v>0</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0</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0</v>
      </c>
      <c r="D20" s="1064">
        <f t="shared" ref="D20:H20" si="2">SUM(D17:D19)</f>
        <v>0</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0</v>
      </c>
    </row>
    <row r="21" spans="1:16">
      <c r="B21" s="913"/>
    </row>
    <row r="22" spans="1:16">
      <c r="A22" s="490" t="s">
        <v>814</v>
      </c>
      <c r="B22" s="807" t="s">
        <v>812</v>
      </c>
      <c r="C22" s="807">
        <f ca="1">'EF ele_warmte'!B22</f>
        <v>0</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0.20895114992866012</v>
      </c>
      <c r="C17" s="527">
        <f ca="1">'EF ele_warmte'!B22</f>
        <v>0</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2019-08-12T08:38:43Z</dcterms:modified>
</cp:coreProperties>
</file>