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<sst xmlns="http://schemas.openxmlformats.org/spreadsheetml/2006/main" count="2400" uniqueCount="894">
  <si>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</si>
  <si>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</si>
  <si>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</si>
  <si>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</si>
  <si>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</si>
  <si>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</si>
  <si>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</si>
  <si>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</si>
  <si>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</si>
  <si>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</si>
  <si>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</si>
  <si>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</si>
  <si>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</si>
  <si>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</si>
  <si>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</si>
  <si>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</si>
  <si>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</si>
  <si>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</si>
  <si>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</si>
  <si>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</si>
  <si>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</si>
  <si>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</si>
  <si>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</si>
  <si>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</si>
  <si>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</si>
  <si>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</si>
  <si>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</si>
  <si>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</si>
  <si>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</si>
  <si>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</si>
  <si>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</si>
  <si>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</si>
  <si>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</si>
  <si>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</si>
  <si>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</si>
  <si>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</si>
  <si>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</si>
  <si>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</si>
  <si>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</si>
  <si>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</si>
  <si>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</si>
  <si>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</si>
  <si>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</si>
  <si>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</si>
  <si>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</si>
  <si>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</si>
  <si>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</si>
  <si>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</si>
  <si>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</si>
  <si>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</si>
  <si>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</si>
  <si>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</si>
  <si>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</si>
  <si>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</si>
  <si>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</si>
  <si>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</si>
  <si>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</si>
  <si>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</si>
  <si>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</si>
  <si>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</si>
  <si>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</si>
  <si>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</si>
  <si>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</si>
  <si>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</si>
  <si>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</si>
  <si>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</si>
  <si>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</si>
  <si>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</si>
  <si>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</si>
  <si>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</si>
  <si>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</si>
  <si>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</si>
  <si>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</si>
  <si>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</si>
  <si>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</si>
  <si>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</si>
  <si>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</si>
  <si>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</si>
  <si>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</si>
  <si>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</si>
  <si>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</si>
  <si>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</si>
  <si>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</si>
  <si>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</si>
  <si>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</si>
  <si>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</si>
  <si>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</si>
  <si>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</si>
  <si>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</si>
  <si>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</si>
  <si>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</si>
  <si>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</si>
  <si>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</si>
  <si>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</si>
  <si>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</si>
  <si>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</si>
  <si>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</si>
  <si>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</si>
  <si>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</si>
  <si>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</si>
  <si>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</si>
  <si>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</si>
  <si>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</si>
  <si>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</si>
  <si>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</si>
  <si>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</si>
  <si>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</si>
  <si>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</si>
  <si>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</si>
  <si>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</si>
  <si>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</si>
  <si>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</si>
  <si>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</si>
  <si>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</si>
  <si>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</si>
  <si>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</si>
  <si>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</si>
  <si>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</si>
  <si>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</si>
  <si>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</si>
  <si>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</si>
  <si>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</si>
  <si>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</si>
  <si>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</si>
  <si>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</si>
  <si>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</si>
  <si>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</si>
  <si>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</si>
  <si>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</si>
  <si>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</si>
  <si>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</si>
  <si>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</si>
  <si>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</si>
  <si>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</si>
  <si>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</si>
  <si>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</si>
  <si>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</si>
  <si>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</si>
  <si>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</si>
  <si>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</si>
  <si>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</si>
  <si>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</si>
  <si>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</si>
  <si>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</si>
  <si>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</si>
  <si>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</si>
  <si>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</si>
  <si>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</si>
  <si>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</si>
  <si>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</si>
  <si>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</si>
  <si>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</si>
  <si>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</si>
  <si>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</si>
  <si>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</si>
  <si>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</si>
  <si>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</si>
  <si>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</si>
  <si>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</si>
  <si>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</si>
  <si>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</si>
  <si>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</si>
  <si>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</si>
  <si>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</si>
  <si>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</si>
  <si>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</si>
  <si>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</si>
  <si>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</si>
  <si>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</si>
  <si>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</si>
  <si>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</si>
  <si>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</si>
  <si>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</si>
  <si>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</si>
  <si>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</si>
  <si>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</si>
  <si>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</si>
  <si>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</si>
  <si>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</si>
  <si>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</si>
  <si>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</si>
  <si>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</si>
  <si>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</si>
  <si>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</si>
  <si>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</si>
  <si>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</si>
  <si>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</si>
  <si>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</si>
  <si>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</si>
  <si>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</si>
  <si>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</si>
  <si>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</si>
  <si>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</si>
  <si>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</si>
  <si>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</si>
  <si>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</si>
  <si>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</si>
  <si>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</si>
  <si>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</si>
  <si>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</si>
  <si>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</si>
  <si>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</si>
  <si>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</si>
  <si>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</si>
  <si>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</si>
  <si>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</si>
  <si>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</si>
  <si>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</si>
  <si>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</si>
  <si>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</si>
  <si>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</si>
  <si>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</si>
  <si>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</si>
  <si>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</si>
  <si>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</si>
  <si>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</si>
  <si>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</si>
  <si>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</si>
  <si>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</si>
  <si>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</si>
  <si>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</si>
  <si>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</si>
  <si>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</si>
  <si>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</si>
  <si>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</si>
  <si>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</si>
  <si>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</si>
  <si>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</si>
  <si>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</si>
  <si>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</si>
  <si>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</si>
  <si>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</si>
  <si>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</si>
  <si>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</si>
  <si>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</si>
  <si>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</si>
  <si>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</si>
  <si>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</si>
  <si>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</si>
  <si>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</si>
  <si>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</si>
  <si>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</si>
  <si>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</si>
  <si>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</si>
  <si>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</si>
  <si>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</si>
  <si>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</si>
  <si>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</si>
  <si>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</si>
  <si>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</si>
  <si>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</si>
  <si>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</si>
  <si>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</si>
  <si>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</si>
  <si>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</si>
  <si>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</si>
  <si>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</si>
  <si>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</si>
  <si>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</si>
  <si>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</si>
  <si>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</si>
  <si>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</si>
  <si>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</si>
  <si>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</si>
  <si>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</si>
  <si>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</si>
  <si>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</si>
  <si>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</si>
  <si>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</si>
  <si>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</si>
  <si>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</si>
  <si>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</si>
  <si>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</si>
  <si>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</si>
  <si>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</si>
  <si>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</si>
  <si>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</si>
  <si>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</si>
  <si>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</si>
  <si>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</si>
  <si>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</si>
  <si>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</si>
  <si>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</si>
  <si>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</si>
  <si>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</si>
  <si>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</si>
  <si>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</si>
  <si>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</si>
  <si>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</si>
  <si>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</si>
  <si>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</si>
  <si>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</si>
  <si>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</si>
  <si>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</si>
  <si>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</si>
  <si>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</si>
  <si>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</si>
  <si>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</si>
  <si>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</si>
  <si>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</si>
  <si>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</si>
  <si>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</si>
  <si>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</si>
  <si>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</si>
  <si>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</si>
  <si>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</si>
  <si>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</si>
  <si>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</si>
  <si>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</si>
  <si>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</si>
  <si>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</si>
  <si>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</si>
  <si>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</si>
  <si>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</si>
  <si>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</si>
  <si>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</si>
  <si>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</si>
  <si>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</si>
  <si>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</si>
  <si>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</si>
  <si>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</si>
  <si>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</si>
  <si>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</si>
  <si>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</si>
  <si>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</si>
  <si>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</si>
  <si>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</si>
  <si>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</si>
  <si>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</si>
  <si>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</si>
  <si>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</si>
  <si>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</si>
  <si>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</si>
  <si>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</si>
  <si>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</si>
  <si>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</si>
  <si>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</si>
  <si>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</si>
  <si>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</si>
  <si>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</si>
  <si>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</si>
  <si>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</si>
  <si>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</si>
  <si>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</si>
  <si>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</si>
  <si>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</si>
  <si>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</si>
  <si>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</si>
  <si>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</si>
  <si>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</si>
  <si>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</si>
  <si>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</si>
  <si>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</si>
  <si>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</si>
  <si>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</si>
  <si>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</si>
  <si>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</si>
  <si>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</si>
  <si>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</si>
  <si>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</si>
  <si>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</si>
  <si>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</si>
  <si>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</si>
  <si>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</si>
  <si>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</si>
  <si>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</si>
  <si>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</si>
  <si>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</si>
  <si>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</si>
  <si>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</si>
  <si>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</si>
  <si>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</si>
  <si>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</si>
  <si>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</si>
  <si>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</si>
  <si>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</si>
  <si>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</si>
  <si>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</si>
  <si>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</si>
  <si>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</si>
  <si>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</si>
  <si>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</si>
  <si>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</si>
  <si>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</si>
  <si>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</si>
  <si>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</si>
  <si>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</si>
  <si>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</si>
  <si>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</si>
  <si>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</si>
  <si>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</si>
  <si>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</si>
  <si>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</si>
  <si>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</si>
  <si>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</si>
  <si>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</si>
  <si>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</si>
  <si>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</si>
  <si>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</si>
  <si>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</si>
  <si>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</si>
  <si>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</si>
  <si>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</si>
  <si>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</si>
  <si>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</si>
  <si>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</si>
  <si>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</si>
  <si>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</si>
  <si>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</si>
  <si>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</si>
  <si>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</si>
  <si>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</si>
  <si>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</si>
  <si>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</si>
  <si>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</si>
  <si>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</si>
  <si>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</si>
  <si>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</si>
  <si>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</si>
  <si>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</si>
  <si>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</si>
  <si>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</si>
  <si>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</si>
  <si>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</si>
  <si>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</si>
  <si>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</si>
  <si>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</si>
  <si>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</si>
  <si>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</si>
  <si>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</si>
  <si>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</si>
  <si>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</si>
  <si>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</si>
  <si>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</si>
  <si>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</si>
  <si>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</si>
  <si>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</si>
  <si>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</si>
  <si>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</si>
  <si>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</si>
  <si>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</si>
  <si>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</si>
  <si>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</si>
  <si>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</si>
  <si>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</si>
  <si>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</si>
  <si>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</si>
  <si>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</si>
  <si>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</si>
  <si>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</si>
  <si>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</si>
  <si>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</si>
  <si>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</si>
  <si>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</si>
  <si>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</si>
  <si>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</si>
  <si>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</si>
  <si>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</si>
  <si>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</si>
  <si>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</si>
  <si>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</si>
  <si>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</si>
  <si>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</si>
  <si>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</si>
  <si>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</si>
  <si>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</si>
  <si>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</si>
  <si>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</si>
  <si>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</si>
  <si>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</si>
  <si>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</si>
  <si>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</si>
  <si>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</si>
  <si>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</si>
  <si>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</si>
  <si>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</si>
  <si>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</si>
  <si>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</si>
  <si>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</si>
  <si>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</si>
  <si>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</si>
  <si>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</si>
  <si>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</si>
  <si>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</si>
  <si>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</si>
  <si>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</si>
  <si>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</si>
  <si>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</si>
  <si>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</si>
  <si>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</si>
  <si>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</si>
  <si>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</si>
  <si>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</si>
  <si>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</si>
  <si>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</si>
  <si>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</si>
  <si>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</si>
  <si>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</si>
  <si>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</si>
  <si>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</si>
  <si>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</si>
  <si>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</si>
  <si>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</si>
  <si>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</si>
  <si>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</si>
  <si>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</si>
  <si>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</si>
  <si>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</si>
  <si>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</si>
  <si>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</si>
  <si>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</si>
  <si>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</si>
  <si>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</si>
  <si>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</si>
  <si>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</si>
  <si>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</si>
  <si>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</si>
  <si>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</si>
  <si>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</si>
  <si>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</si>
  <si>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</si>
  <si>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</si>
  <si>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</si>
  <si>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</si>
  <si>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</si>
  <si>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</si>
  <si>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</si>
  <si>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</si>
  <si>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</si>
  <si>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</si>
  <si>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</si>
  <si>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</si>
  <si>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</si>
  <si>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</si>
  <si>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</si>
  <si>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</si>
  <si>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</si>
  <si>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</si>
  <si>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</si>
  <si>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</si>
  <si>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</si>
  <si>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</si>
  <si>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</si>
  <si>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</si>
  <si>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</si>
  <si>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</si>
  <si>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</si>
  <si>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</si>
  <si>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</si>
  <si>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</si>
  <si>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</si>
  <si>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</si>
  <si>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</si>
  <si>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</si>
  <si>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</si>
  <si>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</si>
  <si>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</si>
  <si>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</si>
  <si>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</si>
  <si>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</si>
  <si>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</si>
  <si>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</si>
  <si>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</si>
  <si>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</si>
  <si>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</si>
  <si>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</si>
  <si>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</si>
  <si>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</si>
  <si>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</si>
  <si>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</si>
  <si>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</si>
  <si>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</si>
  <si>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</si>
  <si>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</si>
  <si>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</si>
  <si>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</si>
  <si>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</si>
  <si>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</si>
  <si>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</si>
  <si>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</si>
  <si>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</si>
  <si>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</si>
  <si>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</si>
  <si>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</si>
  <si>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</si>
  <si>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</si>
  <si>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</si>
  <si>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</si>
  <si>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</si>
  <si>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</si>
  <si>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</si>
  <si>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</si>
  <si>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</si>
  <si>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</si>
  <si>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</si>
  <si>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</si>
  <si>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</si>
  <si>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</si>
  <si>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</si>
  <si>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</si>
  <si>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</si>
  <si>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</si>
  <si>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</si>
  <si>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</si>
  <si>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</si>
  <si>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</si>
  <si>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</si>
  <si>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</si>
  <si>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</si>
  <si>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</si>
  <si>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</si>
  <si>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</si>
  <si>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</si>
  <si>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</si>
  <si>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</si>
  <si>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</si>
  <si>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</si>
  <si>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</si>
  <si>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</si>
  <si>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</si>
  <si>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</si>
  <si>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</si>
  <si>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</si>
  <si>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</si>
  <si>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</si>
  <si>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</si>
  <si>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</si>
  <si>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</si>
  <si>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</si>
  <si>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</si>
  <si>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</si>
  <si>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</si>
  <si>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</si>
  <si>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</si>
  <si>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</si>
  <si>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</si>
  <si>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</si>
  <si>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</si>
  <si>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</si>
  <si>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</si>
  <si>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</si>
  <si>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</si>
  <si>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</si>
  <si>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</si>
  <si>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</si>
  <si>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</si>
  <si>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</si>
  <si>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</si>
  <si>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</si>
  <si>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</si>
  <si>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</si>
  <si>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</si>
  <si>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</si>
  <si>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</si>
  <si>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</si>
  <si>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</si>
  <si>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</si>
  <si>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</si>
  <si>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</si>
  <si>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</si>
  <si>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</si>
  <si>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</si>
  <si>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</si>
  <si>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</si>
  <si>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</si>
  <si>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</si>
  <si>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</si>
  <si>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</si>
  <si>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</si>
  <si>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</si>
  <si>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</si>
  <si>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</si>
  <si>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</si>
  <si>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</si>
  <si>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</si>
  <si>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</si>
  <si>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</si>
  <si>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</si>
  <si>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</si>
  <si>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</si>
  <si>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</si>
  <si>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</si>
  <si>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</si>
  <si>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</si>
  <si>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</si>
  <si>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</si>
  <si>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</si>
  <si>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</si>
  <si>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</si>
  <si>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</si>
  <si>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</si>
  <si>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</si>
  <si>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</si>
  <si>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</si>
  <si>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</si>
  <si>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</si>
  <si>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</si>
  <si>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</si>
  <si>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</si>
  <si>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</si>
  <si>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</si>
  <si>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</si>
  <si>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</si>
  <si>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</si>
  <si>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</si>
  <si>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</si>
  <si>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</si>
  <si>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</si>
  <si>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</si>
  <si>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</si>
  <si>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</si>
  <si>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</si>
  <si>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</si>
  <si>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</si>
  <si>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</si>
  <si>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</si>
  <si>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</si>
  <si>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</si>
  <si>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</si>
  <si>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</si>
  <si>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</si>
  <si>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</si>
  <si>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</si>
  <si>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</si>
  <si>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</si>
  <si>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</si>
  <si>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</si>
  <si>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</si>
  <si>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</si>
  <si>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</si>
  <si>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</si>
  <si>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</si>
  <si>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</si>
  <si>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</si>
  <si>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</si>
  <si>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</si>
  <si>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</si>
  <si>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</si>
  <si>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</si>
  <si>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</si>
  <si>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</si>
  <si>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</si>
  <si>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</si>
  <si>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</si>
  <si>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</si>
  <si>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</si>
  <si>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</si>
  <si>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</si>
  <si>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</si>
  <si>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</si>
  <si>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</si>
  <si>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</si>
  <si>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</si>
  <si>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</si>
  <si>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</si>
  <si>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</si>
  <si>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</si>
  <si>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</si>
  <si>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</si>
  <si>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</si>
  <si>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</si>
  <si>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</si>
  <si>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</si>
  <si>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</si>
  <si>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</si>
  <si>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</si>
  <si>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</si>
  <si>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</si>
  <si>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</si>
  <si>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</si>
  <si>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</si>
  <si>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</si>
  <si>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</si>
  <si>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</si>
  <si>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</si>
  <si>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</si>
  <si>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</si>
  <si>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</si>
  <si>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</si>
  <si>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</si>
  <si>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</si>
  <si>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</si>
  <si>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</si>
  <si>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</si>
  <si>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</si>
  <si>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</si>
  <si>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</si>
  <si>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</si>
  <si>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</si>
  <si>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</si>
  <si>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</si>
  <si>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</si>
  <si>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</si>
  <si>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</si>
  <si>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</si>
  <si>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</si>
  <si>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</si>
  <si>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</si>
  <si>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</si>
  <si>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</si>
  <si>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</si>
  <si>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</si>
  <si>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</si>
  <si>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</si>
  <si>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</si>
  <si>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</si>
  <si>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</si>
  <si>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</si>
  <si>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</si>
  <si>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</si>
  <si>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</si>
  <si>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</si>
  <si>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</si>
  <si>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</si>
  <si>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</si>
  <si>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</si>
  <si>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</si>
  <si>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</si>
  <si>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</si>
  <si>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</si>
  <si>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</si>
  <si>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</si>
  <si>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</si>
  <si>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</si>
  <si>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</si>
  <si>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</si>
  <si>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</si>
  <si>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</si>
  <si>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</si>
  <si>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</si>
  <si>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</si>
  <si>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</si>
  <si>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</si>
  <si>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</si>
  <si>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</si>
  <si>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</si>
  <si>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</si>
  <si>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</si>
  <si>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</si>
  <si>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</si>
  <si>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</si>
  <si>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</si>
  <si>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</si>
  <si>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</si>
  <si>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</si>
  <si>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</si>
  <si>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</si>
  <si>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</si>
  <si>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</si>
  <si>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</si>
  <si>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</si>
  <si>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</si>
  <si>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</si>
  <si>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</si>
  <si>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</si>
  <si>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</si>
  <si>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</si>
  <si>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</si>
  <si>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</si>
  <si>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</si>
  <si>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</si>
  <si>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</si>
  <si>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</si>
  <si>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</si>
  <si>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</si>
  <si>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</si>
  <si>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</si>
  <si>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</si>
  <si>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</si>
  <si>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</si>
  <si>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</si>
  <si>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</si>
  <si>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</si>
  <si>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</si>
  <si>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</si>
  <si>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</si>
  <si>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</si>
  <si>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</si>
  <si>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23027</t>
  </si>
  <si>
    <t>HALLE</t>
  </si>
  <si>
    <t>Mestbank (maart 2019)</t>
  </si>
  <si>
    <t>Fluvius (februari 2019)</t>
  </si>
  <si>
    <t>referentietaak LNE (2017); Jaarverslag De Lijn (2018)</t>
  </si>
  <si>
    <t>VEA (30 april 2019)</t>
  </si>
  <si>
    <t>VEA (mei 2018)</t>
  </si>
  <si>
    <t>VEA (mei 2019)</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</si>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</sst>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252524.60517095379</c:v>
                </c:pt>
                <c:pt idx="1">
                  <c:v>195283.43549344561</c:v>
                </c:pt>
                <c:pt idx="2">
                  <c:v>2469.7820000000002</c:v>
                </c:pt>
                <c:pt idx="3">
                  <c:v>18092.860649157818</c:v>
                </c:pt>
                <c:pt idx="4">
                  <c:v>132284.94651945724</c:v>
                </c:pt>
                <c:pt idx="5">
                  <c:v>606645.28939643456</c:v>
                </c:pt>
                <c:pt idx="6">
                  <c:v>3861.8670065867991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46176"/>
        <c:axId val="182147712"/>
      </c:barChart>
      <c:catAx>
        <c:axId val="182146176"/>
        <c:scaling>
          <c:orientation val="minMax"/>
        </c:scaling>
        <c:axPos val="b"/>
        <c:numFmt formatCode="General" sourceLinked="0"/>
        <c:tickLblPos val="nextTo"/>
        <c:crossAx val="182147712"/>
        <c:crosses val="autoZero"/>
        <c:auto val="1"/>
        <c:lblAlgn val="ctr"/>
        <c:lblOffset val="100"/>
      </c:catAx>
      <c:valAx>
        <c:axId val="182147712"/>
        <c:scaling>
          <c:orientation val="minMax"/>
        </c:scaling>
        <c:axPos val="l"/>
        <c:majorGridlines/>
        <c:numFmt formatCode="#,##0" sourceLinked="1"/>
        <c:tickLblPos val="nextTo"/>
        <c:crossAx val="1821461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252524.60517095379</c:v>
                </c:pt>
                <c:pt idx="1">
                  <c:v>195283.43549344561</c:v>
                </c:pt>
                <c:pt idx="2">
                  <c:v>2469.7820000000002</c:v>
                </c:pt>
                <c:pt idx="3">
                  <c:v>18092.860649157818</c:v>
                </c:pt>
                <c:pt idx="4">
                  <c:v>132284.94651945724</c:v>
                </c:pt>
                <c:pt idx="5">
                  <c:v>606645.28939643456</c:v>
                </c:pt>
                <c:pt idx="6">
                  <c:v>3861.8670065867991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46228.996547344366</c:v>
                </c:pt>
                <c:pt idx="1">
                  <c:v>37063.995531481589</c:v>
                </c:pt>
                <c:pt idx="2">
                  <c:v>444.13383285513788</c:v>
                </c:pt>
                <c:pt idx="3">
                  <c:v>3150.2881310451849</c:v>
                </c:pt>
                <c:pt idx="4">
                  <c:v>26837.369149455088</c:v>
                </c:pt>
                <c:pt idx="5">
                  <c:v>150712.90577807443</c:v>
                </c:pt>
                <c:pt idx="6">
                  <c:v>976.82637287441469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46228.996547344366</c:v>
                </c:pt>
                <c:pt idx="1">
                  <c:v>37063.995531481589</c:v>
                </c:pt>
                <c:pt idx="2">
                  <c:v>444.13383285513788</c:v>
                </c:pt>
                <c:pt idx="3">
                  <c:v>3150.2881310451849</c:v>
                </c:pt>
                <c:pt idx="4">
                  <c:v>26837.369149455088</c:v>
                </c:pt>
                <c:pt idx="5">
                  <c:v>150712.90577807443</c:v>
                </c:pt>
                <c:pt idx="6">
                  <c:v>976.82637287441469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23027</v>
      </c>
      <c r="B6" s="415"/>
      <c r="C6" s="416"/>
    </row>
    <row r="7" spans="1:7" s="413" customFormat="1" ht="15.75" customHeight="1">
      <c r="A7" s="417" t="str">
        <f>txtMunicipality</f>
        <v>HALLE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0.179827139745588</v>
      </c>
      <c r="C17" s="527">
        <f ca="1">'EF ele_warmte'!B22</f>
        <v>0.10458823529411765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0.179827139745588</v>
      </c>
      <c r="C29" s="528">
        <f ca="1">'EF ele_warmte'!B22</f>
        <v>0.10458823529411765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16273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1634.33</v>
      </c>
    </row>
    <row r="15" spans="1:6">
      <c r="A15" s="348" t="s">
        <v>183</v>
      </c>
      <c r="B15" s="334">
        <v>3</v>
      </c>
    </row>
    <row r="16" spans="1:6">
      <c r="A16" s="348" t="s">
        <v>6</v>
      </c>
      <c r="B16" s="334">
        <v>253</v>
      </c>
    </row>
    <row r="17" spans="1:6">
      <c r="A17" s="348" t="s">
        <v>7</v>
      </c>
      <c r="B17" s="334">
        <v>243</v>
      </c>
    </row>
    <row r="18" spans="1:6">
      <c r="A18" s="348" t="s">
        <v>8</v>
      </c>
      <c r="B18" s="334">
        <v>302</v>
      </c>
    </row>
    <row r="19" spans="1:6">
      <c r="A19" s="348" t="s">
        <v>9</v>
      </c>
      <c r="B19" s="334">
        <v>233</v>
      </c>
    </row>
    <row r="20" spans="1:6">
      <c r="A20" s="348" t="s">
        <v>10</v>
      </c>
      <c r="B20" s="334">
        <v>220</v>
      </c>
    </row>
    <row r="21" spans="1:6">
      <c r="A21" s="348" t="s">
        <v>11</v>
      </c>
      <c r="B21" s="334">
        <v>800</v>
      </c>
    </row>
    <row r="22" spans="1:6">
      <c r="A22" s="348" t="s">
        <v>12</v>
      </c>
      <c r="B22" s="334">
        <v>2100</v>
      </c>
    </row>
    <row r="23" spans="1:6">
      <c r="A23" s="348" t="s">
        <v>13</v>
      </c>
      <c r="B23" s="334">
        <v>39</v>
      </c>
    </row>
    <row r="24" spans="1:6">
      <c r="A24" s="348" t="s">
        <v>14</v>
      </c>
      <c r="B24" s="334">
        <v>2</v>
      </c>
    </row>
    <row r="25" spans="1:6">
      <c r="A25" s="348" t="s">
        <v>15</v>
      </c>
      <c r="B25" s="334">
        <v>188</v>
      </c>
    </row>
    <row r="26" spans="1:6">
      <c r="A26" s="348" t="s">
        <v>16</v>
      </c>
      <c r="B26" s="334">
        <v>148</v>
      </c>
    </row>
    <row r="27" spans="1:6">
      <c r="A27" s="348" t="s">
        <v>17</v>
      </c>
      <c r="B27" s="334">
        <v>1</v>
      </c>
    </row>
    <row r="28" spans="1:6" s="356" customFormat="1">
      <c r="A28" s="355" t="s">
        <v>18</v>
      </c>
      <c r="B28" s="355">
        <v>445</v>
      </c>
    </row>
    <row r="29" spans="1:6">
      <c r="A29" s="355" t="s">
        <v>713</v>
      </c>
      <c r="B29" s="355">
        <v>165</v>
      </c>
      <c r="C29" s="356"/>
      <c r="D29" s="356"/>
      <c r="E29" s="356"/>
      <c r="F29" s="356"/>
    </row>
    <row r="30" spans="1:6">
      <c r="A30" s="341" t="s">
        <v>714</v>
      </c>
      <c r="B30" s="341">
        <v>13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7</v>
      </c>
      <c r="D36" s="334">
        <v>2499011.8050000002</v>
      </c>
      <c r="E36" s="334">
        <v>5</v>
      </c>
      <c r="F36" s="334">
        <v>11035</v>
      </c>
    </row>
    <row r="37" spans="1:6">
      <c r="A37" s="348" t="s">
        <v>24</v>
      </c>
      <c r="B37" s="348" t="s">
        <v>27</v>
      </c>
      <c r="C37" s="334">
        <v>0</v>
      </c>
      <c r="D37" s="334">
        <v>0</v>
      </c>
      <c r="E37" s="334">
        <v>0</v>
      </c>
      <c r="F37" s="334">
        <v>0</v>
      </c>
    </row>
    <row r="38" spans="1:6">
      <c r="A38" s="348" t="s">
        <v>24</v>
      </c>
      <c r="B38" s="348" t="s">
        <v>28</v>
      </c>
      <c r="C38" s="334">
        <v>0</v>
      </c>
      <c r="D38" s="334">
        <v>0</v>
      </c>
      <c r="E38" s="334">
        <v>5</v>
      </c>
      <c r="F38" s="334">
        <v>19666</v>
      </c>
    </row>
    <row r="39" spans="1:6">
      <c r="A39" s="348" t="s">
        <v>29</v>
      </c>
      <c r="B39" s="348" t="s">
        <v>30</v>
      </c>
      <c r="C39" s="334">
        <v>12580</v>
      </c>
      <c r="D39" s="334">
        <v>184428757.80000001</v>
      </c>
      <c r="E39" s="334">
        <v>16528</v>
      </c>
      <c r="F39" s="334">
        <v>56720342.609999999</v>
      </c>
    </row>
    <row r="40" spans="1:6">
      <c r="A40" s="348" t="s">
        <v>29</v>
      </c>
      <c r="B40" s="348" t="s">
        <v>28</v>
      </c>
      <c r="C40" s="334">
        <v>0</v>
      </c>
      <c r="D40" s="334">
        <v>0</v>
      </c>
      <c r="E40" s="334">
        <v>0</v>
      </c>
      <c r="F40" s="334">
        <v>0</v>
      </c>
    </row>
    <row r="41" spans="1:6">
      <c r="A41" s="348" t="s">
        <v>31</v>
      </c>
      <c r="B41" s="348" t="s">
        <v>32</v>
      </c>
      <c r="C41" s="334">
        <v>115</v>
      </c>
      <c r="D41" s="334">
        <v>2195195.659</v>
      </c>
      <c r="E41" s="334">
        <v>212</v>
      </c>
      <c r="F41" s="334">
        <v>27284335.739999998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856971.64800000004</v>
      </c>
      <c r="E44" s="334">
        <v>13</v>
      </c>
      <c r="F44" s="334">
        <v>651908.90399999998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5</v>
      </c>
      <c r="D47" s="334">
        <v>91904.063999999998</v>
      </c>
      <c r="E47" s="334">
        <v>5</v>
      </c>
      <c r="F47" s="334">
        <v>27195.468000000001</v>
      </c>
    </row>
    <row r="48" spans="1:6">
      <c r="A48" s="348" t="s">
        <v>31</v>
      </c>
      <c r="B48" s="348" t="s">
        <v>28</v>
      </c>
      <c r="C48" s="334">
        <v>51</v>
      </c>
      <c r="D48" s="334">
        <v>30754135.609999999</v>
      </c>
      <c r="E48" s="334">
        <v>87</v>
      </c>
      <c r="F48" s="334">
        <v>32332218.489999998</v>
      </c>
    </row>
    <row r="49" spans="1:6">
      <c r="A49" s="348" t="s">
        <v>31</v>
      </c>
      <c r="B49" s="348" t="s">
        <v>39</v>
      </c>
      <c r="C49" s="334">
        <v>0</v>
      </c>
      <c r="D49" s="334">
        <v>0</v>
      </c>
      <c r="E49" s="334">
        <v>0</v>
      </c>
      <c r="F49" s="334">
        <v>0</v>
      </c>
    </row>
    <row r="50" spans="1:6">
      <c r="A50" s="348" t="s">
        <v>31</v>
      </c>
      <c r="B50" s="348" t="s">
        <v>40</v>
      </c>
      <c r="C50" s="334">
        <v>4</v>
      </c>
      <c r="D50" s="334">
        <v>117222.97</v>
      </c>
      <c r="E50" s="334">
        <v>6</v>
      </c>
      <c r="F50" s="334">
        <v>244698.68100000001</v>
      </c>
    </row>
    <row r="51" spans="1:6">
      <c r="A51" s="348" t="s">
        <v>41</v>
      </c>
      <c r="B51" s="348" t="s">
        <v>42</v>
      </c>
      <c r="C51" s="334">
        <v>9</v>
      </c>
      <c r="D51" s="334">
        <v>361305.59399999998</v>
      </c>
      <c r="E51" s="334">
        <v>39</v>
      </c>
      <c r="F51" s="334">
        <v>362127.92800000001</v>
      </c>
    </row>
    <row r="52" spans="1:6">
      <c r="A52" s="348" t="s">
        <v>41</v>
      </c>
      <c r="B52" s="348" t="s">
        <v>28</v>
      </c>
      <c r="C52" s="334">
        <v>8</v>
      </c>
      <c r="D52" s="334">
        <v>7265529.7920000004</v>
      </c>
      <c r="E52" s="334">
        <v>16</v>
      </c>
      <c r="F52" s="334">
        <v>452348.717</v>
      </c>
    </row>
    <row r="53" spans="1:6">
      <c r="A53" s="348" t="s">
        <v>43</v>
      </c>
      <c r="B53" s="348" t="s">
        <v>44</v>
      </c>
      <c r="C53" s="334">
        <v>378</v>
      </c>
      <c r="D53" s="334">
        <v>6913500.6770000001</v>
      </c>
      <c r="E53" s="334">
        <v>694</v>
      </c>
      <c r="F53" s="334">
        <v>1954868.5090000001</v>
      </c>
    </row>
    <row r="54" spans="1:6">
      <c r="A54" s="348" t="s">
        <v>45</v>
      </c>
      <c r="B54" s="348" t="s">
        <v>46</v>
      </c>
      <c r="C54" s="334">
        <v>0</v>
      </c>
      <c r="D54" s="334">
        <v>0</v>
      </c>
      <c r="E54" s="334">
        <v>1</v>
      </c>
      <c r="F54" s="334">
        <v>2469782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80</v>
      </c>
      <c r="D57" s="334">
        <v>3235499.517</v>
      </c>
      <c r="E57" s="334">
        <v>158</v>
      </c>
      <c r="F57" s="334">
        <v>2291151.875</v>
      </c>
    </row>
    <row r="58" spans="1:6">
      <c r="A58" s="348" t="s">
        <v>48</v>
      </c>
      <c r="B58" s="348" t="s">
        <v>50</v>
      </c>
      <c r="C58" s="334">
        <v>67</v>
      </c>
      <c r="D58" s="334">
        <v>2215844.2149999999</v>
      </c>
      <c r="E58" s="334">
        <v>87</v>
      </c>
      <c r="F58" s="334">
        <v>880238.93</v>
      </c>
    </row>
    <row r="59" spans="1:6">
      <c r="A59" s="348" t="s">
        <v>48</v>
      </c>
      <c r="B59" s="348" t="s">
        <v>51</v>
      </c>
      <c r="C59" s="334">
        <v>189</v>
      </c>
      <c r="D59" s="334">
        <v>62239275.439999998</v>
      </c>
      <c r="E59" s="334">
        <v>378</v>
      </c>
      <c r="F59" s="334">
        <v>51464074.670000002</v>
      </c>
    </row>
    <row r="60" spans="1:6">
      <c r="A60" s="348" t="s">
        <v>48</v>
      </c>
      <c r="B60" s="348" t="s">
        <v>52</v>
      </c>
      <c r="C60" s="334">
        <v>154</v>
      </c>
      <c r="D60" s="334">
        <v>8291086.4129999997</v>
      </c>
      <c r="E60" s="334">
        <v>264</v>
      </c>
      <c r="F60" s="334">
        <v>4997037.91</v>
      </c>
    </row>
    <row r="61" spans="1:6">
      <c r="A61" s="348" t="s">
        <v>48</v>
      </c>
      <c r="B61" s="348" t="s">
        <v>53</v>
      </c>
      <c r="C61" s="334">
        <v>333</v>
      </c>
      <c r="D61" s="334">
        <v>12107476</v>
      </c>
      <c r="E61" s="334">
        <v>739</v>
      </c>
      <c r="F61" s="334">
        <v>5856154.0970000001</v>
      </c>
    </row>
    <row r="62" spans="1:6">
      <c r="A62" s="348" t="s">
        <v>48</v>
      </c>
      <c r="B62" s="348" t="s">
        <v>54</v>
      </c>
      <c r="C62" s="334">
        <v>31</v>
      </c>
      <c r="D62" s="334">
        <v>6809142.4680000003</v>
      </c>
      <c r="E62" s="334">
        <v>37</v>
      </c>
      <c r="F62" s="334">
        <v>2182766.7609999999</v>
      </c>
    </row>
    <row r="63" spans="1:6">
      <c r="A63" s="348" t="s">
        <v>48</v>
      </c>
      <c r="B63" s="348" t="s">
        <v>28</v>
      </c>
      <c r="C63" s="334">
        <v>192</v>
      </c>
      <c r="D63" s="334">
        <v>20101144.940000001</v>
      </c>
      <c r="E63" s="334">
        <v>236</v>
      </c>
      <c r="F63" s="334">
        <v>12817459.609999999</v>
      </c>
    </row>
    <row r="64" spans="1:6">
      <c r="A64" s="348" t="s">
        <v>55</v>
      </c>
      <c r="B64" s="348" t="s">
        <v>56</v>
      </c>
      <c r="C64" s="334">
        <v>0</v>
      </c>
      <c r="D64" s="334">
        <v>0</v>
      </c>
      <c r="E64" s="334">
        <v>0</v>
      </c>
      <c r="F64" s="334">
        <v>0</v>
      </c>
    </row>
    <row r="65" spans="1:6">
      <c r="A65" s="348" t="s">
        <v>55</v>
      </c>
      <c r="B65" s="348" t="s">
        <v>28</v>
      </c>
      <c r="C65" s="334">
        <v>6</v>
      </c>
      <c r="D65" s="334">
        <v>388884.73</v>
      </c>
      <c r="E65" s="334">
        <v>14</v>
      </c>
      <c r="F65" s="334">
        <v>684625.55200000003</v>
      </c>
    </row>
    <row r="66" spans="1:6">
      <c r="A66" s="348" t="s">
        <v>55</v>
      </c>
      <c r="B66" s="348" t="s">
        <v>57</v>
      </c>
      <c r="C66" s="334">
        <v>0</v>
      </c>
      <c r="D66" s="334">
        <v>0</v>
      </c>
      <c r="E66" s="334">
        <v>23</v>
      </c>
      <c r="F66" s="334">
        <v>623357.26500000001</v>
      </c>
    </row>
    <row r="67" spans="1:6">
      <c r="A67" s="355" t="s">
        <v>55</v>
      </c>
      <c r="B67" s="355" t="s">
        <v>58</v>
      </c>
      <c r="C67" s="334">
        <v>0</v>
      </c>
      <c r="D67" s="334">
        <v>0</v>
      </c>
      <c r="E67" s="334">
        <v>0</v>
      </c>
      <c r="F67" s="334">
        <v>0</v>
      </c>
    </row>
    <row r="68" spans="1:6">
      <c r="A68" s="341" t="s">
        <v>55</v>
      </c>
      <c r="B68" s="341" t="s">
        <v>59</v>
      </c>
      <c r="C68" s="334">
        <v>3</v>
      </c>
      <c r="D68" s="334">
        <v>72693.445000000007</v>
      </c>
      <c r="E68" s="334">
        <v>6</v>
      </c>
      <c r="F68" s="334">
        <v>137029.35699999999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265139835</v>
      </c>
      <c r="E73" s="476"/>
    </row>
    <row r="74" spans="1:6">
      <c r="A74" s="348" t="s">
        <v>63</v>
      </c>
      <c r="B74" s="348" t="s">
        <v>651</v>
      </c>
      <c r="C74" s="1307" t="s">
        <v>653</v>
      </c>
      <c r="D74" s="476">
        <v>21359067</v>
      </c>
      <c r="E74" s="476"/>
    </row>
    <row r="75" spans="1:6">
      <c r="A75" s="348" t="s">
        <v>64</v>
      </c>
      <c r="B75" s="348" t="s">
        <v>650</v>
      </c>
      <c r="C75" s="1307" t="s">
        <v>654</v>
      </c>
      <c r="D75" s="476">
        <v>171048462</v>
      </c>
      <c r="E75" s="476"/>
    </row>
    <row r="76" spans="1:6">
      <c r="A76" s="348" t="s">
        <v>64</v>
      </c>
      <c r="B76" s="348" t="s">
        <v>651</v>
      </c>
      <c r="C76" s="1307" t="s">
        <v>655</v>
      </c>
      <c r="D76" s="476">
        <v>8188282</v>
      </c>
      <c r="E76" s="476"/>
    </row>
    <row r="77" spans="1:6">
      <c r="A77" s="348" t="s">
        <v>65</v>
      </c>
      <c r="B77" s="348" t="s">
        <v>650</v>
      </c>
      <c r="C77" s="1307" t="s">
        <v>656</v>
      </c>
      <c r="D77" s="476">
        <v>228153203</v>
      </c>
      <c r="E77" s="476"/>
    </row>
    <row r="78" spans="1:6">
      <c r="A78" s="341" t="s">
        <v>65</v>
      </c>
      <c r="B78" s="341" t="s">
        <v>651</v>
      </c>
      <c r="C78" s="341" t="s">
        <v>657</v>
      </c>
      <c r="D78" s="1308">
        <v>20789586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1072876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28375.910566679584</v>
      </c>
    </row>
    <row r="91" spans="1:6">
      <c r="A91" s="348" t="s">
        <v>67</v>
      </c>
      <c r="B91" s="334">
        <v>3859.2411903177522</v>
      </c>
    </row>
    <row r="92" spans="1:6">
      <c r="A92" s="341" t="s">
        <v>68</v>
      </c>
      <c r="B92" s="342">
        <v>2325.5044564808359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8417</v>
      </c>
    </row>
    <row r="98" spans="1:6">
      <c r="A98" s="348" t="s">
        <v>71</v>
      </c>
      <c r="B98" s="334">
        <v>12</v>
      </c>
    </row>
    <row r="99" spans="1:6">
      <c r="A99" s="348" t="s">
        <v>72</v>
      </c>
      <c r="B99" s="334">
        <v>88</v>
      </c>
    </row>
    <row r="100" spans="1:6">
      <c r="A100" s="348" t="s">
        <v>73</v>
      </c>
      <c r="B100" s="334">
        <v>1444</v>
      </c>
    </row>
    <row r="101" spans="1:6">
      <c r="A101" s="348" t="s">
        <v>74</v>
      </c>
      <c r="B101" s="334">
        <v>114</v>
      </c>
    </row>
    <row r="102" spans="1:6">
      <c r="A102" s="348" t="s">
        <v>75</v>
      </c>
      <c r="B102" s="334">
        <v>218</v>
      </c>
    </row>
    <row r="103" spans="1:6">
      <c r="A103" s="348" t="s">
        <v>76</v>
      </c>
      <c r="B103" s="334">
        <v>298</v>
      </c>
    </row>
    <row r="104" spans="1:6">
      <c r="A104" s="348" t="s">
        <v>77</v>
      </c>
      <c r="B104" s="334">
        <v>3161</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26</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138</v>
      </c>
    </row>
    <row r="130" spans="1:6">
      <c r="A130" s="348" t="s">
        <v>294</v>
      </c>
      <c r="B130" s="334">
        <v>0</v>
      </c>
    </row>
    <row r="131" spans="1:6">
      <c r="A131" s="348" t="s">
        <v>295</v>
      </c>
      <c r="B131" s="334">
        <v>3</v>
      </c>
    </row>
    <row r="132" spans="1:6">
      <c r="A132" s="341" t="s">
        <v>296</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211209.22643267887</v>
      </c>
      <c r="C3" s="43" t="s">
        <v>169</v>
      </c>
      <c r="D3" s="43"/>
      <c r="E3" s="154"/>
      <c r="F3" s="43"/>
      <c r="G3" s="43"/>
      <c r="H3" s="43"/>
      <c r="I3" s="43"/>
      <c r="J3" s="43"/>
      <c r="K3" s="96"/>
    </row>
    <row r="4" spans="1:11">
      <c r="A4" s="383" t="s">
        <v>170</v>
      </c>
      <c r="B4" s="49">
        <f>IF(ISERROR('SEAP template'!B78+'SEAP template'!C78),0,'SEAP template'!B78+'SEAP template'!C78)</f>
        <v>43650.656213478171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950.70705882352934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0.179827139745588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1358.1529411764707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12985.714285714286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0.10458823529411765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2469.7820000000002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2469.7820000000002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0.179827139745588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444.13383285513788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56720.34261</v>
      </c>
      <c r="C5" s="17">
        <f>IF(ISERROR('Eigen informatie GS &amp; warmtenet'!B59),0,'Eigen informatie GS &amp; warmtenet'!B59)</f>
        <v>0</v>
      </c>
      <c r="D5" s="30">
        <f>(SUM(HH_hh_gas_kWh,HH_rest_gas_kWh)/1000)*0.902</f>
        <v>166354.73953560003</v>
      </c>
      <c r="E5" s="17">
        <f>B46*B57</f>
        <v>7627.6910985191789</v>
      </c>
      <c r="F5" s="17">
        <f>B51*B62</f>
        <v>0</v>
      </c>
      <c r="G5" s="18"/>
      <c r="H5" s="17"/>
      <c r="I5" s="17"/>
      <c r="J5" s="17">
        <f>B50*B61+C50*C61</f>
        <v>0</v>
      </c>
      <c r="K5" s="17"/>
      <c r="L5" s="17"/>
      <c r="M5" s="17"/>
      <c r="N5" s="17">
        <f>B48*B59+C48*C59</f>
        <v>17099.98966384539</v>
      </c>
      <c r="O5" s="17">
        <f>B69*B70*B71</f>
        <v>325.36914797947321</v>
      </c>
      <c r="P5" s="17">
        <f>B77*B78*B79/1000-B77*B78*B79/1000/B80</f>
        <v>537.23192469193623</v>
      </c>
    </row>
    <row r="6" spans="1:16">
      <c r="A6" s="16" t="s">
        <v>615</v>
      </c>
      <c r="B6" s="809">
        <f>kWh_PV_kleiner_dan_10kW</f>
        <v>3859.2411903177522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60579.583800317749</v>
      </c>
      <c r="C8" s="21">
        <f>C5</f>
        <v>0</v>
      </c>
      <c r="D8" s="21">
        <f>D5</f>
        <v>166354.73953560003</v>
      </c>
      <c r="E8" s="21">
        <f>E5</f>
        <v>7627.6910985191789</v>
      </c>
      <c r="F8" s="21">
        <f>F5</f>
        <v>0</v>
      </c>
      <c r="G8" s="21"/>
      <c r="H8" s="21"/>
      <c r="I8" s="21"/>
      <c r="J8" s="21">
        <f>J5</f>
        <v>0</v>
      </c>
      <c r="K8" s="21"/>
      <c r="L8" s="21">
        <f>L5</f>
        <v>0</v>
      </c>
      <c r="M8" s="21">
        <f>M5</f>
        <v>0</v>
      </c>
      <c r="N8" s="21">
        <f>N5</f>
        <v>17099.98966384539</v>
      </c>
      <c r="O8" s="21">
        <f>O5</f>
        <v>325.36914797947321</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0.179827139745588</v>
      </c>
      <c r="C10" s="25">
        <f ca="1">'EF ele_warmte'!B22</f>
        <v>0.10458823529411765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10893.853281789299</v>
      </c>
      <c r="C12" s="23">
        <f ca="1">C10*C8</f>
        <v>0</v>
      </c>
      <c r="D12" s="23">
        <f>D8*D10</f>
        <v>33603.657386191211</v>
      </c>
      <c r="E12" s="23">
        <f>E10*E8</f>
        <v>1731.4858793638537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16273</v>
      </c>
      <c r="C28" s="36"/>
      <c r="D28" s="228"/>
    </row>
    <row r="29" spans="1:7" s="15" customFormat="1">
      <c r="A29" s="230" t="s">
        <v>837</v>
      </c>
      <c r="B29" s="37">
        <f>SUM(HH_hh_gas_aantal,HH_rest_gas_aantal)</f>
        <v>12580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12580</v>
      </c>
      <c r="C32" s="167">
        <f>IF(ISERROR(B32/SUM($B$32,$B$34,$B$35,$B$36,$B$38,$B$39)*100),0,B32/SUM($B$32,$B$34,$B$35,$B$36,$B$38,$B$39)*100)</f>
        <v>77.54900752065096</v>
      </c>
      <c r="D32" s="233"/>
      <c r="G32" s="15"/>
    </row>
    <row r="33" spans="1:7">
      <c r="A33" s="171" t="s">
        <v>71</v>
      </c>
      <c r="B33" s="34" t="s">
        <v>110</v>
      </c>
      <c r="C33" s="167"/>
      <c r="D33" s="233"/>
      <c r="G33" s="15"/>
    </row>
    <row r="34" spans="1:7">
      <c r="A34" s="171" t="s">
        <v>72</v>
      </c>
      <c r="B34" s="33">
        <f>IF((($B$28-$B$32-$B$39-$B$77-$B$38)*C20/100)&lt;0,0,($B$28-$B$32-$B$39-$B$77-$B$38)*C20/100)</f>
        <v>194.71202916160391</v>
      </c>
      <c r="C34" s="167">
        <f>IF(ISERROR(B34/SUM($B$32,$B$34,$B$35,$B$36,$B$38,$B$39)*100),0,B34/SUM($B$32,$B$34,$B$35,$B$36,$B$38,$B$39)*100)</f>
        <v>1.2002960742300819</v>
      </c>
      <c r="D34" s="233"/>
      <c r="G34" s="15"/>
    </row>
    <row r="35" spans="1:7">
      <c r="A35" s="171" t="s">
        <v>73</v>
      </c>
      <c r="B35" s="33">
        <f>IF((($B$28-$B$32-$B$39-$B$77-$B$38)*C21/100)&lt;0,0,($B$28-$B$32-$B$39-$B$77-$B$38)*C21/100)</f>
        <v>3195.0473876063188</v>
      </c>
      <c r="C35" s="167">
        <f>IF(ISERROR(B35/SUM($B$32,$B$34,$B$35,$B$36,$B$38,$B$39)*100),0,B35/SUM($B$32,$B$34,$B$35,$B$36,$B$38,$B$39)*100)</f>
        <v>19.695767399866345</v>
      </c>
      <c r="D35" s="233"/>
      <c r="G35" s="15"/>
    </row>
    <row r="36" spans="1:7">
      <c r="A36" s="171" t="s">
        <v>74</v>
      </c>
      <c r="B36" s="33">
        <f>IF((($B$28-$B$32-$B$39-$B$77-$B$38)*C22/100)&lt;0,0,($B$28-$B$32-$B$39-$B$77-$B$38)*C22/100)</f>
        <v>252.2405832320778</v>
      </c>
      <c r="C36" s="167">
        <f>IF(ISERROR(B36/SUM($B$32,$B$34,$B$35,$B$36,$B$38,$B$39)*100),0,B36/SUM($B$32,$B$34,$B$35,$B$36,$B$38,$B$39)*100)</f>
        <v>1.5549290052526061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12580</v>
      </c>
      <c r="C44" s="34" t="s">
        <v>110</v>
      </c>
      <c r="D44" s="174"/>
    </row>
    <row r="45" spans="1:7">
      <c r="A45" s="171" t="s">
        <v>71</v>
      </c>
      <c r="B45" s="33" t="str">
        <f t="shared" si="0"/>
        <v>-</v>
      </c>
      <c r="C45" s="34" t="s">
        <v>110</v>
      </c>
      <c r="D45" s="174"/>
    </row>
    <row r="46" spans="1:7">
      <c r="A46" s="171" t="s">
        <v>72</v>
      </c>
      <c r="B46" s="33">
        <f t="shared" si="0"/>
        <v>194.71202916160391</v>
      </c>
      <c r="C46" s="34" t="s">
        <v>110</v>
      </c>
      <c r="D46" s="174"/>
    </row>
    <row r="47" spans="1:7">
      <c r="A47" s="171" t="s">
        <v>73</v>
      </c>
      <c r="B47" s="33">
        <f t="shared" si="0"/>
        <v>3195.0473876063188</v>
      </c>
      <c r="C47" s="34" t="s">
        <v>110</v>
      </c>
      <c r="D47" s="174"/>
    </row>
    <row r="48" spans="1:7">
      <c r="A48" s="171" t="s">
        <v>74</v>
      </c>
      <c r="B48" s="33">
        <f t="shared" si="0"/>
        <v>252.2405832320778</v>
      </c>
      <c r="C48" s="33">
        <f>B48*10</f>
        <v>2522.4058323207778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80488.883853000007</v>
      </c>
      <c r="C5" s="17">
        <f>IF(ISERROR('Eigen informatie GS &amp; warmtenet'!B60),0,'Eigen informatie GS &amp; warmtenet'!B60)</f>
        <v>0</v>
      </c>
      <c r="D5" s="30">
        <f>SUM(D6:D12)</f>
        <v>103729.52103168599</v>
      </c>
      <c r="E5" s="17">
        <f>SUM(E6:E12)</f>
        <v>1708.2266074094666</v>
      </c>
      <c r="F5" s="17">
        <f>SUM(F6:F12)</f>
        <v>8391.3721983536034</v>
      </c>
      <c r="G5" s="18"/>
      <c r="H5" s="17"/>
      <c r="I5" s="17"/>
      <c r="J5" s="17">
        <f>SUM(J6:J12)</f>
        <v>6.3458702574674355E-2</v>
      </c>
      <c r="K5" s="17"/>
      <c r="L5" s="17"/>
      <c r="M5" s="17"/>
      <c r="N5" s="17">
        <f>SUM(N6:N12)</f>
        <v>2522.2509293744511</v>
      </c>
      <c r="O5" s="17">
        <f>B38*B39*B40</f>
        <v>0</v>
      </c>
      <c r="P5" s="17">
        <f>B46*B47*B48/1000-B46*B47*B48/1000/B49</f>
        <v>157.61741491948504</v>
      </c>
      <c r="R5" s="32"/>
    </row>
    <row r="6" spans="1:18">
      <c r="A6" s="32" t="s">
        <v>53</v>
      </c>
      <c r="B6" s="37">
        <f>B26</f>
        <v>5856.1540969999996</v>
      </c>
      <c r="C6" s="33"/>
      <c r="D6" s="37">
        <f>IF(ISERROR(TER_kantoor_gas_kWh/1000),0,TER_kantoor_gas_kWh/1000)*0.902</f>
        <v>10920.943352</v>
      </c>
      <c r="E6" s="33">
        <f>$C$26*'E Balans VL '!I12/100/3.6*1000000</f>
        <v>47.122594387631246</v>
      </c>
      <c r="F6" s="33">
        <f>$C$26*('E Balans VL '!L12+'E Balans VL '!N12)/100/3.6*1000000</f>
        <v>715.97644312703335</v>
      </c>
      <c r="G6" s="34"/>
      <c r="H6" s="33"/>
      <c r="I6" s="33"/>
      <c r="J6" s="33">
        <f>$C$26*('E Balans VL '!D12+'E Balans VL '!E12)/100/3.6*1000000</f>
        <v>0</v>
      </c>
      <c r="K6" s="33"/>
      <c r="L6" s="33"/>
      <c r="M6" s="33"/>
      <c r="N6" s="33">
        <f>$C$26*'E Balans VL '!Y12/100/3.6*1000000</f>
        <v>3.1473944427613612</v>
      </c>
      <c r="O6" s="33"/>
      <c r="P6" s="33"/>
      <c r="R6" s="32"/>
    </row>
    <row r="7" spans="1:18">
      <c r="A7" s="32" t="s">
        <v>52</v>
      </c>
      <c r="B7" s="37">
        <f t="shared" ref="B7:B12" si="0">B27</f>
        <v>4997.03791</v>
      </c>
      <c r="C7" s="33"/>
      <c r="D7" s="37">
        <f>IF(ISERROR(TER_horeca_gas_kWh/1000),0,TER_horeca_gas_kWh/1000)*0.902</f>
        <v>7478.5599445259995</v>
      </c>
      <c r="E7" s="33">
        <f>$C$27*'E Balans VL '!I9/100/3.6*1000000</f>
        <v>53.655916573537269</v>
      </c>
      <c r="F7" s="33">
        <f>$C$27*('E Balans VL '!L9+'E Balans VL '!N9)/100/3.6*1000000</f>
        <v>601.02248893628303</v>
      </c>
      <c r="G7" s="34"/>
      <c r="H7" s="33"/>
      <c r="I7" s="33"/>
      <c r="J7" s="33">
        <f>$C$27*('E Balans VL '!D9+'E Balans VL '!E9)/100/3.6*1000000</f>
        <v>0</v>
      </c>
      <c r="K7" s="33"/>
      <c r="L7" s="33"/>
      <c r="M7" s="33"/>
      <c r="N7" s="33">
        <f>$C$27*'E Balans VL '!Y9/100/3.6*1000000</f>
        <v>0.74915726090918522</v>
      </c>
      <c r="O7" s="33"/>
      <c r="P7" s="33"/>
      <c r="R7" s="32"/>
    </row>
    <row r="8" spans="1:18">
      <c r="A8" s="6" t="s">
        <v>51</v>
      </c>
      <c r="B8" s="37">
        <f t="shared" si="0"/>
        <v>51464.074670000002</v>
      </c>
      <c r="C8" s="33"/>
      <c r="D8" s="37">
        <f>IF(ISERROR(TER_handel_gas_kWh/1000),0,TER_handel_gas_kWh/1000)*0.902</f>
        <v>56139.826446879997</v>
      </c>
      <c r="E8" s="33">
        <f>$C$28*'E Balans VL '!I13/100/3.6*1000000</f>
        <v>1381.1382084066138</v>
      </c>
      <c r="F8" s="33">
        <f>$C$28*('E Balans VL '!L13+'E Balans VL '!N13)/100/3.6*1000000</f>
        <v>4911.2588871981698</v>
      </c>
      <c r="G8" s="34"/>
      <c r="H8" s="33"/>
      <c r="I8" s="33"/>
      <c r="J8" s="33">
        <f>$C$28*('E Balans VL '!D13+'E Balans VL '!E13)/100/3.6*1000000</f>
        <v>0</v>
      </c>
      <c r="K8" s="33"/>
      <c r="L8" s="33"/>
      <c r="M8" s="33"/>
      <c r="N8" s="33">
        <f>$C$28*'E Balans VL '!Y13/100/3.6*1000000</f>
        <v>20.400944365555407</v>
      </c>
      <c r="O8" s="33"/>
      <c r="P8" s="33"/>
      <c r="R8" s="32"/>
    </row>
    <row r="9" spans="1:18">
      <c r="A9" s="32" t="s">
        <v>50</v>
      </c>
      <c r="B9" s="37">
        <f t="shared" si="0"/>
        <v>880.2389300000001</v>
      </c>
      <c r="C9" s="33"/>
      <c r="D9" s="37">
        <f>IF(ISERROR(TER_gezond_gas_kWh/1000),0,TER_gezond_gas_kWh/1000)*0.902</f>
        <v>1998.69148193</v>
      </c>
      <c r="E9" s="33">
        <f>$C$29*'E Balans VL '!I10/100/3.6*1000000</f>
        <v>1.6498543730616606</v>
      </c>
      <c r="F9" s="33">
        <f>$C$29*('E Balans VL '!L10+'E Balans VL '!N10)/100/3.6*1000000</f>
        <v>72.363671607377825</v>
      </c>
      <c r="G9" s="34"/>
      <c r="H9" s="33"/>
      <c r="I9" s="33"/>
      <c r="J9" s="33">
        <f>$C$29*('E Balans VL '!D10+'E Balans VL '!E10)/100/3.6*1000000</f>
        <v>0</v>
      </c>
      <c r="K9" s="33"/>
      <c r="L9" s="33"/>
      <c r="M9" s="33"/>
      <c r="N9" s="33">
        <f>$C$29*'E Balans VL '!Y10/100/3.6*1000000</f>
        <v>6.8489156280085624</v>
      </c>
      <c r="O9" s="33"/>
      <c r="P9" s="33"/>
      <c r="R9" s="32"/>
    </row>
    <row r="10" spans="1:18">
      <c r="A10" s="32" t="s">
        <v>49</v>
      </c>
      <c r="B10" s="37">
        <f t="shared" si="0"/>
        <v>2291.151875</v>
      </c>
      <c r="C10" s="33"/>
      <c r="D10" s="37">
        <f>IF(ISERROR(TER_ander_gas_kWh/1000),0,TER_ander_gas_kWh/1000)*0.902</f>
        <v>2918.4205643340001</v>
      </c>
      <c r="E10" s="33">
        <f>$C$30*'E Balans VL '!I14/100/3.6*1000000</f>
        <v>3.5318338311957342</v>
      </c>
      <c r="F10" s="33">
        <f>$C$30*('E Balans VL '!L14+'E Balans VL '!N14)/100/3.6*1000000</f>
        <v>355.70196110099954</v>
      </c>
      <c r="G10" s="34"/>
      <c r="H10" s="33"/>
      <c r="I10" s="33"/>
      <c r="J10" s="33">
        <f>$C$30*('E Balans VL '!D14+'E Balans VL '!E14)/100/3.6*1000000</f>
        <v>3.8894719383712556E-2</v>
      </c>
      <c r="K10" s="33"/>
      <c r="L10" s="33"/>
      <c r="M10" s="33"/>
      <c r="N10" s="33">
        <f>$C$30*'E Balans VL '!Y14/100/3.6*1000000</f>
        <v>1515.7526496336056</v>
      </c>
      <c r="O10" s="33"/>
      <c r="P10" s="33"/>
      <c r="R10" s="32"/>
    </row>
    <row r="11" spans="1:18">
      <c r="A11" s="32" t="s">
        <v>54</v>
      </c>
      <c r="B11" s="37">
        <f t="shared" si="0"/>
        <v>2182.7667609999999</v>
      </c>
      <c r="C11" s="33"/>
      <c r="D11" s="37">
        <f>IF(ISERROR(TER_onderwijs_gas_kWh/1000),0,TER_onderwijs_gas_kWh/1000)*0.902</f>
        <v>6141.8465061360002</v>
      </c>
      <c r="E11" s="33">
        <f>$C$31*'E Balans VL '!I11/100/3.6*1000000</f>
        <v>55.675460825658476</v>
      </c>
      <c r="F11" s="33">
        <f>$C$31*('E Balans VL '!L11+'E Balans VL '!N11)/100/3.6*1000000</f>
        <v>262.49824799338489</v>
      </c>
      <c r="G11" s="34"/>
      <c r="H11" s="33"/>
      <c r="I11" s="33"/>
      <c r="J11" s="33">
        <f>$C$31*('E Balans VL '!D11+'E Balans VL '!E11)/100/3.6*1000000</f>
        <v>0</v>
      </c>
      <c r="K11" s="33"/>
      <c r="L11" s="33"/>
      <c r="M11" s="33"/>
      <c r="N11" s="33">
        <f>$C$31*'E Balans VL '!Y11/100/3.6*1000000</f>
        <v>4.8544200164961078</v>
      </c>
      <c r="O11" s="33"/>
      <c r="P11" s="33"/>
      <c r="R11" s="32"/>
    </row>
    <row r="12" spans="1:18">
      <c r="A12" s="32" t="s">
        <v>259</v>
      </c>
      <c r="B12" s="37">
        <f t="shared" si="0"/>
        <v>12817.45961</v>
      </c>
      <c r="C12" s="33"/>
      <c r="D12" s="37">
        <f>IF(ISERROR(TER_rest_gas_kWh/1000),0,TER_rest_gas_kWh/1000)*0.902</f>
        <v>18131.232735880003</v>
      </c>
      <c r="E12" s="33">
        <f>$C$32*'E Balans VL '!I8/100/3.6*1000000</f>
        <v>165.45273901176856</v>
      </c>
      <c r="F12" s="33">
        <f>$C$32*('E Balans VL '!L8+'E Balans VL '!N8)/100/3.6*1000000</f>
        <v>1472.550498390355</v>
      </c>
      <c r="G12" s="34"/>
      <c r="H12" s="33"/>
      <c r="I12" s="33"/>
      <c r="J12" s="33">
        <f>$C$32*('E Balans VL '!D8+'E Balans VL '!E8)/100/3.6*1000000</f>
        <v>2.4563983190961796E-2</v>
      </c>
      <c r="K12" s="33"/>
      <c r="L12" s="33"/>
      <c r="M12" s="33"/>
      <c r="N12" s="33">
        <f>$C$32*'E Balans VL '!Y8/100/3.6*1000000</f>
        <v>970.49744802711473</v>
      </c>
      <c r="O12" s="33"/>
      <c r="P12" s="33"/>
      <c r="R12" s="32"/>
    </row>
    <row r="13" spans="1:18">
      <c r="A13" s="16" t="s">
        <v>482</v>
      </c>
      <c r="B13" s="247">
        <f ca="1">'lokale energieproductie'!N91+'lokale energieproductie'!N60</f>
        <v>4000.5</v>
      </c>
      <c r="C13" s="247">
        <f ca="1">'lokale energieproductie'!O91+'lokale energieproductie'!O60</f>
        <v>5715</v>
      </c>
      <c r="D13" s="310">
        <f ca="1">('lokale energieproductie'!P60+'lokale energieproductie'!P91)*(-1)</f>
        <v>-11430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84489.383853000007</v>
      </c>
      <c r="C16" s="21">
        <f t="shared" ca="1" si="1"/>
        <v>5715</v>
      </c>
      <c r="D16" s="21">
        <f t="shared" ca="1" si="1"/>
        <v>92299.521031685988</v>
      </c>
      <c r="E16" s="21">
        <f t="shared" si="1"/>
        <v>1708.2266074094666</v>
      </c>
      <c r="F16" s="21">
        <f t="shared" ca="1" si="1"/>
        <v>8391.3721983536034</v>
      </c>
      <c r="G16" s="21">
        <f t="shared" si="1"/>
        <v>0</v>
      </c>
      <c r="H16" s="21">
        <f t="shared" si="1"/>
        <v>0</v>
      </c>
      <c r="I16" s="21">
        <f t="shared" si="1"/>
        <v>0</v>
      </c>
      <c r="J16" s="21">
        <f t="shared" si="1"/>
        <v>6.3458702574674355E-2</v>
      </c>
      <c r="K16" s="21">
        <f t="shared" si="1"/>
        <v>0</v>
      </c>
      <c r="L16" s="21">
        <f t="shared" ca="1" si="1"/>
        <v>0</v>
      </c>
      <c r="M16" s="21">
        <f t="shared" si="1"/>
        <v>0</v>
      </c>
      <c r="N16" s="21">
        <f t="shared" ca="1" si="1"/>
        <v>2522.2509293744511</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0.179827139745588</v>
      </c>
      <c r="C18" s="25">
        <f ca="1">'EF ele_warmte'!B22</f>
        <v>0.10458823529411765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15193.484237152059</v>
      </c>
      <c r="C20" s="23">
        <f t="shared" ref="C20:P20" ca="1" si="2">C16*C18</f>
        <v>597.72176470588238</v>
      </c>
      <c r="D20" s="23">
        <f t="shared" ca="1" si="2"/>
        <v>18644.503248400571</v>
      </c>
      <c r="E20" s="23">
        <f t="shared" si="2"/>
        <v>387.76743988194892</v>
      </c>
      <c r="F20" s="23">
        <f t="shared" ca="1" si="2"/>
        <v>2240.4963769604124</v>
      </c>
      <c r="G20" s="23">
        <f t="shared" si="2"/>
        <v>0</v>
      </c>
      <c r="H20" s="23">
        <f t="shared" si="2"/>
        <v>0</v>
      </c>
      <c r="I20" s="23">
        <f t="shared" si="2"/>
        <v>0</v>
      </c>
      <c r="J20" s="23">
        <f t="shared" si="2"/>
        <v>2.2464380711434719E-2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5856.1540969999996</v>
      </c>
      <c r="C26" s="39">
        <f>IF(ISERROR(B26*3.6/1000000/'E Balans VL '!Z12*100),0,B26*3.6/1000000/'E Balans VL '!Z12*100)</f>
        <v>0.12423295140210813</v>
      </c>
      <c r="D26" s="237" t="s">
        <v>716</v>
      </c>
      <c r="F26" s="6"/>
    </row>
    <row r="27" spans="1:18">
      <c r="A27" s="231" t="s">
        <v>52</v>
      </c>
      <c r="B27" s="33">
        <f>IF(ISERROR(TER_horeca_ele_kWh/1000),0,TER_horeca_ele_kWh/1000)</f>
        <v>4997.03791</v>
      </c>
      <c r="C27" s="39">
        <f>IF(ISERROR(B27*3.6/1000000/'E Balans VL '!Z9*100),0,B27*3.6/1000000/'E Balans VL '!Z9*100)</f>
        <v>0.37632122091609427</v>
      </c>
      <c r="D27" s="237" t="s">
        <v>716</v>
      </c>
      <c r="F27" s="6"/>
    </row>
    <row r="28" spans="1:18">
      <c r="A28" s="171" t="s">
        <v>51</v>
      </c>
      <c r="B28" s="33">
        <f>IF(ISERROR(TER_handel_ele_kWh/1000),0,TER_handel_ele_kWh/1000)</f>
        <v>51464.074670000002</v>
      </c>
      <c r="C28" s="39">
        <f>IF(ISERROR(B28*3.6/1000000/'E Balans VL '!Z13*100),0,B28*3.6/1000000/'E Balans VL '!Z13*100)</f>
        <v>1.493819736226156</v>
      </c>
      <c r="D28" s="237" t="s">
        <v>716</v>
      </c>
      <c r="F28" s="6"/>
    </row>
    <row r="29" spans="1:18">
      <c r="A29" s="231" t="s">
        <v>50</v>
      </c>
      <c r="B29" s="33">
        <f>IF(ISERROR(TER_gezond_ele_kWh/1000),0,TER_gezond_ele_kWh/1000)</f>
        <v>880.2389300000001</v>
      </c>
      <c r="C29" s="39">
        <f>IF(ISERROR(B29*3.6/1000000/'E Balans VL '!Z10*100),0,B29*3.6/1000000/'E Balans VL '!Z10*100)</f>
        <v>8.8773145818178509E-2</v>
      </c>
      <c r="D29" s="237" t="s">
        <v>716</v>
      </c>
      <c r="F29" s="6"/>
    </row>
    <row r="30" spans="1:18">
      <c r="A30" s="231" t="s">
        <v>49</v>
      </c>
      <c r="B30" s="33">
        <f>IF(ISERROR(TER_ander_ele_kWh/1000),0,TER_ander_ele_kWh/1000)</f>
        <v>2291.151875</v>
      </c>
      <c r="C30" s="39">
        <f>IF(ISERROR(B30*3.6/1000000/'E Balans VL '!Z14*100),0,B30*3.6/1000000/'E Balans VL '!Z14*100)</f>
        <v>0.16625432557396269</v>
      </c>
      <c r="D30" s="237" t="s">
        <v>716</v>
      </c>
      <c r="F30" s="6"/>
    </row>
    <row r="31" spans="1:18">
      <c r="A31" s="231" t="s">
        <v>54</v>
      </c>
      <c r="B31" s="33">
        <f>IF(ISERROR(TER_onderwijs_ele_kWh/1000),0,TER_onderwijs_ele_kWh/1000)</f>
        <v>2182.7667609999999</v>
      </c>
      <c r="C31" s="39">
        <f>IF(ISERROR(B31*3.6/1000000/'E Balans VL '!Z11*100),0,B31*3.6/1000000/'E Balans VL '!Z11*100)</f>
        <v>0.6221774132863811</v>
      </c>
      <c r="D31" s="237" t="s">
        <v>716</v>
      </c>
    </row>
    <row r="32" spans="1:18">
      <c r="A32" s="231" t="s">
        <v>259</v>
      </c>
      <c r="B32" s="33">
        <f>IF(ISERROR(TER_rest_ele_kWh/1000),0,TER_rest_ele_kWh/1000)</f>
        <v>12817.45961</v>
      </c>
      <c r="C32" s="39">
        <f>IF(ISERROR(B32*3.6/1000000/'E Balans VL '!Z8*100),0,B32*3.6/1000000/'E Balans VL '!Z8*100)</f>
        <v>0.10499801833082922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60540.357283000005</v>
      </c>
      <c r="C5" s="17">
        <f>IF(ISERROR('Eigen informatie GS &amp; warmtenet'!B61),0,'Eigen informatie GS &amp; warmtenet'!B61)</f>
        <v>0</v>
      </c>
      <c r="D5" s="30">
        <f>SUM(D6:D15)</f>
        <v>30681.917815802</v>
      </c>
      <c r="E5" s="17">
        <f>SUM(E6:E15)</f>
        <v>9094.0699610464617</v>
      </c>
      <c r="F5" s="17">
        <f>SUM(F6:F15)</f>
        <v>28436.81125805488</v>
      </c>
      <c r="G5" s="18"/>
      <c r="H5" s="17"/>
      <c r="I5" s="17"/>
      <c r="J5" s="17">
        <f>SUM(J6:J15)</f>
        <v>270.73439047179625</v>
      </c>
      <c r="K5" s="17"/>
      <c r="L5" s="17"/>
      <c r="M5" s="17"/>
      <c r="N5" s="17">
        <f>SUM(N6:N15)</f>
        <v>3261.0558110821121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651.90890400000001</v>
      </c>
      <c r="C8" s="33"/>
      <c r="D8" s="37">
        <f>IF( ISERROR(IND_metaal_Gas_kWH/1000),0,IND_metaal_Gas_kWH/1000)*0.902</f>
        <v>772.9884264960001</v>
      </c>
      <c r="E8" s="33">
        <f>C30*'E Balans VL '!I18/100/3.6*1000000</f>
        <v>4.7030651899285223</v>
      </c>
      <c r="F8" s="33">
        <f>C30*'E Balans VL '!L18/100/3.6*1000000+C30*'E Balans VL '!N18/100/3.6*1000000</f>
        <v>61.658561960238899</v>
      </c>
      <c r="G8" s="34"/>
      <c r="H8" s="33"/>
      <c r="I8" s="33"/>
      <c r="J8" s="40">
        <f>C30*'E Balans VL '!D18/100/3.6*1000000+C30*'E Balans VL '!E18/100/3.6*1000000</f>
        <v>0.65569376401499546</v>
      </c>
      <c r="K8" s="33"/>
      <c r="L8" s="33"/>
      <c r="M8" s="33"/>
      <c r="N8" s="33">
        <f>C30*'E Balans VL '!Y18/100/3.6*1000000</f>
        <v>8.2418533272385091</v>
      </c>
      <c r="O8" s="33"/>
      <c r="P8" s="33"/>
      <c r="R8" s="32"/>
    </row>
    <row r="9" spans="1:18">
      <c r="A9" s="6" t="s">
        <v>32</v>
      </c>
      <c r="B9" s="37">
        <f t="shared" si="0"/>
        <v>27284.335739999999</v>
      </c>
      <c r="C9" s="33"/>
      <c r="D9" s="37">
        <f>IF( ISERROR(IND_andere_gas_kWh/1000),0,IND_andere_gas_kWh/1000)*0.902</f>
        <v>1980.0664844180001</v>
      </c>
      <c r="E9" s="33">
        <f>C31*'E Balans VL '!I19/100/3.6*1000000</f>
        <v>7560.8542708304694</v>
      </c>
      <c r="F9" s="33">
        <f>C31*'E Balans VL '!L19/100/3.6*1000000+C31*'E Balans VL '!N19/100/3.6*1000000</f>
        <v>22613.316423215951</v>
      </c>
      <c r="G9" s="34"/>
      <c r="H9" s="33"/>
      <c r="I9" s="33"/>
      <c r="J9" s="40">
        <f>C31*'E Balans VL '!D19/100/3.6*1000000+C31*'E Balans VL '!E19/100/3.6*1000000</f>
        <v>0</v>
      </c>
      <c r="K9" s="33"/>
      <c r="L9" s="33"/>
      <c r="M9" s="33"/>
      <c r="N9" s="33">
        <f>C31*'E Balans VL '!Y19/100/3.6*1000000</f>
        <v>1980.5090511695669</v>
      </c>
      <c r="O9" s="33"/>
      <c r="P9" s="33"/>
      <c r="R9" s="32"/>
    </row>
    <row r="10" spans="1:18">
      <c r="A10" s="6" t="s">
        <v>40</v>
      </c>
      <c r="B10" s="37">
        <f t="shared" si="0"/>
        <v>244.69868100000002</v>
      </c>
      <c r="C10" s="33"/>
      <c r="D10" s="37">
        <f>IF( ISERROR(IND_voed_gas_kWh/1000),0,IND_voed_gas_kWh/1000)*0.902</f>
        <v>105.73511894000001</v>
      </c>
      <c r="E10" s="33">
        <f>C32*'E Balans VL '!I20/100/3.6*1000000</f>
        <v>0.43319955012723399</v>
      </c>
      <c r="F10" s="33">
        <f>C32*'E Balans VL '!L20/100/3.6*1000000+C32*'E Balans VL '!N20/100/3.6*1000000</f>
        <v>13.215897518955746</v>
      </c>
      <c r="G10" s="34"/>
      <c r="H10" s="33"/>
      <c r="I10" s="33"/>
      <c r="J10" s="40">
        <f>C32*'E Balans VL '!D20/100/3.6*1000000+C32*'E Balans VL '!E20/100/3.6*1000000</f>
        <v>0</v>
      </c>
      <c r="K10" s="33"/>
      <c r="L10" s="33"/>
      <c r="M10" s="33"/>
      <c r="N10" s="33">
        <f>C32*'E Balans VL '!Y20/100/3.6*1000000</f>
        <v>14.218862153213548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27.195468000000002</v>
      </c>
      <c r="C13" s="33"/>
      <c r="D13" s="37">
        <f>IF( ISERROR(IND_papier_gas_kWh/1000),0,IND_papier_gas_kWh/1000)*0.902</f>
        <v>82.897465728</v>
      </c>
      <c r="E13" s="33">
        <f>C35*'E Balans VL '!I23/100/3.6*1000000</f>
        <v>4.0013871812590536E-2</v>
      </c>
      <c r="F13" s="33">
        <f>C35*'E Balans VL '!L23/100/3.6*1000000+C35*'E Balans VL '!N23/100/3.6*1000000</f>
        <v>0.29119021203625278</v>
      </c>
      <c r="G13" s="34"/>
      <c r="H13" s="33"/>
      <c r="I13" s="33"/>
      <c r="J13" s="40">
        <f>C35*'E Balans VL '!D23/100/3.6*1000000+C35*'E Balans VL '!E23/100/3.6*1000000</f>
        <v>2.9753367034041269</v>
      </c>
      <c r="K13" s="33"/>
      <c r="L13" s="33"/>
      <c r="M13" s="33"/>
      <c r="N13" s="33">
        <f>C35*'E Balans VL '!Y23/100/3.6*1000000</f>
        <v>-0.24636763716238608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32332.218489999999</v>
      </c>
      <c r="C15" s="33"/>
      <c r="D15" s="37">
        <f>IF( ISERROR(IND_rest_gas_kWh/1000),0,IND_rest_gas_kWh/1000)*0.902</f>
        <v>27740.230320220002</v>
      </c>
      <c r="E15" s="33">
        <f>C37*'E Balans VL '!I15/100/3.6*1000000</f>
        <v>1528.0394116041243</v>
      </c>
      <c r="F15" s="33">
        <f>C37*'E Balans VL '!L15/100/3.6*1000000+C37*'E Balans VL '!N15/100/3.6*1000000</f>
        <v>5748.3291851477015</v>
      </c>
      <c r="G15" s="34"/>
      <c r="H15" s="33"/>
      <c r="I15" s="33"/>
      <c r="J15" s="40">
        <f>C37*'E Balans VL '!D15/100/3.6*1000000+C37*'E Balans VL '!E15/100/3.6*1000000</f>
        <v>267.10336000437712</v>
      </c>
      <c r="K15" s="33"/>
      <c r="L15" s="33"/>
      <c r="M15" s="33"/>
      <c r="N15" s="33">
        <f>C37*'E Balans VL '!Y15/100/3.6*1000000</f>
        <v>1258.3324120692557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60540.357283000005</v>
      </c>
      <c r="C18" s="21">
        <f>C5+C16</f>
        <v>0</v>
      </c>
      <c r="D18" s="21">
        <f>MAX((D5+D16),0)</f>
        <v>30681.917815802</v>
      </c>
      <c r="E18" s="21">
        <f>MAX((E5+E16),0)</f>
        <v>9094.0699610464617</v>
      </c>
      <c r="F18" s="21">
        <f>MAX((F5+F16),0)</f>
        <v>28436.81125805488</v>
      </c>
      <c r="G18" s="21"/>
      <c r="H18" s="21"/>
      <c r="I18" s="21"/>
      <c r="J18" s="21">
        <f>MAX((J5+J16),0)</f>
        <v>270.73439047179625</v>
      </c>
      <c r="K18" s="21"/>
      <c r="L18" s="21">
        <f>MAX((L5+L16),0)</f>
        <v>0</v>
      </c>
      <c r="M18" s="21"/>
      <c r="N18" s="21">
        <f>MAX((N5+N16),0)</f>
        <v>3261.0558110821121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0.179827139745588</v>
      </c>
      <c r="C20" s="25">
        <f ca="1">'EF ele_warmte'!B22</f>
        <v>0.10458823529411765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10886.799289377868</v>
      </c>
      <c r="C22" s="23">
        <f ca="1">C18*C20</f>
        <v>0</v>
      </c>
      <c r="D22" s="23">
        <f>D18*D20</f>
        <v>6197.7473987920048</v>
      </c>
      <c r="E22" s="23">
        <f>E18*E20</f>
        <v>2064.3538811575468</v>
      </c>
      <c r="F22" s="23">
        <f>F18*F20</f>
        <v>7592.6286059006534</v>
      </c>
      <c r="G22" s="23"/>
      <c r="H22" s="23"/>
      <c r="I22" s="23"/>
      <c r="J22" s="23">
        <f>J18*J20</f>
        <v>95.839974227015873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651.90890400000001</v>
      </c>
      <c r="C30" s="39">
        <f>IF(ISERROR(B30*3.6/1000000/'E Balans VL '!Z18*100),0,B30*3.6/1000000/'E Balans VL '!Z18*100)</f>
        <v>3.763368382338203E-2</v>
      </c>
      <c r="D30" s="237" t="s">
        <v>716</v>
      </c>
    </row>
    <row r="31" spans="1:18">
      <c r="A31" s="6" t="s">
        <v>32</v>
      </c>
      <c r="B31" s="37">
        <f>IF( ISERROR(IND_ander_ele_kWh/1000),0,IND_ander_ele_kWh/1000)</f>
        <v>27284.335739999999</v>
      </c>
      <c r="C31" s="39">
        <f>IF(ISERROR(B31*3.6/1000000/'E Balans VL '!Z19*100),0,B31*3.6/1000000/'E Balans VL '!Z19*100)</f>
        <v>1.3723136489721333</v>
      </c>
      <c r="D31" s="237" t="s">
        <v>716</v>
      </c>
    </row>
    <row r="32" spans="1:18">
      <c r="A32" s="171" t="s">
        <v>40</v>
      </c>
      <c r="B32" s="37">
        <f>IF( ISERROR(IND_voed_ele_kWh/1000),0,IND_voed_ele_kWh/1000)</f>
        <v>244.69868100000002</v>
      </c>
      <c r="C32" s="39">
        <f>IF(ISERROR(B32*3.6/1000000/'E Balans VL '!Z20*100),0,B32*3.6/1000000/'E Balans VL '!Z20*100)</f>
        <v>8.1499191587739422E-3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27.195468000000002</v>
      </c>
      <c r="C35" s="39">
        <f>IF(ISERROR(B35*3.6/1000000/'E Balans VL '!Z22*100),0,B35*3.6/1000000/'E Balans VL '!Z22*100)</f>
        <v>5.0728733458705695E-3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32332.218489999999</v>
      </c>
      <c r="C37" s="39">
        <f>IF(ISERROR(B37*3.6/1000000/'E Balans VL '!Z15*100),0,B37*3.6/1000000/'E Balans VL '!Z15*100)</f>
        <v>0.25227972091522521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814.47664499999996</v>
      </c>
      <c r="C5" s="17">
        <f>'Eigen informatie GS &amp; warmtenet'!B62</f>
        <v>0</v>
      </c>
      <c r="D5" s="30">
        <f>IF(ISERROR(SUM(LB_lb_gas_kWh,LB_rest_gas_kWh)/1000),0,SUM(LB_lb_gas_kWh,LB_rest_gas_kWh)/1000)*0.902</f>
        <v>6879.4055181719996</v>
      </c>
      <c r="E5" s="17">
        <f>B17*'E Balans VL '!I25/3.6*1000000/100</f>
        <v>25.419547509186778</v>
      </c>
      <c r="F5" s="17">
        <f>B17*('E Balans VL '!L25/3.6*1000000+'E Balans VL '!N25/3.6*1000000)/100</f>
        <v>2878.4506887188159</v>
      </c>
      <c r="G5" s="18"/>
      <c r="H5" s="17"/>
      <c r="I5" s="17"/>
      <c r="J5" s="17">
        <f>('E Balans VL '!D25+'E Balans VL '!E25)/3.6*1000000*landbouw!B17/100</f>
        <v>224.3939640435313</v>
      </c>
      <c r="K5" s="17"/>
      <c r="L5" s="17">
        <f>L6*(-1)</f>
        <v>0</v>
      </c>
      <c r="M5" s="17"/>
      <c r="N5" s="17">
        <f>N6*(-1)</f>
        <v>14541.428571428572</v>
      </c>
      <c r="O5" s="17"/>
      <c r="P5" s="17"/>
      <c r="R5" s="32"/>
    </row>
    <row r="6" spans="1:18">
      <c r="A6" s="16" t="s">
        <v>482</v>
      </c>
      <c r="B6" s="17" t="s">
        <v>210</v>
      </c>
      <c r="C6" s="17">
        <f>'lokale energieproductie'!O92+'lokale energieproductie'!O61</f>
        <v>7270.7142857142862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814.47664499999996</v>
      </c>
      <c r="C8" s="21">
        <f>C5+C6</f>
        <v>7270.7142857142862</v>
      </c>
      <c r="D8" s="21">
        <f>MAX((D5+D6),0)</f>
        <v>6879.4055181719996</v>
      </c>
      <c r="E8" s="21">
        <f>MAX((E5+E6),0)</f>
        <v>25.419547509186778</v>
      </c>
      <c r="F8" s="21">
        <f>MAX((F5+F6),0)</f>
        <v>2878.4506887188159</v>
      </c>
      <c r="G8" s="21"/>
      <c r="H8" s="21"/>
      <c r="I8" s="21"/>
      <c r="J8" s="21">
        <f>MAX((J5+J6),0)</f>
        <v>224.3939640435313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0.179827139745588</v>
      </c>
      <c r="C10" s="31">
        <f ca="1">'EF ele_warmte'!B22</f>
        <v>0.10458823529411765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146.46500545993266</v>
      </c>
      <c r="C12" s="23">
        <f ca="1">C8*C10</f>
        <v>760.4311764705883</v>
      </c>
      <c r="D12" s="23">
        <f>D8*D10</f>
        <v>1389.639914670744</v>
      </c>
      <c r="E12" s="23">
        <f>E8*E10</f>
        <v>5.7702372845853986</v>
      </c>
      <c r="F12" s="23">
        <f>F8*F10</f>
        <v>768.54633388792388</v>
      </c>
      <c r="G12" s="23"/>
      <c r="H12" s="23"/>
      <c r="I12" s="23"/>
      <c r="J12" s="23">
        <f>J8*J10</f>
        <v>79.435463271410072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0.12107779200089777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102.3993600800123</v>
      </c>
      <c r="C26" s="247">
        <f>B26*'GWP N2O_CH4'!B5</f>
        <v>2150.3865616802582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27.090369172799917</v>
      </c>
      <c r="C27" s="247">
        <f>B27*'GWP N2O_CH4'!B5</f>
        <v>568.89775262879823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1.2450177448333837</v>
      </c>
      <c r="C28" s="247">
        <f>B28*'GWP N2O_CH4'!B4</f>
        <v>385.95550089834893</v>
      </c>
      <c r="D28" s="50"/>
    </row>
    <row r="29" spans="1:4">
      <c r="A29" s="41" t="s">
        <v>276</v>
      </c>
      <c r="B29" s="247">
        <f>B34*'ha_N2O bodem landbouw'!B4</f>
        <v>11.034765115216096</v>
      </c>
      <c r="C29" s="247">
        <f>B29*'GWP N2O_CH4'!B4</f>
        <v>3420.7771857169901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2.4197253132881946E-3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1.2987876324999999E-3</v>
      </c>
      <c r="C5" s="463" t="s">
        <v>210</v>
      </c>
      <c r="D5" s="448">
        <f>SUM(D6:D11)</f>
        <v>5.4805256613123521E-3</v>
      </c>
      <c r="E5" s="448">
        <f>SUM(E6:E11)</f>
        <v>4.5120770909586249E-3</v>
      </c>
      <c r="F5" s="461" t="s">
        <v>210</v>
      </c>
      <c r="G5" s="448">
        <f>SUM(G6:G11)</f>
        <v>1.63849656402</v>
      </c>
      <c r="H5" s="448">
        <f>SUM(H6:H11)</f>
        <v>0.41254222192532441</v>
      </c>
      <c r="I5" s="463" t="s">
        <v>210</v>
      </c>
      <c r="J5" s="463" t="s">
        <v>210</v>
      </c>
      <c r="K5" s="463" t="s">
        <v>210</v>
      </c>
      <c r="L5" s="463" t="s">
        <v>210</v>
      </c>
      <c r="M5" s="448">
        <f>SUM(M6:M11)</f>
        <v>0.12159286549706889</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5.1834837742499996E-4</v>
      </c>
      <c r="C6" s="449"/>
      <c r="D6" s="917">
        <f>vkm_2011_GW_PW*SUMIFS(TableVerdeelsleutelVkm[CNG],TableVerdeelsleutelVkm[Voertuigtype],"Lichte voertuigen")*SUMIFS(TableECFTransport[EnergieConsumptieFactor (PJ per km)],TableECFTransport[Index],CONCATENATE($A6,"_CNG_CNG"))</f>
        <v>1.80238559987178E-3</v>
      </c>
      <c r="E6" s="917">
        <f>vkm_2011_GW_PW*SUMIFS(TableVerdeelsleutelVkm[LPG],TableVerdeelsleutelVkm[Voertuigtype],"Lichte voertuigen")*SUMIFS(TableECFTransport[EnergieConsumptieFactor (PJ per km)],TableECFTransport[Index],CONCATENATE($A6,"_LPG_LPG"))</f>
        <v>1.4199829003259999E-3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0.38653585623582165</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0.13526187657432631</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3.1180694215797645E-2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0.20206000156043966</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5.0905425747931831E-5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1.1651410969380785E-2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3.3439974320999998E-4</v>
      </c>
      <c r="C8" s="449"/>
      <c r="D8" s="451">
        <f>vkm_2011_NGW_PW*SUMIFS(TableVerdeelsleutelVkm[CNG],TableVerdeelsleutelVkm[Voertuigtype],"Lichte voertuigen")*SUMIFS(TableECFTransport[EnergieConsumptieFactor (PJ per km)],TableECFTransport[Index],CONCATENATE($A8,"_CNG_CNG"))</f>
        <v>2.0577951011217601E-3</v>
      </c>
      <c r="E8" s="451">
        <f>vkm_2011_NGW_PW*SUMIFS(TableVerdeelsleutelVkm[LPG],TableVerdeelsleutelVkm[Voertuigtype],"Lichte voertuigen")*SUMIFS(TableECFTransport[EnergieConsumptieFactor (PJ per km)],TableECFTransport[Index],CONCATENATE($A8,"_LPG_LPG"))</f>
        <v>1.50295579726695E-3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0.37965278632087379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0.15047717439323127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3.1784851032341396E-2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9.9100311965417895E-2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2.355731744146651E-5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5.7143408913611637E-3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4.46039511865E-4</v>
      </c>
      <c r="C10" s="449"/>
      <c r="D10" s="451">
        <f>vkm_2011_SW_PW*SUMIFS(TableVerdeelsleutelVkm[CNG],TableVerdeelsleutelVkm[Voertuigtype],"Lichte voertuigen")*SUMIFS(TableECFTransport[EnergieConsumptieFactor (PJ per km)],TableECFTransport[Index],CONCATENATE($A10,"_CNG_CNG"))</f>
        <v>1.620344960318812E-3</v>
      </c>
      <c r="E10" s="451">
        <f>vkm_2011_SW_PW*SUMIFS(TableVerdeelsleutelVkm[LPG],TableVerdeelsleutelVkm[Voertuigtype],"Lichte voertuigen")*SUMIFS(TableECFTransport[EnergieConsumptieFactor (PJ per km)],TableECFTransport[Index],CONCATENATE($A10,"_LPG_LPG"))</f>
        <v>1.589138393365675E-3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0.38426214502755579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0.12667771415342452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3.048491140101612E-2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0.18688546290989105</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5.099406115296194E-5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1.0776656987171798E-2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360.77434236111105</v>
      </c>
      <c r="C14" s="21"/>
      <c r="D14" s="21">
        <f t="shared" ref="D14:M14" si="0">((D5)*10^9/3600)+D12</f>
        <v>1522.3682392534311</v>
      </c>
      <c r="E14" s="21">
        <f t="shared" si="0"/>
        <v>1253.354747488507</v>
      </c>
      <c r="F14" s="21"/>
      <c r="G14" s="21">
        <f t="shared" si="0"/>
        <v>455137.93445</v>
      </c>
      <c r="H14" s="21">
        <f t="shared" si="0"/>
        <v>114595.06164592346</v>
      </c>
      <c r="I14" s="21"/>
      <c r="J14" s="21"/>
      <c r="K14" s="21"/>
      <c r="L14" s="21"/>
      <c r="M14" s="21">
        <f t="shared" si="0"/>
        <v>33775.795971408028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0.179827139745588</v>
      </c>
      <c r="C16" s="56">
        <f ca="1">'EF ele_warmte'!B22</f>
        <v>0.10458823529411765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64.877018080394123</v>
      </c>
      <c r="C18" s="23"/>
      <c r="D18" s="23">
        <f t="shared" ref="D18:M18" si="1">D14*D16</f>
        <v>307.51838432919311</v>
      </c>
      <c r="E18" s="23">
        <f t="shared" si="1"/>
        <v>284.51152767989112</v>
      </c>
      <c r="F18" s="23"/>
      <c r="G18" s="23">
        <f t="shared" si="1"/>
        <v>121521.82849815</v>
      </c>
      <c r="H18" s="23">
        <f t="shared" si="1"/>
        <v>28534.170349834942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1.3170692667969636E-2</v>
      </c>
      <c r="H50" s="321">
        <f t="shared" si="2"/>
        <v>0</v>
      </c>
      <c r="I50" s="321">
        <f t="shared" si="2"/>
        <v>0</v>
      </c>
      <c r="J50" s="321">
        <f t="shared" si="2"/>
        <v>0</v>
      </c>
      <c r="K50" s="321">
        <f t="shared" si="2"/>
        <v>0</v>
      </c>
      <c r="L50" s="321">
        <f t="shared" si="2"/>
        <v>0</v>
      </c>
      <c r="M50" s="321">
        <f t="shared" si="2"/>
        <v>7.3202855574284163E-4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1.3170692667969636E-2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7.3202855574284163E-4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3658.5257411026764</v>
      </c>
      <c r="H54" s="21">
        <f t="shared" si="3"/>
        <v>0</v>
      </c>
      <c r="I54" s="21">
        <f t="shared" si="3"/>
        <v>0</v>
      </c>
      <c r="J54" s="21">
        <f t="shared" si="3"/>
        <v>0</v>
      </c>
      <c r="K54" s="21">
        <f t="shared" si="3"/>
        <v>0</v>
      </c>
      <c r="L54" s="21">
        <f t="shared" si="3"/>
        <v>0</v>
      </c>
      <c r="M54" s="21">
        <f t="shared" si="3"/>
        <v>203.34126548412269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0.179827139745588</v>
      </c>
      <c r="C56" s="56">
        <f ca="1">'EF ele_warmte'!B22</f>
        <v>0.10458823529411765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976.82637287441469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86959.165853000013</v>
      </c>
      <c r="D10" s="712">
        <f ca="1">tertiair!C16</f>
        <v>5715</v>
      </c>
      <c r="E10" s="712">
        <f ca="1">tertiair!D16</f>
        <v>92299.521031685988</v>
      </c>
      <c r="F10" s="712">
        <f>tertiair!E16</f>
        <v>1708.2266074094666</v>
      </c>
      <c r="G10" s="712">
        <f ca="1">tertiair!F16</f>
        <v>8391.3721983536034</v>
      </c>
      <c r="H10" s="712">
        <f>tertiair!G16</f>
        <v>0</v>
      </c>
      <c r="I10" s="712">
        <f>tertiair!H16</f>
        <v>0</v>
      </c>
      <c r="J10" s="712">
        <f>tertiair!I16</f>
        <v>0</v>
      </c>
      <c r="K10" s="712">
        <f>tertiair!J16</f>
        <v>6.3458702574674355E-2</v>
      </c>
      <c r="L10" s="712">
        <f>tertiair!K16</f>
        <v>0</v>
      </c>
      <c r="M10" s="712">
        <f ca="1">tertiair!L16</f>
        <v>0</v>
      </c>
      <c r="N10" s="712">
        <f>tertiair!M16</f>
        <v>0</v>
      </c>
      <c r="O10" s="712">
        <f ca="1">tertiair!N16</f>
        <v>2522.2509293744511</v>
      </c>
      <c r="P10" s="712">
        <f>tertiair!O16</f>
        <v>0</v>
      </c>
      <c r="Q10" s="713">
        <f>tertiair!P16</f>
        <v>157.61741491948504</v>
      </c>
      <c r="R10" s="715">
        <f ca="1">SUM(C10:Q10)</f>
        <v>197753.21749344561</v>
      </c>
      <c r="S10" s="67"/>
    </row>
    <row r="11" spans="1:19" s="474" customFormat="1">
      <c r="A11" s="834" t="s">
        <v>224</v>
      </c>
      <c r="B11" s="839"/>
      <c r="C11" s="712">
        <f>huishoudens!B8</f>
        <v>60579.583800317749</v>
      </c>
      <c r="D11" s="712">
        <f>huishoudens!C8</f>
        <v>0</v>
      </c>
      <c r="E11" s="712">
        <f>huishoudens!D8</f>
        <v>166354.73953560003</v>
      </c>
      <c r="F11" s="712">
        <f>huishoudens!E8</f>
        <v>7627.6910985191789</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17099.98966384539</v>
      </c>
      <c r="P11" s="712">
        <f>huishoudens!O8</f>
        <v>325.36914797947321</v>
      </c>
      <c r="Q11" s="713">
        <f>huishoudens!P8</f>
        <v>537.23192469193623</v>
      </c>
      <c r="R11" s="715">
        <f>SUM(C11:Q11)</f>
        <v>252524.60517095379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60540.357283000005</v>
      </c>
      <c r="D13" s="712">
        <f>industrie!C18</f>
        <v>0</v>
      </c>
      <c r="E13" s="712">
        <f>industrie!D18</f>
        <v>30681.917815802</v>
      </c>
      <c r="F13" s="712">
        <f>industrie!E18</f>
        <v>9094.0699610464617</v>
      </c>
      <c r="G13" s="712">
        <f>industrie!F18</f>
        <v>28436.81125805488</v>
      </c>
      <c r="H13" s="712">
        <f>industrie!G18</f>
        <v>0</v>
      </c>
      <c r="I13" s="712">
        <f>industrie!H18</f>
        <v>0</v>
      </c>
      <c r="J13" s="712">
        <f>industrie!I18</f>
        <v>0</v>
      </c>
      <c r="K13" s="712">
        <f>industrie!J18</f>
        <v>270.73439047179625</v>
      </c>
      <c r="L13" s="712">
        <f>industrie!K18</f>
        <v>0</v>
      </c>
      <c r="M13" s="712">
        <f>industrie!L18</f>
        <v>0</v>
      </c>
      <c r="N13" s="712">
        <f>industrie!M18</f>
        <v>0</v>
      </c>
      <c r="O13" s="712">
        <f>industrie!N18</f>
        <v>3261.0558110821121</v>
      </c>
      <c r="P13" s="712">
        <f>industrie!O18</f>
        <v>0</v>
      </c>
      <c r="Q13" s="713">
        <f>industrie!P18</f>
        <v>0</v>
      </c>
      <c r="R13" s="715">
        <f>SUM(C13:Q13)</f>
        <v>132284.94651945724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208079.10693631775</v>
      </c>
      <c r="D16" s="748">
        <f t="shared" ref="D16:R16" ca="1" si="0">SUM(D9:D15)</f>
        <v>5715</v>
      </c>
      <c r="E16" s="748">
        <f t="shared" ca="1" si="0"/>
        <v>289336.17838308803</v>
      </c>
      <c r="F16" s="748">
        <f t="shared" si="0"/>
        <v>18429.987666975107</v>
      </c>
      <c r="G16" s="748">
        <f t="shared" ca="1" si="0"/>
        <v>36828.183456408486</v>
      </c>
      <c r="H16" s="748">
        <f t="shared" si="0"/>
        <v>0</v>
      </c>
      <c r="I16" s="748">
        <f t="shared" si="0"/>
        <v>0</v>
      </c>
      <c r="J16" s="748">
        <f t="shared" si="0"/>
        <v>0</v>
      </c>
      <c r="K16" s="748">
        <f t="shared" si="0"/>
        <v>270.79784917437092</v>
      </c>
      <c r="L16" s="748">
        <f t="shared" si="0"/>
        <v>0</v>
      </c>
      <c r="M16" s="748">
        <f t="shared" ca="1" si="0"/>
        <v>0</v>
      </c>
      <c r="N16" s="748">
        <f t="shared" si="0"/>
        <v>0</v>
      </c>
      <c r="O16" s="748">
        <f t="shared" ca="1" si="0"/>
        <v>22883.296404301953</v>
      </c>
      <c r="P16" s="748">
        <f t="shared" si="0"/>
        <v>325.36914797947321</v>
      </c>
      <c r="Q16" s="748">
        <f t="shared" si="0"/>
        <v>694.84933961142133</v>
      </c>
      <c r="R16" s="748">
        <f t="shared" ca="1" si="0"/>
        <v>582562.76918385667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3658.5257411026764</v>
      </c>
      <c r="I19" s="712">
        <f>transport!H54</f>
        <v>0</v>
      </c>
      <c r="J19" s="712">
        <f>transport!I54</f>
        <v>0</v>
      </c>
      <c r="K19" s="712">
        <f>transport!J54</f>
        <v>0</v>
      </c>
      <c r="L19" s="712">
        <f>transport!K54</f>
        <v>0</v>
      </c>
      <c r="M19" s="712">
        <f>transport!L54</f>
        <v>0</v>
      </c>
      <c r="N19" s="712">
        <f>transport!M54</f>
        <v>203.34126548412269</v>
      </c>
      <c r="O19" s="712">
        <f>transport!N54</f>
        <v>0</v>
      </c>
      <c r="P19" s="712">
        <f>transport!O54</f>
        <v>0</v>
      </c>
      <c r="Q19" s="713">
        <f>transport!P54</f>
        <v>0</v>
      </c>
      <c r="R19" s="715">
        <f>SUM(C19:Q19)</f>
        <v>3861.8670065867991</v>
      </c>
      <c r="S19" s="67"/>
    </row>
    <row r="20" spans="1:19" s="474" customFormat="1">
      <c r="A20" s="834" t="s">
        <v>306</v>
      </c>
      <c r="B20" s="839"/>
      <c r="C20" s="712">
        <f>transport!B14</f>
        <v>360.77434236111105</v>
      </c>
      <c r="D20" s="712">
        <f>transport!C14</f>
        <v>0</v>
      </c>
      <c r="E20" s="712">
        <f>transport!D14</f>
        <v>1522.3682392534311</v>
      </c>
      <c r="F20" s="712">
        <f>transport!E14</f>
        <v>1253.354747488507</v>
      </c>
      <c r="G20" s="712">
        <f>transport!F14</f>
        <v>0</v>
      </c>
      <c r="H20" s="712">
        <f>transport!G14</f>
        <v>455137.93445</v>
      </c>
      <c r="I20" s="712">
        <f>transport!H14</f>
        <v>114595.06164592346</v>
      </c>
      <c r="J20" s="712">
        <f>transport!I14</f>
        <v>0</v>
      </c>
      <c r="K20" s="712">
        <f>transport!J14</f>
        <v>0</v>
      </c>
      <c r="L20" s="712">
        <f>transport!K14</f>
        <v>0</v>
      </c>
      <c r="M20" s="712">
        <f>transport!L14</f>
        <v>0</v>
      </c>
      <c r="N20" s="712">
        <f>transport!M14</f>
        <v>33775.795971408028</v>
      </c>
      <c r="O20" s="712">
        <f>transport!N14</f>
        <v>0</v>
      </c>
      <c r="P20" s="712">
        <f>transport!O14</f>
        <v>0</v>
      </c>
      <c r="Q20" s="713">
        <f>transport!P14</f>
        <v>0</v>
      </c>
      <c r="R20" s="715">
        <f>SUM(C20:Q20)</f>
        <v>606645.28939643456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360.77434236111105</v>
      </c>
      <c r="D22" s="837">
        <f t="shared" ref="D22:R22" si="1">SUM(D18:D21)</f>
        <v>0</v>
      </c>
      <c r="E22" s="837">
        <f t="shared" si="1"/>
        <v>1522.3682392534311</v>
      </c>
      <c r="F22" s="837">
        <f t="shared" si="1"/>
        <v>1253.354747488507</v>
      </c>
      <c r="G22" s="837">
        <f t="shared" si="1"/>
        <v>0</v>
      </c>
      <c r="H22" s="837">
        <f t="shared" si="1"/>
        <v>458796.4601911027</v>
      </c>
      <c r="I22" s="837">
        <f t="shared" si="1"/>
        <v>114595.06164592346</v>
      </c>
      <c r="J22" s="837">
        <f t="shared" si="1"/>
        <v>0</v>
      </c>
      <c r="K22" s="837">
        <f t="shared" si="1"/>
        <v>0</v>
      </c>
      <c r="L22" s="837">
        <f t="shared" si="1"/>
        <v>0</v>
      </c>
      <c r="M22" s="837">
        <f t="shared" si="1"/>
        <v>0</v>
      </c>
      <c r="N22" s="837">
        <f t="shared" si="1"/>
        <v>33979.137236892151</v>
      </c>
      <c r="O22" s="837">
        <f t="shared" si="1"/>
        <v>0</v>
      </c>
      <c r="P22" s="837">
        <f t="shared" si="1"/>
        <v>0</v>
      </c>
      <c r="Q22" s="837">
        <f t="shared" si="1"/>
        <v>0</v>
      </c>
      <c r="R22" s="837">
        <f t="shared" si="1"/>
        <v>610507.1564030213</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814.47664499999996</v>
      </c>
      <c r="D24" s="712">
        <f>+landbouw!C8</f>
        <v>7270.7142857142862</v>
      </c>
      <c r="E24" s="712">
        <f>+landbouw!D8</f>
        <v>6879.4055181719996</v>
      </c>
      <c r="F24" s="712">
        <f>+landbouw!E8</f>
        <v>25.419547509186778</v>
      </c>
      <c r="G24" s="712">
        <f>+landbouw!F8</f>
        <v>2878.4506887188159</v>
      </c>
      <c r="H24" s="712">
        <f>+landbouw!G8</f>
        <v>0</v>
      </c>
      <c r="I24" s="712">
        <f>+landbouw!H8</f>
        <v>0</v>
      </c>
      <c r="J24" s="712">
        <f>+landbouw!I8</f>
        <v>0</v>
      </c>
      <c r="K24" s="712">
        <f>+landbouw!J8</f>
        <v>224.3939640435313</v>
      </c>
      <c r="L24" s="712">
        <f>+landbouw!K8</f>
        <v>0</v>
      </c>
      <c r="M24" s="712">
        <f>+landbouw!L8</f>
        <v>0</v>
      </c>
      <c r="N24" s="712">
        <f>+landbouw!M8</f>
        <v>0</v>
      </c>
      <c r="O24" s="712">
        <f>+landbouw!N8</f>
        <v>0</v>
      </c>
      <c r="P24" s="712">
        <f>+landbouw!O8</f>
        <v>0</v>
      </c>
      <c r="Q24" s="713">
        <f>+landbouw!P8</f>
        <v>0</v>
      </c>
      <c r="R24" s="715">
        <f>SUM(C24:Q24)</f>
        <v>18092.860649157818</v>
      </c>
      <c r="S24" s="67"/>
    </row>
    <row r="25" spans="1:19" s="474" customFormat="1" ht="15" thickBot="1">
      <c r="A25" s="856" t="s">
        <v>734</v>
      </c>
      <c r="B25" s="982"/>
      <c r="C25" s="983">
        <f>IF(Onbekend_ele_kWh="---",0,Onbekend_ele_kWh)/1000+IF(REST_rest_ele_kWh="---",0,REST_rest_ele_kWh)/1000</f>
        <v>1954.8685090000001</v>
      </c>
      <c r="D25" s="983"/>
      <c r="E25" s="983">
        <f>IF(onbekend_gas_kWh="---",0,onbekend_gas_kWh)/1000+IF(REST_rest_gas_kWh="---",0,REST_rest_gas_kWh)/1000</f>
        <v>6913.500677</v>
      </c>
      <c r="F25" s="983"/>
      <c r="G25" s="983"/>
      <c r="H25" s="983"/>
      <c r="I25" s="983"/>
      <c r="J25" s="983"/>
      <c r="K25" s="983"/>
      <c r="L25" s="983"/>
      <c r="M25" s="983"/>
      <c r="N25" s="983"/>
      <c r="O25" s="983"/>
      <c r="P25" s="983"/>
      <c r="Q25" s="984"/>
      <c r="R25" s="715">
        <f>SUM(C25:Q25)</f>
        <v>8868.3691859999999</v>
      </c>
      <c r="S25" s="67"/>
    </row>
    <row r="26" spans="1:19" s="474" customFormat="1" ht="15.75" thickBot="1">
      <c r="A26" s="720" t="s">
        <v>735</v>
      </c>
      <c r="B26" s="842"/>
      <c r="C26" s="837">
        <f>SUM(C24:C25)</f>
        <v>2769.3451540000001</v>
      </c>
      <c r="D26" s="837">
        <f t="shared" ref="D26:R26" si="2">SUM(D24:D25)</f>
        <v>7270.7142857142862</v>
      </c>
      <c r="E26" s="837">
        <f t="shared" si="2"/>
        <v>13792.906195172</v>
      </c>
      <c r="F26" s="837">
        <f t="shared" si="2"/>
        <v>25.419547509186778</v>
      </c>
      <c r="G26" s="837">
        <f t="shared" si="2"/>
        <v>2878.4506887188159</v>
      </c>
      <c r="H26" s="837">
        <f t="shared" si="2"/>
        <v>0</v>
      </c>
      <c r="I26" s="837">
        <f t="shared" si="2"/>
        <v>0</v>
      </c>
      <c r="J26" s="837">
        <f t="shared" si="2"/>
        <v>0</v>
      </c>
      <c r="K26" s="837">
        <f t="shared" si="2"/>
        <v>224.3939640435313</v>
      </c>
      <c r="L26" s="837">
        <f t="shared" si="2"/>
        <v>0</v>
      </c>
      <c r="M26" s="837">
        <f t="shared" si="2"/>
        <v>0</v>
      </c>
      <c r="N26" s="837">
        <f t="shared" si="2"/>
        <v>0</v>
      </c>
      <c r="O26" s="837">
        <f t="shared" si="2"/>
        <v>0</v>
      </c>
      <c r="P26" s="837">
        <f t="shared" si="2"/>
        <v>0</v>
      </c>
      <c r="Q26" s="837">
        <f t="shared" si="2"/>
        <v>0</v>
      </c>
      <c r="R26" s="837">
        <f t="shared" si="2"/>
        <v>26961.229835157817</v>
      </c>
      <c r="S26" s="67"/>
    </row>
    <row r="27" spans="1:19" s="474" customFormat="1" ht="17.25" thickTop="1" thickBot="1">
      <c r="A27" s="721" t="s">
        <v>115</v>
      </c>
      <c r="B27" s="829"/>
      <c r="C27" s="722">
        <f ca="1">C22+C16+C26</f>
        <v>211209.22643267887</v>
      </c>
      <c r="D27" s="722">
        <f t="shared" ref="D27:R27" ca="1" si="3">D22+D16+D26</f>
        <v>12985.714285714286</v>
      </c>
      <c r="E27" s="722">
        <f t="shared" ca="1" si="3"/>
        <v>304651.45281751343</v>
      </c>
      <c r="F27" s="722">
        <f t="shared" si="3"/>
        <v>19708.761961972799</v>
      </c>
      <c r="G27" s="722">
        <f t="shared" ca="1" si="3"/>
        <v>39706.634145127304</v>
      </c>
      <c r="H27" s="722">
        <f t="shared" si="3"/>
        <v>458796.4601911027</v>
      </c>
      <c r="I27" s="722">
        <f t="shared" si="3"/>
        <v>114595.06164592346</v>
      </c>
      <c r="J27" s="722">
        <f t="shared" si="3"/>
        <v>0</v>
      </c>
      <c r="K27" s="722">
        <f t="shared" si="3"/>
        <v>495.19181321790222</v>
      </c>
      <c r="L27" s="722">
        <f t="shared" si="3"/>
        <v>0</v>
      </c>
      <c r="M27" s="722">
        <f t="shared" ca="1" si="3"/>
        <v>0</v>
      </c>
      <c r="N27" s="722">
        <f t="shared" si="3"/>
        <v>33979.137236892151</v>
      </c>
      <c r="O27" s="722">
        <f t="shared" ca="1" si="3"/>
        <v>22883.296404301953</v>
      </c>
      <c r="P27" s="722">
        <f t="shared" si="3"/>
        <v>325.36914797947321</v>
      </c>
      <c r="Q27" s="722">
        <f t="shared" si="3"/>
        <v>694.84933961142133</v>
      </c>
      <c r="R27" s="722">
        <f t="shared" ca="1" si="3"/>
        <v>1220031.1554220356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15637.618070007196</v>
      </c>
      <c r="D40" s="712">
        <f ca="1">tertiair!C20</f>
        <v>597.72176470588238</v>
      </c>
      <c r="E40" s="712">
        <f ca="1">tertiair!D20</f>
        <v>18644.503248400571</v>
      </c>
      <c r="F40" s="712">
        <f>tertiair!E20</f>
        <v>387.76743988194892</v>
      </c>
      <c r="G40" s="712">
        <f ca="1">tertiair!F20</f>
        <v>2240.4963769604124</v>
      </c>
      <c r="H40" s="712">
        <f>tertiair!G20</f>
        <v>0</v>
      </c>
      <c r="I40" s="712">
        <f>tertiair!H20</f>
        <v>0</v>
      </c>
      <c r="J40" s="712">
        <f>tertiair!I20</f>
        <v>0</v>
      </c>
      <c r="K40" s="712">
        <f>tertiair!J20</f>
        <v>2.2464380711434719E-2</v>
      </c>
      <c r="L40" s="712">
        <f>tertiair!K20</f>
        <v>0</v>
      </c>
      <c r="M40" s="712">
        <f ca="1">tertiair!L20</f>
        <v>0</v>
      </c>
      <c r="N40" s="712">
        <f>tertiair!M20</f>
        <v>0</v>
      </c>
      <c r="O40" s="712">
        <f ca="1">tertiair!N20</f>
        <v>0</v>
      </c>
      <c r="P40" s="712">
        <f>tertiair!O20</f>
        <v>0</v>
      </c>
      <c r="Q40" s="795">
        <f>tertiair!P20</f>
        <v>0</v>
      </c>
      <c r="R40" s="875">
        <f t="shared" ca="1" si="4"/>
        <v>37508.129364336724</v>
      </c>
    </row>
    <row r="41" spans="1:18">
      <c r="A41" s="847" t="s">
        <v>224</v>
      </c>
      <c r="B41" s="854"/>
      <c r="C41" s="712">
        <f ca="1">huishoudens!B12</f>
        <v>10893.853281789299</v>
      </c>
      <c r="D41" s="712">
        <f ca="1">huishoudens!C12</f>
        <v>0</v>
      </c>
      <c r="E41" s="712">
        <f>huishoudens!D12</f>
        <v>33603.657386191211</v>
      </c>
      <c r="F41" s="712">
        <f>huishoudens!E12</f>
        <v>1731.4858793638537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46228.996547344366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10886.799289377868</v>
      </c>
      <c r="D43" s="712">
        <f ca="1">industrie!C22</f>
        <v>0</v>
      </c>
      <c r="E43" s="712">
        <f>industrie!D22</f>
        <v>6197.7473987920048</v>
      </c>
      <c r="F43" s="712">
        <f>industrie!E22</f>
        <v>2064.3538811575468</v>
      </c>
      <c r="G43" s="712">
        <f>industrie!F22</f>
        <v>7592.6286059006534</v>
      </c>
      <c r="H43" s="712">
        <f>industrie!G22</f>
        <v>0</v>
      </c>
      <c r="I43" s="712">
        <f>industrie!H22</f>
        <v>0</v>
      </c>
      <c r="J43" s="712">
        <f>industrie!I22</f>
        <v>0</v>
      </c>
      <c r="K43" s="712">
        <f>industrie!J22</f>
        <v>95.839974227015873</v>
      </c>
      <c r="L43" s="712">
        <f>industrie!K22</f>
        <v>0</v>
      </c>
      <c r="M43" s="712">
        <f>industrie!L22</f>
        <v>0</v>
      </c>
      <c r="N43" s="712">
        <f>industrie!M22</f>
        <v>0</v>
      </c>
      <c r="O43" s="712">
        <f>industrie!N22</f>
        <v>0</v>
      </c>
      <c r="P43" s="712">
        <f>industrie!O22</f>
        <v>0</v>
      </c>
      <c r="Q43" s="795">
        <f>industrie!P22</f>
        <v>0</v>
      </c>
      <c r="R43" s="874">
        <f t="shared" ca="1" si="4"/>
        <v>26837.369149455088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37418.270641174364</v>
      </c>
      <c r="D46" s="748">
        <f t="shared" ref="D46:Q46" ca="1" si="5">SUM(D39:D45)</f>
        <v>597.72176470588238</v>
      </c>
      <c r="E46" s="748">
        <f t="shared" ca="1" si="5"/>
        <v>58445.908033383785</v>
      </c>
      <c r="F46" s="748">
        <f t="shared" si="5"/>
        <v>4183.6072004033495</v>
      </c>
      <c r="G46" s="748">
        <f t="shared" ca="1" si="5"/>
        <v>9833.1249828610653</v>
      </c>
      <c r="H46" s="748">
        <f t="shared" si="5"/>
        <v>0</v>
      </c>
      <c r="I46" s="748">
        <f t="shared" si="5"/>
        <v>0</v>
      </c>
      <c r="J46" s="748">
        <f t="shared" si="5"/>
        <v>0</v>
      </c>
      <c r="K46" s="748">
        <f t="shared" si="5"/>
        <v>95.862438607727313</v>
      </c>
      <c r="L46" s="748">
        <f t="shared" si="5"/>
        <v>0</v>
      </c>
      <c r="M46" s="748">
        <f t="shared" ca="1" si="5"/>
        <v>0</v>
      </c>
      <c r="N46" s="748">
        <f t="shared" si="5"/>
        <v>0</v>
      </c>
      <c r="O46" s="748">
        <f t="shared" ca="1" si="5"/>
        <v>0</v>
      </c>
      <c r="P46" s="748">
        <f t="shared" si="5"/>
        <v>0</v>
      </c>
      <c r="Q46" s="748">
        <f t="shared" si="5"/>
        <v>0</v>
      </c>
      <c r="R46" s="748">
        <f ca="1">SUM(R39:R45)</f>
        <v>110574.49506113619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976.82637287441469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976.82637287441469</v>
      </c>
    </row>
    <row r="50" spans="1:18">
      <c r="A50" s="850" t="s">
        <v>306</v>
      </c>
      <c r="B50" s="860"/>
      <c r="C50" s="718">
        <f ca="1">transport!B18</f>
        <v>64.877018080394123</v>
      </c>
      <c r="D50" s="718">
        <f>transport!C18</f>
        <v>0</v>
      </c>
      <c r="E50" s="718">
        <f>transport!D18</f>
        <v>307.51838432919311</v>
      </c>
      <c r="F50" s="718">
        <f>transport!E18</f>
        <v>284.51152767989112</v>
      </c>
      <c r="G50" s="718">
        <f>transport!F18</f>
        <v>0</v>
      </c>
      <c r="H50" s="718">
        <f>transport!G18</f>
        <v>121521.82849815</v>
      </c>
      <c r="I50" s="718">
        <f>transport!H18</f>
        <v>28534.170349834942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150712.90577807443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64.877018080394123</v>
      </c>
      <c r="D52" s="748">
        <f t="shared" ref="D52:Q52" ca="1" si="6">SUM(D48:D51)</f>
        <v>0</v>
      </c>
      <c r="E52" s="748">
        <f t="shared" si="6"/>
        <v>307.51838432919311</v>
      </c>
      <c r="F52" s="748">
        <f t="shared" si="6"/>
        <v>284.51152767989112</v>
      </c>
      <c r="G52" s="748">
        <f t="shared" si="6"/>
        <v>0</v>
      </c>
      <c r="H52" s="748">
        <f t="shared" si="6"/>
        <v>122498.65487102442</v>
      </c>
      <c r="I52" s="748">
        <f t="shared" si="6"/>
        <v>28534.170349834942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151689.73215094884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146.46500545993266</v>
      </c>
      <c r="D54" s="718">
        <f ca="1">+landbouw!C12</f>
        <v>760.4311764705883</v>
      </c>
      <c r="E54" s="718">
        <f>+landbouw!D12</f>
        <v>1389.639914670744</v>
      </c>
      <c r="F54" s="718">
        <f>+landbouw!E12</f>
        <v>5.7702372845853986</v>
      </c>
      <c r="G54" s="718">
        <f>+landbouw!F12</f>
        <v>768.54633388792388</v>
      </c>
      <c r="H54" s="718">
        <f>+landbouw!G12</f>
        <v>0</v>
      </c>
      <c r="I54" s="718">
        <f>+landbouw!H12</f>
        <v>0</v>
      </c>
      <c r="J54" s="718">
        <f>+landbouw!I12</f>
        <v>0</v>
      </c>
      <c r="K54" s="718">
        <f>+landbouw!J12</f>
        <v>79.435463271410072</v>
      </c>
      <c r="L54" s="718">
        <f>+landbouw!K12</f>
        <v>0</v>
      </c>
      <c r="M54" s="718">
        <f>+landbouw!L12</f>
        <v>0</v>
      </c>
      <c r="N54" s="718">
        <f>+landbouw!M12</f>
        <v>0</v>
      </c>
      <c r="O54" s="718">
        <f>+landbouw!N12</f>
        <v>0</v>
      </c>
      <c r="P54" s="718">
        <f>+landbouw!O12</f>
        <v>0</v>
      </c>
      <c r="Q54" s="719">
        <f>+landbouw!P12</f>
        <v>0</v>
      </c>
      <c r="R54" s="747">
        <f ca="1">SUM(C54:Q54)</f>
        <v>3150.2881310451849</v>
      </c>
    </row>
    <row r="55" spans="1:18" ht="15" thickBot="1">
      <c r="A55" s="850" t="s">
        <v>734</v>
      </c>
      <c r="B55" s="860"/>
      <c r="C55" s="718">
        <f ca="1">C25*'EF ele_warmte'!B12</f>
        <v>351.53841255219231</v>
      </c>
      <c r="D55" s="718"/>
      <c r="E55" s="718">
        <f>E25*EF_CO2_aardgas</f>
        <v>1396.5271367540001</v>
      </c>
      <c r="F55" s="718"/>
      <c r="G55" s="718"/>
      <c r="H55" s="718"/>
      <c r="I55" s="718"/>
      <c r="J55" s="718"/>
      <c r="K55" s="718"/>
      <c r="L55" s="718"/>
      <c r="M55" s="718"/>
      <c r="N55" s="718"/>
      <c r="O55" s="718"/>
      <c r="P55" s="718"/>
      <c r="Q55" s="719"/>
      <c r="R55" s="747">
        <f ca="1">SUM(C55:Q55)</f>
        <v>1748.0655493061925</v>
      </c>
    </row>
    <row r="56" spans="1:18" ht="15.75" thickBot="1">
      <c r="A56" s="848" t="s">
        <v>735</v>
      </c>
      <c r="B56" s="861"/>
      <c r="C56" s="748">
        <f ca="1">SUM(C54:C55)</f>
        <v>498.00341801212494</v>
      </c>
      <c r="D56" s="748">
        <f t="shared" ref="D56:Q56" ca="1" si="7">SUM(D54:D55)</f>
        <v>760.4311764705883</v>
      </c>
      <c r="E56" s="748">
        <f t="shared" si="7"/>
        <v>2786.1670514247444</v>
      </c>
      <c r="F56" s="748">
        <f t="shared" si="7"/>
        <v>5.7702372845853986</v>
      </c>
      <c r="G56" s="748">
        <f t="shared" si="7"/>
        <v>768.54633388792388</v>
      </c>
      <c r="H56" s="748">
        <f t="shared" si="7"/>
        <v>0</v>
      </c>
      <c r="I56" s="748">
        <f t="shared" si="7"/>
        <v>0</v>
      </c>
      <c r="J56" s="748">
        <f t="shared" si="7"/>
        <v>0</v>
      </c>
      <c r="K56" s="748">
        <f t="shared" si="7"/>
        <v>79.435463271410072</v>
      </c>
      <c r="L56" s="748">
        <f t="shared" si="7"/>
        <v>0</v>
      </c>
      <c r="M56" s="748">
        <f t="shared" si="7"/>
        <v>0</v>
      </c>
      <c r="N56" s="748">
        <f t="shared" si="7"/>
        <v>0</v>
      </c>
      <c r="O56" s="748">
        <f t="shared" si="7"/>
        <v>0</v>
      </c>
      <c r="P56" s="748">
        <f t="shared" si="7"/>
        <v>0</v>
      </c>
      <c r="Q56" s="749">
        <f t="shared" si="7"/>
        <v>0</v>
      </c>
      <c r="R56" s="750">
        <f ca="1">SUM(R54:R55)</f>
        <v>4898.3536803513771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37981.151077266877</v>
      </c>
      <c r="D61" s="756">
        <f t="shared" ref="D61:Q61" ca="1" si="8">D46+D52+D56</f>
        <v>1358.1529411764707</v>
      </c>
      <c r="E61" s="756">
        <f t="shared" ca="1" si="8"/>
        <v>61539.593469137726</v>
      </c>
      <c r="F61" s="756">
        <f t="shared" si="8"/>
        <v>4473.8889653678261</v>
      </c>
      <c r="G61" s="756">
        <f t="shared" ca="1" si="8"/>
        <v>10601.671316748989</v>
      </c>
      <c r="H61" s="756">
        <f t="shared" si="8"/>
        <v>122498.65487102442</v>
      </c>
      <c r="I61" s="756">
        <f t="shared" si="8"/>
        <v>28534.170349834942</v>
      </c>
      <c r="J61" s="756">
        <f t="shared" si="8"/>
        <v>0</v>
      </c>
      <c r="K61" s="756">
        <f t="shared" si="8"/>
        <v>175.29790187913738</v>
      </c>
      <c r="L61" s="756">
        <f t="shared" si="8"/>
        <v>0</v>
      </c>
      <c r="M61" s="756">
        <f t="shared" ca="1" si="8"/>
        <v>0</v>
      </c>
      <c r="N61" s="756">
        <f t="shared" si="8"/>
        <v>0</v>
      </c>
      <c r="O61" s="756">
        <f t="shared" ca="1" si="8"/>
        <v>0</v>
      </c>
      <c r="P61" s="756">
        <f t="shared" si="8"/>
        <v>0</v>
      </c>
      <c r="Q61" s="756">
        <f t="shared" si="8"/>
        <v>0</v>
      </c>
      <c r="R61" s="756">
        <f ca="1">R46+R52+R56</f>
        <v>267162.58089243644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0.17982713974558798</v>
      </c>
      <c r="D63" s="802">
        <f t="shared" ca="1" si="9"/>
        <v>0.10458823529411765</v>
      </c>
      <c r="E63" s="1008">
        <f t="shared" ca="1" si="9"/>
        <v>0.20200000000000004</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28375.910566679584</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6184.7456467985885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5089.5000000000009</v>
      </c>
      <c r="C76" s="769">
        <f>'lokale energieproductie'!B8*IFERROR(SUM(D76:H76)/SUM(D76:O76),0)</f>
        <v>4000.4999999999995</v>
      </c>
      <c r="D76" s="991">
        <f>'lokale energieproductie'!C8</f>
        <v>4706.4705882352937</v>
      </c>
      <c r="E76" s="992">
        <f>'lokale energieproductie'!D8</f>
        <v>0</v>
      </c>
      <c r="F76" s="992">
        <f>'lokale energieproductie'!E8</f>
        <v>0</v>
      </c>
      <c r="G76" s="992">
        <f>'lokale energieproductie'!F8</f>
        <v>0</v>
      </c>
      <c r="H76" s="992">
        <f>'lokale energieproductie'!G8</f>
        <v>0</v>
      </c>
      <c r="I76" s="992">
        <f>'lokale energieproductie'!I8</f>
        <v>0</v>
      </c>
      <c r="J76" s="992">
        <f>'lokale energieproductie'!J8</f>
        <v>5987.6470588235297</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950.70705882352934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39650.156213478171</v>
      </c>
      <c r="C78" s="774">
        <f>SUM(C72:C77)</f>
        <v>4000.4999999999995</v>
      </c>
      <c r="D78" s="775">
        <f t="shared" ref="D78:H78" si="10">SUM(D76:D77)</f>
        <v>4706.4705882352937</v>
      </c>
      <c r="E78" s="775">
        <f t="shared" si="10"/>
        <v>0</v>
      </c>
      <c r="F78" s="775">
        <f t="shared" si="10"/>
        <v>0</v>
      </c>
      <c r="G78" s="775">
        <f t="shared" si="10"/>
        <v>0</v>
      </c>
      <c r="H78" s="775">
        <f t="shared" si="10"/>
        <v>0</v>
      </c>
      <c r="I78" s="775">
        <f>SUM(I76:I77)</f>
        <v>0</v>
      </c>
      <c r="J78" s="775">
        <f>SUM(J76:J77)</f>
        <v>5987.6470588235297</v>
      </c>
      <c r="K78" s="775">
        <f t="shared" ref="K78:L78" si="11">SUM(K76:K77)</f>
        <v>0</v>
      </c>
      <c r="L78" s="775">
        <f t="shared" si="11"/>
        <v>0</v>
      </c>
      <c r="M78" s="775">
        <f>SUM(M76:M77)</f>
        <v>0</v>
      </c>
      <c r="N78" s="775">
        <f>SUM(N76:N77)</f>
        <v>0</v>
      </c>
      <c r="O78" s="885">
        <f>SUM(O76:O77)</f>
        <v>0</v>
      </c>
      <c r="P78" s="776">
        <v>0</v>
      </c>
      <c r="Q78" s="776">
        <f>SUM(Q76:Q77)</f>
        <v>950.70705882352934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7270.7142857142871</v>
      </c>
      <c r="C87" s="787">
        <f>'lokale energieproductie'!B17*IFERROR(SUM(D87:H87)/SUM(D87:O87),0)</f>
        <v>5715</v>
      </c>
      <c r="D87" s="798">
        <f>'lokale energieproductie'!C17</f>
        <v>6723.5294117647063</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8553.7815126050427</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1358.1529411764707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7270.7142857142871</v>
      </c>
      <c r="C90" s="774">
        <f>SUM(C87:C89)</f>
        <v>5715</v>
      </c>
      <c r="D90" s="774">
        <f t="shared" ref="D90:H90" si="12">SUM(D87:D89)</f>
        <v>6723.5294117647063</v>
      </c>
      <c r="E90" s="774">
        <f t="shared" si="12"/>
        <v>0</v>
      </c>
      <c r="F90" s="774">
        <f t="shared" si="12"/>
        <v>0</v>
      </c>
      <c r="G90" s="774">
        <f t="shared" si="12"/>
        <v>0</v>
      </c>
      <c r="H90" s="774">
        <f t="shared" si="12"/>
        <v>0</v>
      </c>
      <c r="I90" s="774">
        <f>SUM(I87:I89)</f>
        <v>0</v>
      </c>
      <c r="J90" s="774">
        <f>SUM(J87:J89)</f>
        <v>8553.7815126050427</v>
      </c>
      <c r="K90" s="774">
        <f t="shared" ref="K90:L90" si="13">SUM(K87:K89)</f>
        <v>0</v>
      </c>
      <c r="L90" s="774">
        <f t="shared" si="13"/>
        <v>0</v>
      </c>
      <c r="M90" s="774">
        <f>SUM(M87:M89)</f>
        <v>0</v>
      </c>
      <c r="N90" s="774">
        <f>SUM(N87:N89)</f>
        <v>0</v>
      </c>
      <c r="O90" s="774">
        <f>SUM(O87:O89)</f>
        <v>0</v>
      </c>
      <c r="P90" s="774">
        <v>0</v>
      </c>
      <c r="Q90" s="774">
        <f>SUM(Q87:Q89)</f>
        <v>1358.1529411764707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28375.910566679584</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6184.7456467985885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9090</v>
      </c>
      <c r="C8" s="574">
        <f>B101</f>
        <v>4706.4705882352937</v>
      </c>
      <c r="D8" s="575"/>
      <c r="E8" s="575">
        <f>E101</f>
        <v>0</v>
      </c>
      <c r="F8" s="576"/>
      <c r="G8" s="577"/>
      <c r="H8" s="575">
        <f>I101</f>
        <v>0</v>
      </c>
      <c r="I8" s="575">
        <f>G101+F101</f>
        <v>0</v>
      </c>
      <c r="J8" s="575">
        <f>H101+D101+C101</f>
        <v>5987.6470588235297</v>
      </c>
      <c r="K8" s="575"/>
      <c r="L8" s="575"/>
      <c r="M8" s="575"/>
      <c r="N8" s="578"/>
      <c r="O8" s="579">
        <f>C8*$C$12+D8*$D$12+E8*$E$12+F8*$F$12+G8*$G$12+H8*$H$12+I8*$I$12+J8*$J$12</f>
        <v>950.70705882352934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43650.656213478171</v>
      </c>
      <c r="C10" s="589">
        <f t="shared" ref="C10:L10" si="0">SUM(C8:C9)</f>
        <v>4706.4705882352937</v>
      </c>
      <c r="D10" s="589">
        <f t="shared" si="0"/>
        <v>0</v>
      </c>
      <c r="E10" s="589">
        <f t="shared" si="0"/>
        <v>0</v>
      </c>
      <c r="F10" s="589">
        <f t="shared" si="0"/>
        <v>0</v>
      </c>
      <c r="G10" s="589">
        <f t="shared" si="0"/>
        <v>0</v>
      </c>
      <c r="H10" s="589">
        <f t="shared" si="0"/>
        <v>0</v>
      </c>
      <c r="I10" s="589">
        <f t="shared" si="0"/>
        <v>0</v>
      </c>
      <c r="J10" s="589">
        <f t="shared" si="0"/>
        <v>5987.6470588235297</v>
      </c>
      <c r="K10" s="589">
        <f t="shared" si="0"/>
        <v>0</v>
      </c>
      <c r="L10" s="589">
        <f t="shared" si="0"/>
        <v>0</v>
      </c>
      <c r="M10" s="1004"/>
      <c r="N10" s="1004"/>
      <c r="O10" s="590">
        <f>SUM(O4:O9)</f>
        <v>950.70705882352934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12985.714285714286</v>
      </c>
      <c r="C17" s="605">
        <f>B102</f>
        <v>6723.5294117647063</v>
      </c>
      <c r="D17" s="606"/>
      <c r="E17" s="606">
        <f>E102</f>
        <v>0</v>
      </c>
      <c r="F17" s="607"/>
      <c r="G17" s="608"/>
      <c r="H17" s="605">
        <f>I102</f>
        <v>0</v>
      </c>
      <c r="I17" s="606">
        <f>G102+F102</f>
        <v>0</v>
      </c>
      <c r="J17" s="606">
        <f>H102+D102+C102</f>
        <v>8553.7815126050427</v>
      </c>
      <c r="K17" s="606"/>
      <c r="L17" s="606"/>
      <c r="M17" s="606"/>
      <c r="N17" s="1005"/>
      <c r="O17" s="609">
        <f>C17*$C$22+E17*$E$22+H17*$H$22+I17*$I$22+J17*$J$22+D17*$D$22+F17*$F$22+G17*$G$22+K17*$K$22+L17*$L$22</f>
        <v>1358.1529411764707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12985.714285714286</v>
      </c>
      <c r="C20" s="588">
        <f>SUM(C17:C19)</f>
        <v>6723.5294117647063</v>
      </c>
      <c r="D20" s="588">
        <f t="shared" ref="D20:L20" si="1">SUM(D17:D19)</f>
        <v>0</v>
      </c>
      <c r="E20" s="588">
        <f t="shared" si="1"/>
        <v>0</v>
      </c>
      <c r="F20" s="588">
        <f t="shared" si="1"/>
        <v>0</v>
      </c>
      <c r="G20" s="588">
        <f t="shared" si="1"/>
        <v>0</v>
      </c>
      <c r="H20" s="588">
        <f t="shared" si="1"/>
        <v>0</v>
      </c>
      <c r="I20" s="588">
        <f t="shared" si="1"/>
        <v>0</v>
      </c>
      <c r="J20" s="588">
        <f t="shared" si="1"/>
        <v>8553.7815126050427</v>
      </c>
      <c r="K20" s="588">
        <f t="shared" si="1"/>
        <v>0</v>
      </c>
      <c r="L20" s="588">
        <f t="shared" si="1"/>
        <v>0</v>
      </c>
      <c r="M20" s="588"/>
      <c r="N20" s="588"/>
      <c r="O20" s="614">
        <f>SUM(O17:O19)</f>
        <v>1358.1529411764707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23027</v>
      </c>
      <c r="C28" s="817">
        <v>1500</v>
      </c>
      <c r="D28" s="666" t="s">
        <v>886</v>
      </c>
      <c r="E28" s="665" t="s">
        <v>887</v>
      </c>
      <c r="F28" s="665" t="s">
        <v>888</v>
      </c>
      <c r="G28" s="665" t="s">
        <v>889</v>
      </c>
      <c r="H28" s="665" t="s">
        <v>890</v>
      </c>
      <c r="I28" s="665" t="s">
        <v>887</v>
      </c>
      <c r="J28" s="816">
        <v>40101</v>
      </c>
      <c r="K28" s="816">
        <v>40101</v>
      </c>
      <c r="L28" s="665" t="s">
        <v>891</v>
      </c>
      <c r="M28" s="665">
        <v>1131</v>
      </c>
      <c r="N28" s="665">
        <v>5089.5</v>
      </c>
      <c r="O28" s="665">
        <v>7270.7142857142862</v>
      </c>
      <c r="P28" s="665">
        <v>0</v>
      </c>
      <c r="Q28" s="665">
        <v>14541.428571428572</v>
      </c>
      <c r="R28" s="665">
        <v>0</v>
      </c>
      <c r="S28" s="665">
        <v>0</v>
      </c>
      <c r="T28" s="665">
        <v>0</v>
      </c>
      <c r="U28" s="665">
        <v>0</v>
      </c>
      <c r="V28" s="665">
        <v>0</v>
      </c>
      <c r="W28" s="665">
        <v>0</v>
      </c>
      <c r="X28" s="665">
        <v>10</v>
      </c>
      <c r="Y28" s="665" t="s">
        <v>111</v>
      </c>
      <c r="Z28" s="667" t="s">
        <v>111</v>
      </c>
    </row>
    <row r="29" spans="1:26" s="619" customFormat="1" ht="25.5">
      <c r="A29" s="618"/>
      <c r="B29" s="817">
        <v>23027</v>
      </c>
      <c r="C29" s="817">
        <v>1500</v>
      </c>
      <c r="D29" s="666"/>
      <c r="E29" s="665"/>
      <c r="F29" s="665" t="s">
        <v>892</v>
      </c>
      <c r="G29" s="665" t="s">
        <v>889</v>
      </c>
      <c r="H29" s="665" t="s">
        <v>890</v>
      </c>
      <c r="I29" s="665" t="s">
        <v>893</v>
      </c>
      <c r="J29" s="816">
        <v>42234</v>
      </c>
      <c r="K29" s="816">
        <v>42257</v>
      </c>
      <c r="L29" s="665" t="s">
        <v>891</v>
      </c>
      <c r="M29" s="665">
        <v>889</v>
      </c>
      <c r="N29" s="665">
        <v>4000.5</v>
      </c>
      <c r="O29" s="665">
        <v>5715</v>
      </c>
      <c r="P29" s="665">
        <v>11430</v>
      </c>
      <c r="Q29" s="665">
        <v>0</v>
      </c>
      <c r="R29" s="665">
        <v>0</v>
      </c>
      <c r="S29" s="665">
        <v>0</v>
      </c>
      <c r="T29" s="665">
        <v>0</v>
      </c>
      <c r="U29" s="665">
        <v>0</v>
      </c>
      <c r="V29" s="665">
        <v>0</v>
      </c>
      <c r="W29" s="665">
        <v>0</v>
      </c>
      <c r="X29" s="665">
        <v>1100</v>
      </c>
      <c r="Y29" s="665" t="s">
        <v>51</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2020</v>
      </c>
      <c r="N58" s="623">
        <f>SUM(N28:N57)</f>
        <v>9090</v>
      </c>
      <c r="O58" s="623">
        <f t="shared" ref="O58:W58" si="2">SUM(O28:O57)</f>
        <v>12985.714285714286</v>
      </c>
      <c r="P58" s="623">
        <f t="shared" si="2"/>
        <v>11430</v>
      </c>
      <c r="Q58" s="623">
        <f t="shared" si="2"/>
        <v>14541.428571428572</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889</v>
      </c>
      <c r="N60" s="623">
        <f ca="1">SUMIF($Z$28:AD57,"tertiair",N28:N57)</f>
        <v>4000.5</v>
      </c>
      <c r="O60" s="623">
        <f ca="1">SUMIF($Z$28:AE57,"tertiair",O28:O57)</f>
        <v>5715</v>
      </c>
      <c r="P60" s="623">
        <f ca="1">SUMIF($Z$28:AF57,"tertiair",P28:P57)</f>
        <v>11430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1131</v>
      </c>
      <c r="N61" s="628">
        <f t="shared" si="4"/>
        <v>5089.5</v>
      </c>
      <c r="O61" s="628">
        <f t="shared" si="4"/>
        <v>7270.7142857142862</v>
      </c>
      <c r="P61" s="628">
        <f t="shared" si="4"/>
        <v>0</v>
      </c>
      <c r="Q61" s="628">
        <f t="shared" si="4"/>
        <v>14541.428571428572</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4706.4705882352937</v>
      </c>
      <c r="C101" s="657">
        <f t="shared" si="9"/>
        <v>5987.6470588235297</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6723.5294117647063</v>
      </c>
      <c r="C102" s="660">
        <f t="shared" si="10"/>
        <v>8553.7815126050427</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60579.583800317749</v>
      </c>
      <c r="C4" s="478">
        <f>huishoudens!C8</f>
        <v>0</v>
      </c>
      <c r="D4" s="478">
        <f>huishoudens!D8</f>
        <v>166354.73953560003</v>
      </c>
      <c r="E4" s="478">
        <f>huishoudens!E8</f>
        <v>7627.6910985191789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17099.98966384539</v>
      </c>
      <c r="O4" s="478">
        <f>huishoudens!O8</f>
        <v>325.36914797947321</v>
      </c>
      <c r="P4" s="479">
        <f>huishoudens!P8</f>
        <v>537.23192469193623</v>
      </c>
      <c r="Q4" s="480">
        <f>SUM(B4:P4)</f>
        <v>252524.60517095379</v>
      </c>
    </row>
    <row r="5" spans="1:17">
      <c r="A5" s="477" t="s">
        <v>155</v>
      </c>
      <c r="B5" s="478">
        <f ca="1">tertiair!B16</f>
        <v>84489.383853000007</v>
      </c>
      <c r="C5" s="478">
        <f ca="1">tertiair!C16</f>
        <v>5715</v>
      </c>
      <c r="D5" s="478">
        <f ca="1">tertiair!D16</f>
        <v>92299.521031685988</v>
      </c>
      <c r="E5" s="478">
        <f>tertiair!E16</f>
        <v>1708.2266074094666</v>
      </c>
      <c r="F5" s="478">
        <f ca="1">tertiair!F16</f>
        <v>8391.3721983536034</v>
      </c>
      <c r="G5" s="478">
        <f>tertiair!G16</f>
        <v>0</v>
      </c>
      <c r="H5" s="478">
        <f>tertiair!H16</f>
        <v>0</v>
      </c>
      <c r="I5" s="478">
        <f>tertiair!I16</f>
        <v>0</v>
      </c>
      <c r="J5" s="478">
        <f>tertiair!J16</f>
        <v>6.3458702574674355E-2</v>
      </c>
      <c r="K5" s="478">
        <f>tertiair!K16</f>
        <v>0</v>
      </c>
      <c r="L5" s="478">
        <f ca="1">tertiair!L16</f>
        <v>0</v>
      </c>
      <c r="M5" s="478">
        <f>tertiair!M16</f>
        <v>0</v>
      </c>
      <c r="N5" s="478">
        <f ca="1">tertiair!N16</f>
        <v>2522.2509293744511</v>
      </c>
      <c r="O5" s="478">
        <f>tertiair!O16</f>
        <v>0</v>
      </c>
      <c r="P5" s="479">
        <f>tertiair!P16</f>
        <v>157.61741491948504</v>
      </c>
      <c r="Q5" s="477">
        <f t="shared" ref="Q5:Q14" ca="1" si="0">SUM(B5:P5)</f>
        <v>195283.43549344561</v>
      </c>
    </row>
    <row r="6" spans="1:17">
      <c r="A6" s="477" t="s">
        <v>193</v>
      </c>
      <c r="B6" s="478">
        <f>'openbare verlichting'!B8</f>
        <v>2469.7820000000002</v>
      </c>
      <c r="C6" s="478"/>
      <c r="D6" s="478"/>
      <c r="E6" s="478"/>
      <c r="F6" s="478"/>
      <c r="G6" s="478"/>
      <c r="H6" s="478"/>
      <c r="I6" s="478"/>
      <c r="J6" s="478"/>
      <c r="K6" s="478"/>
      <c r="L6" s="478"/>
      <c r="M6" s="478"/>
      <c r="N6" s="478"/>
      <c r="O6" s="478"/>
      <c r="P6" s="479"/>
      <c r="Q6" s="477">
        <f t="shared" si="0"/>
        <v>2469.7820000000002</v>
      </c>
    </row>
    <row r="7" spans="1:17">
      <c r="A7" s="477" t="s">
        <v>111</v>
      </c>
      <c r="B7" s="478">
        <f>landbouw!B8</f>
        <v>814.47664499999996</v>
      </c>
      <c r="C7" s="478">
        <f>landbouw!C8</f>
        <v>7270.7142857142862</v>
      </c>
      <c r="D7" s="478">
        <f>landbouw!D8</f>
        <v>6879.4055181719996</v>
      </c>
      <c r="E7" s="478">
        <f>landbouw!E8</f>
        <v>25.419547509186778</v>
      </c>
      <c r="F7" s="478">
        <f>landbouw!F8</f>
        <v>2878.4506887188159</v>
      </c>
      <c r="G7" s="478">
        <f>landbouw!G8</f>
        <v>0</v>
      </c>
      <c r="H7" s="478">
        <f>landbouw!H8</f>
        <v>0</v>
      </c>
      <c r="I7" s="478">
        <f>landbouw!I8</f>
        <v>0</v>
      </c>
      <c r="J7" s="478">
        <f>landbouw!J8</f>
        <v>224.3939640435313</v>
      </c>
      <c r="K7" s="478">
        <f>landbouw!K8</f>
        <v>0</v>
      </c>
      <c r="L7" s="478">
        <f>landbouw!L8</f>
        <v>0</v>
      </c>
      <c r="M7" s="478">
        <f>landbouw!M8</f>
        <v>0</v>
      </c>
      <c r="N7" s="478">
        <f>landbouw!N8</f>
        <v>0</v>
      </c>
      <c r="O7" s="478">
        <f>landbouw!O8</f>
        <v>0</v>
      </c>
      <c r="P7" s="479">
        <f>landbouw!P8</f>
        <v>0</v>
      </c>
      <c r="Q7" s="477">
        <f t="shared" si="0"/>
        <v>18092.860649157818</v>
      </c>
    </row>
    <row r="8" spans="1:17">
      <c r="A8" s="477" t="s">
        <v>629</v>
      </c>
      <c r="B8" s="478">
        <f>industrie!B18</f>
        <v>60540.357283000005</v>
      </c>
      <c r="C8" s="478">
        <f>industrie!C18</f>
        <v>0</v>
      </c>
      <c r="D8" s="478">
        <f>industrie!D18</f>
        <v>30681.917815802</v>
      </c>
      <c r="E8" s="478">
        <f>industrie!E18</f>
        <v>9094.0699610464617</v>
      </c>
      <c r="F8" s="478">
        <f>industrie!F18</f>
        <v>28436.81125805488</v>
      </c>
      <c r="G8" s="478">
        <f>industrie!G18</f>
        <v>0</v>
      </c>
      <c r="H8" s="478">
        <f>industrie!H18</f>
        <v>0</v>
      </c>
      <c r="I8" s="478">
        <f>industrie!I18</f>
        <v>0</v>
      </c>
      <c r="J8" s="478">
        <f>industrie!J18</f>
        <v>270.73439047179625</v>
      </c>
      <c r="K8" s="478">
        <f>industrie!K18</f>
        <v>0</v>
      </c>
      <c r="L8" s="478">
        <f>industrie!L18</f>
        <v>0</v>
      </c>
      <c r="M8" s="478">
        <f>industrie!M18</f>
        <v>0</v>
      </c>
      <c r="N8" s="478">
        <f>industrie!N18</f>
        <v>3261.0558110821121</v>
      </c>
      <c r="O8" s="478">
        <f>industrie!O18</f>
        <v>0</v>
      </c>
      <c r="P8" s="479">
        <f>industrie!P18</f>
        <v>0</v>
      </c>
      <c r="Q8" s="477">
        <f t="shared" si="0"/>
        <v>132284.94651945724</v>
      </c>
    </row>
    <row r="9" spans="1:17" s="483" customFormat="1">
      <c r="A9" s="481" t="s">
        <v>555</v>
      </c>
      <c r="B9" s="482">
        <f>transport!B14</f>
        <v>360.77434236111105</v>
      </c>
      <c r="C9" s="482">
        <f>transport!C14</f>
        <v>0</v>
      </c>
      <c r="D9" s="482">
        <f>transport!D14</f>
        <v>1522.3682392534311</v>
      </c>
      <c r="E9" s="482">
        <f>transport!E14</f>
        <v>1253.354747488507</v>
      </c>
      <c r="F9" s="482">
        <f>transport!F14</f>
        <v>0</v>
      </c>
      <c r="G9" s="482">
        <f>transport!G14</f>
        <v>455137.93445</v>
      </c>
      <c r="H9" s="482">
        <f>transport!H14</f>
        <v>114595.06164592346</v>
      </c>
      <c r="I9" s="482">
        <f>transport!I14</f>
        <v>0</v>
      </c>
      <c r="J9" s="482">
        <f>transport!J14</f>
        <v>0</v>
      </c>
      <c r="K9" s="482">
        <f>transport!K14</f>
        <v>0</v>
      </c>
      <c r="L9" s="482">
        <f>transport!L14</f>
        <v>0</v>
      </c>
      <c r="M9" s="482">
        <f>transport!M14</f>
        <v>33775.795971408028</v>
      </c>
      <c r="N9" s="482">
        <f>transport!N14</f>
        <v>0</v>
      </c>
      <c r="O9" s="482">
        <f>transport!O14</f>
        <v>0</v>
      </c>
      <c r="P9" s="482">
        <f>transport!P14</f>
        <v>0</v>
      </c>
      <c r="Q9" s="481">
        <f>SUM(B9:P9)</f>
        <v>606645.28939643456</v>
      </c>
    </row>
    <row r="10" spans="1:17">
      <c r="A10" s="477" t="s">
        <v>545</v>
      </c>
      <c r="B10" s="478">
        <f>transport!B54</f>
        <v>0</v>
      </c>
      <c r="C10" s="478">
        <f>transport!C54</f>
        <v>0</v>
      </c>
      <c r="D10" s="478">
        <f>transport!D54</f>
        <v>0</v>
      </c>
      <c r="E10" s="478">
        <f>transport!E54</f>
        <v>0</v>
      </c>
      <c r="F10" s="478">
        <f>transport!F54</f>
        <v>0</v>
      </c>
      <c r="G10" s="478">
        <f>transport!G54</f>
        <v>3658.5257411026764</v>
      </c>
      <c r="H10" s="478">
        <f>transport!H54</f>
        <v>0</v>
      </c>
      <c r="I10" s="478">
        <f>transport!I54</f>
        <v>0</v>
      </c>
      <c r="J10" s="478">
        <f>transport!J54</f>
        <v>0</v>
      </c>
      <c r="K10" s="478">
        <f>transport!K54</f>
        <v>0</v>
      </c>
      <c r="L10" s="478">
        <f>transport!L54</f>
        <v>0</v>
      </c>
      <c r="M10" s="478">
        <f>transport!M54</f>
        <v>203.34126548412269</v>
      </c>
      <c r="N10" s="478">
        <f>transport!N54</f>
        <v>0</v>
      </c>
      <c r="O10" s="478">
        <f>transport!O54</f>
        <v>0</v>
      </c>
      <c r="P10" s="479">
        <f>transport!P54</f>
        <v>0</v>
      </c>
      <c r="Q10" s="477">
        <f t="shared" si="0"/>
        <v>3861.8670065867991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1954.8685090000001</v>
      </c>
      <c r="C14" s="485"/>
      <c r="D14" s="485">
        <f>'SEAP template'!E25</f>
        <v>6913.500677</v>
      </c>
      <c r="E14" s="485"/>
      <c r="F14" s="485"/>
      <c r="G14" s="485"/>
      <c r="H14" s="485"/>
      <c r="I14" s="485"/>
      <c r="J14" s="485"/>
      <c r="K14" s="485"/>
      <c r="L14" s="485"/>
      <c r="M14" s="485"/>
      <c r="N14" s="485"/>
      <c r="O14" s="485"/>
      <c r="P14" s="486"/>
      <c r="Q14" s="477">
        <f t="shared" si="0"/>
        <v>8868.3691859999999</v>
      </c>
    </row>
    <row r="15" spans="1:17" s="489" customFormat="1">
      <c r="A15" s="487" t="s">
        <v>549</v>
      </c>
      <c r="B15" s="488">
        <f ca="1">SUM(B4:B14)</f>
        <v>211209.22643267884</v>
      </c>
      <c r="C15" s="488">
        <f t="shared" ref="C15:Q15" ca="1" si="1">SUM(C4:C14)</f>
        <v>12985.714285714286</v>
      </c>
      <c r="D15" s="488">
        <f t="shared" ca="1" si="1"/>
        <v>304651.45281751337</v>
      </c>
      <c r="E15" s="488">
        <f t="shared" si="1"/>
        <v>19708.761961972799</v>
      </c>
      <c r="F15" s="488">
        <f t="shared" ca="1" si="1"/>
        <v>39706.634145127304</v>
      </c>
      <c r="G15" s="488">
        <f t="shared" si="1"/>
        <v>458796.4601911027</v>
      </c>
      <c r="H15" s="488">
        <f t="shared" si="1"/>
        <v>114595.06164592346</v>
      </c>
      <c r="I15" s="488">
        <f t="shared" si="1"/>
        <v>0</v>
      </c>
      <c r="J15" s="488">
        <f t="shared" si="1"/>
        <v>495.19181321790222</v>
      </c>
      <c r="K15" s="488">
        <f t="shared" si="1"/>
        <v>0</v>
      </c>
      <c r="L15" s="488">
        <f t="shared" ca="1" si="1"/>
        <v>0</v>
      </c>
      <c r="M15" s="488">
        <f t="shared" si="1"/>
        <v>33979.137236892151</v>
      </c>
      <c r="N15" s="488">
        <f t="shared" ca="1" si="1"/>
        <v>22883.296404301953</v>
      </c>
      <c r="O15" s="488">
        <f t="shared" si="1"/>
        <v>325.36914797947321</v>
      </c>
      <c r="P15" s="488">
        <f t="shared" si="1"/>
        <v>694.84933961142133</v>
      </c>
      <c r="Q15" s="488">
        <f t="shared" ca="1" si="1"/>
        <v>1220031.1554220358</v>
      </c>
    </row>
    <row r="17" spans="1:17">
      <c r="A17" s="490" t="s">
        <v>550</v>
      </c>
      <c r="B17" s="807">
        <f ca="1">huishoudens!B10</f>
        <v>0.179827139745588</v>
      </c>
      <c r="C17" s="807">
        <f ca="1">huishoudens!C10</f>
        <v>0.10458823529411765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10893.853281789299</v>
      </c>
      <c r="C22" s="478">
        <f t="shared" ref="C22:C32" ca="1" si="3">C4*$C$17</f>
        <v>0</v>
      </c>
      <c r="D22" s="478">
        <f t="shared" ref="D22:D32" si="4">D4*$D$17</f>
        <v>33603.657386191211</v>
      </c>
      <c r="E22" s="478">
        <f t="shared" ref="E22:E32" si="5">E4*$E$17</f>
        <v>1731.4858793638537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46228.996547344366</v>
      </c>
    </row>
    <row r="23" spans="1:17">
      <c r="A23" s="477" t="s">
        <v>155</v>
      </c>
      <c r="B23" s="478">
        <f t="shared" ca="1" si="2"/>
        <v>15193.484237152059</v>
      </c>
      <c r="C23" s="478">
        <f t="shared" ca="1" si="3"/>
        <v>597.72176470588238</v>
      </c>
      <c r="D23" s="478">
        <f t="shared" ca="1" si="4"/>
        <v>18644.503248400571</v>
      </c>
      <c r="E23" s="478">
        <f t="shared" si="5"/>
        <v>387.76743988194892</v>
      </c>
      <c r="F23" s="478">
        <f t="shared" ca="1" si="6"/>
        <v>2240.4963769604124</v>
      </c>
      <c r="G23" s="478">
        <f t="shared" si="7"/>
        <v>0</v>
      </c>
      <c r="H23" s="478">
        <f t="shared" si="8"/>
        <v>0</v>
      </c>
      <c r="I23" s="478">
        <f t="shared" si="9"/>
        <v>0</v>
      </c>
      <c r="J23" s="478">
        <f t="shared" si="10"/>
        <v>2.2464380711434719E-2</v>
      </c>
      <c r="K23" s="478">
        <f t="shared" si="11"/>
        <v>0</v>
      </c>
      <c r="L23" s="478">
        <f t="shared" ca="1" si="12"/>
        <v>0</v>
      </c>
      <c r="M23" s="478">
        <f t="shared" si="13"/>
        <v>0</v>
      </c>
      <c r="N23" s="478">
        <f t="shared" ca="1" si="14"/>
        <v>0</v>
      </c>
      <c r="O23" s="478">
        <f t="shared" si="15"/>
        <v>0</v>
      </c>
      <c r="P23" s="479">
        <f t="shared" si="16"/>
        <v>0</v>
      </c>
      <c r="Q23" s="477">
        <f t="shared" ref="Q23:Q31" ca="1" si="17">SUM(B23:P23)</f>
        <v>37063.995531481589</v>
      </c>
    </row>
    <row r="24" spans="1:17">
      <c r="A24" s="477" t="s">
        <v>193</v>
      </c>
      <c r="B24" s="478">
        <f t="shared" ca="1" si="2"/>
        <v>444.13383285513788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444.13383285513788</v>
      </c>
    </row>
    <row r="25" spans="1:17">
      <c r="A25" s="477" t="s">
        <v>111</v>
      </c>
      <c r="B25" s="478">
        <f t="shared" ca="1" si="2"/>
        <v>146.46500545993266</v>
      </c>
      <c r="C25" s="478">
        <f t="shared" ca="1" si="3"/>
        <v>760.4311764705883</v>
      </c>
      <c r="D25" s="478">
        <f t="shared" si="4"/>
        <v>1389.639914670744</v>
      </c>
      <c r="E25" s="478">
        <f t="shared" si="5"/>
        <v>5.7702372845853986</v>
      </c>
      <c r="F25" s="478">
        <f t="shared" si="6"/>
        <v>768.54633388792388</v>
      </c>
      <c r="G25" s="478">
        <f t="shared" si="7"/>
        <v>0</v>
      </c>
      <c r="H25" s="478">
        <f t="shared" si="8"/>
        <v>0</v>
      </c>
      <c r="I25" s="478">
        <f t="shared" si="9"/>
        <v>0</v>
      </c>
      <c r="J25" s="478">
        <f t="shared" si="10"/>
        <v>79.435463271410072</v>
      </c>
      <c r="K25" s="478">
        <f t="shared" si="11"/>
        <v>0</v>
      </c>
      <c r="L25" s="478">
        <f t="shared" si="12"/>
        <v>0</v>
      </c>
      <c r="M25" s="478">
        <f t="shared" si="13"/>
        <v>0</v>
      </c>
      <c r="N25" s="478">
        <f t="shared" si="14"/>
        <v>0</v>
      </c>
      <c r="O25" s="478">
        <f t="shared" si="15"/>
        <v>0</v>
      </c>
      <c r="P25" s="479">
        <f t="shared" si="16"/>
        <v>0</v>
      </c>
      <c r="Q25" s="477">
        <f t="shared" ca="1" si="17"/>
        <v>3150.2881310451849</v>
      </c>
    </row>
    <row r="26" spans="1:17">
      <c r="A26" s="477" t="s">
        <v>629</v>
      </c>
      <c r="B26" s="478">
        <f t="shared" ca="1" si="2"/>
        <v>10886.799289377868</v>
      </c>
      <c r="C26" s="478">
        <f t="shared" ca="1" si="3"/>
        <v>0</v>
      </c>
      <c r="D26" s="478">
        <f t="shared" si="4"/>
        <v>6197.7473987920048</v>
      </c>
      <c r="E26" s="478">
        <f t="shared" si="5"/>
        <v>2064.3538811575468</v>
      </c>
      <c r="F26" s="478">
        <f t="shared" si="6"/>
        <v>7592.6286059006534</v>
      </c>
      <c r="G26" s="478">
        <f t="shared" si="7"/>
        <v>0</v>
      </c>
      <c r="H26" s="478">
        <f t="shared" si="8"/>
        <v>0</v>
      </c>
      <c r="I26" s="478">
        <f t="shared" si="9"/>
        <v>0</v>
      </c>
      <c r="J26" s="478">
        <f t="shared" si="10"/>
        <v>95.839974227015873</v>
      </c>
      <c r="K26" s="478">
        <f t="shared" si="11"/>
        <v>0</v>
      </c>
      <c r="L26" s="478">
        <f t="shared" si="12"/>
        <v>0</v>
      </c>
      <c r="M26" s="478">
        <f t="shared" si="13"/>
        <v>0</v>
      </c>
      <c r="N26" s="478">
        <f t="shared" si="14"/>
        <v>0</v>
      </c>
      <c r="O26" s="478">
        <f t="shared" si="15"/>
        <v>0</v>
      </c>
      <c r="P26" s="479">
        <f t="shared" si="16"/>
        <v>0</v>
      </c>
      <c r="Q26" s="477">
        <f t="shared" ca="1" si="17"/>
        <v>26837.369149455088</v>
      </c>
    </row>
    <row r="27" spans="1:17" s="483" customFormat="1">
      <c r="A27" s="481" t="s">
        <v>555</v>
      </c>
      <c r="B27" s="801">
        <f t="shared" ca="1" si="2"/>
        <v>64.877018080394123</v>
      </c>
      <c r="C27" s="482">
        <f t="shared" ca="1" si="3"/>
        <v>0</v>
      </c>
      <c r="D27" s="482">
        <f t="shared" si="4"/>
        <v>307.51838432919311</v>
      </c>
      <c r="E27" s="482">
        <f t="shared" si="5"/>
        <v>284.51152767989112</v>
      </c>
      <c r="F27" s="482">
        <f t="shared" si="6"/>
        <v>0</v>
      </c>
      <c r="G27" s="482">
        <f t="shared" si="7"/>
        <v>121521.82849815</v>
      </c>
      <c r="H27" s="482">
        <f t="shared" si="8"/>
        <v>28534.170349834942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150712.90577807443</v>
      </c>
    </row>
    <row r="28" spans="1:17" ht="16.5" customHeight="1">
      <c r="A28" s="477" t="s">
        <v>545</v>
      </c>
      <c r="B28" s="478">
        <f t="shared" ca="1" si="2"/>
        <v>0</v>
      </c>
      <c r="C28" s="478">
        <f t="shared" ca="1" si="3"/>
        <v>0</v>
      </c>
      <c r="D28" s="478">
        <f t="shared" si="4"/>
        <v>0</v>
      </c>
      <c r="E28" s="478">
        <f t="shared" si="5"/>
        <v>0</v>
      </c>
      <c r="F28" s="478">
        <f t="shared" si="6"/>
        <v>0</v>
      </c>
      <c r="G28" s="478">
        <f t="shared" si="7"/>
        <v>976.82637287441469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976.82637287441469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351.53841255219231</v>
      </c>
      <c r="C32" s="478">
        <f t="shared" ca="1" si="3"/>
        <v>0</v>
      </c>
      <c r="D32" s="478">
        <f t="shared" si="4"/>
        <v>1396.5271367540001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1748.0655493061925</v>
      </c>
    </row>
    <row r="33" spans="1:17" s="489" customFormat="1">
      <c r="A33" s="487" t="s">
        <v>549</v>
      </c>
      <c r="B33" s="488">
        <f ca="1">SUM(B22:B32)</f>
        <v>37981.151077266884</v>
      </c>
      <c r="C33" s="488">
        <f t="shared" ref="C33:Q33" ca="1" si="19">SUM(C22:C32)</f>
        <v>1358.1529411764707</v>
      </c>
      <c r="D33" s="488">
        <f t="shared" ca="1" si="19"/>
        <v>61539.593469137719</v>
      </c>
      <c r="E33" s="488">
        <f t="shared" si="19"/>
        <v>4473.888965367827</v>
      </c>
      <c r="F33" s="488">
        <f t="shared" ca="1" si="19"/>
        <v>10601.671316748991</v>
      </c>
      <c r="G33" s="488">
        <f t="shared" si="19"/>
        <v>122498.65487102442</v>
      </c>
      <c r="H33" s="488">
        <f t="shared" si="19"/>
        <v>28534.170349834942</v>
      </c>
      <c r="I33" s="488">
        <f t="shared" si="19"/>
        <v>0</v>
      </c>
      <c r="J33" s="488">
        <f t="shared" si="19"/>
        <v>175.29790187913738</v>
      </c>
      <c r="K33" s="488">
        <f t="shared" si="19"/>
        <v>0</v>
      </c>
      <c r="L33" s="488">
        <f t="shared" ca="1" si="19"/>
        <v>0</v>
      </c>
      <c r="M33" s="488">
        <f t="shared" si="19"/>
        <v>0</v>
      </c>
      <c r="N33" s="488">
        <f t="shared" ca="1" si="19"/>
        <v>0</v>
      </c>
      <c r="O33" s="488">
        <f t="shared" si="19"/>
        <v>0</v>
      </c>
      <c r="P33" s="488">
        <f t="shared" si="19"/>
        <v>0</v>
      </c>
      <c r="Q33" s="488">
        <f t="shared" ca="1" si="19"/>
        <v>267162.58089243638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28375.910566679584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6184.7456467985885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5089.5000000000009</v>
      </c>
      <c r="C8" s="1062">
        <f>'SEAP template'!C76</f>
        <v>4000.4999999999995</v>
      </c>
      <c r="D8" s="1062">
        <f>'SEAP template'!D76</f>
        <v>4706.4705882352937</v>
      </c>
      <c r="E8" s="1062">
        <f>'SEAP template'!E76</f>
        <v>0</v>
      </c>
      <c r="F8" s="1062">
        <f>'SEAP template'!F76</f>
        <v>0</v>
      </c>
      <c r="G8" s="1062">
        <f>'SEAP template'!G76</f>
        <v>0</v>
      </c>
      <c r="H8" s="1062">
        <f>'SEAP template'!H76</f>
        <v>0</v>
      </c>
      <c r="I8" s="1062">
        <f>'SEAP template'!I76</f>
        <v>0</v>
      </c>
      <c r="J8" s="1062">
        <f>'SEAP template'!J76</f>
        <v>5987.6470588235297</v>
      </c>
      <c r="K8" s="1062">
        <f>'SEAP template'!K76</f>
        <v>0</v>
      </c>
      <c r="L8" s="1062">
        <f>'SEAP template'!L76</f>
        <v>0</v>
      </c>
      <c r="M8" s="1062">
        <f>'SEAP template'!M76</f>
        <v>0</v>
      </c>
      <c r="N8" s="1062">
        <f>'SEAP template'!N76</f>
        <v>0</v>
      </c>
      <c r="O8" s="1062">
        <f>'SEAP template'!O76</f>
        <v>0</v>
      </c>
      <c r="P8" s="1063">
        <f>'SEAP template'!Q76</f>
        <v>950.70705882352934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39650.156213478171</v>
      </c>
      <c r="C10" s="1064">
        <f>SUM(C4:C9)</f>
        <v>4000.4999999999995</v>
      </c>
      <c r="D10" s="1064">
        <f t="shared" ref="D10:H10" si="0">SUM(D8:D9)</f>
        <v>4706.4705882352937</v>
      </c>
      <c r="E10" s="1064">
        <f t="shared" si="0"/>
        <v>0</v>
      </c>
      <c r="F10" s="1064">
        <f t="shared" si="0"/>
        <v>0</v>
      </c>
      <c r="G10" s="1064">
        <f t="shared" si="0"/>
        <v>0</v>
      </c>
      <c r="H10" s="1064">
        <f t="shared" si="0"/>
        <v>0</v>
      </c>
      <c r="I10" s="1064">
        <f>SUM(I8:I9)</f>
        <v>0</v>
      </c>
      <c r="J10" s="1064">
        <f>SUM(J8:J9)</f>
        <v>5987.6470588235297</v>
      </c>
      <c r="K10" s="1064">
        <f t="shared" ref="K10:L10" si="1">SUM(K8:K9)</f>
        <v>0</v>
      </c>
      <c r="L10" s="1064">
        <f t="shared" si="1"/>
        <v>0</v>
      </c>
      <c r="M10" s="1064">
        <f>SUM(M8:M9)</f>
        <v>0</v>
      </c>
      <c r="N10" s="1064">
        <f>SUM(N8:N9)</f>
        <v>0</v>
      </c>
      <c r="O10" s="1064">
        <f>SUM(O8:O9)</f>
        <v>0</v>
      </c>
      <c r="P10" s="1064">
        <f>SUM(P8:P9)</f>
        <v>950.70705882352934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0.179827139745588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7270.7142857142871</v>
      </c>
      <c r="C17" s="1065">
        <f>'SEAP template'!C87</f>
        <v>5715</v>
      </c>
      <c r="D17" s="1063">
        <f>'SEAP template'!D87</f>
        <v>6723.5294117647063</v>
      </c>
      <c r="E17" s="1063">
        <f>'SEAP template'!E87</f>
        <v>0</v>
      </c>
      <c r="F17" s="1063">
        <f>'SEAP template'!F87</f>
        <v>0</v>
      </c>
      <c r="G17" s="1063">
        <f>'SEAP template'!G87</f>
        <v>0</v>
      </c>
      <c r="H17" s="1063">
        <f>'SEAP template'!H87</f>
        <v>0</v>
      </c>
      <c r="I17" s="1063">
        <f>'SEAP template'!I87</f>
        <v>0</v>
      </c>
      <c r="J17" s="1063">
        <f>'SEAP template'!J87</f>
        <v>8553.7815126050427</v>
      </c>
      <c r="K17" s="1063">
        <f>'SEAP template'!K87</f>
        <v>0</v>
      </c>
      <c r="L17" s="1063">
        <f>'SEAP template'!L87</f>
        <v>0</v>
      </c>
      <c r="M17" s="1063">
        <f>'SEAP template'!M87</f>
        <v>0</v>
      </c>
      <c r="N17" s="1063">
        <f>'SEAP template'!N87</f>
        <v>0</v>
      </c>
      <c r="O17" s="1063">
        <f>'SEAP template'!O87</f>
        <v>0</v>
      </c>
      <c r="P17" s="1063">
        <f>'SEAP template'!Q87</f>
        <v>1358.1529411764707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7270.7142857142871</v>
      </c>
      <c r="C20" s="1064">
        <f>SUM(C17:C19)</f>
        <v>5715</v>
      </c>
      <c r="D20" s="1064">
        <f t="shared" ref="D20:H20" si="2">SUM(D17:D19)</f>
        <v>6723.5294117647063</v>
      </c>
      <c r="E20" s="1064">
        <f t="shared" si="2"/>
        <v>0</v>
      </c>
      <c r="F20" s="1064">
        <f t="shared" si="2"/>
        <v>0</v>
      </c>
      <c r="G20" s="1064">
        <f t="shared" si="2"/>
        <v>0</v>
      </c>
      <c r="H20" s="1064">
        <f t="shared" si="2"/>
        <v>0</v>
      </c>
      <c r="I20" s="1064">
        <f>SUM(I17:I19)</f>
        <v>0</v>
      </c>
      <c r="J20" s="1064">
        <f>SUM(J17:J19)</f>
        <v>8553.7815126050427</v>
      </c>
      <c r="K20" s="1064">
        <f t="shared" ref="K20:L20" si="3">SUM(K17:K19)</f>
        <v>0</v>
      </c>
      <c r="L20" s="1064">
        <f t="shared" si="3"/>
        <v>0</v>
      </c>
      <c r="M20" s="1064">
        <f>SUM(M17:M19)</f>
        <v>0</v>
      </c>
      <c r="N20" s="1064">
        <f>SUM(N17:N19)</f>
        <v>0</v>
      </c>
      <c r="O20" s="1064">
        <f>SUM(O17:O19)</f>
        <v>0</v>
      </c>
      <c r="P20" s="1064">
        <f>SUM(P17:P19)</f>
        <v>1358.1529411764707</v>
      </c>
    </row>
    <row r="21" spans="1:16">
      <c r="B21" s="913"/>
    </row>
    <row r="22" spans="1:16">
      <c r="A22" s="490" t="s">
        <v>814</v>
      </c>
      <c r="B22" s="807" t="s">
        <v>812</v>
      </c>
      <c r="C22" s="807">
        <f ca="1">'EF ele_warmte'!B22</f>
        <v>0.10458823529411765</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0.179827139745588</v>
      </c>
      <c r="C17" s="527">
        <f ca="1">'EF ele_warmte'!B22</f>
        <v>0.10458823529411765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2019-08-12T08:38:38Z</dcterms:modified>
</cp:coreProperties>
</file>