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33" i="48"/>
  <c r="Q89" i="14"/>
  <c r="P19" i="59"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<sst xmlns="http://schemas.openxmlformats.org/spreadsheetml/2006/main" count="2419" uniqueCount="909">
  <si>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</si>
  <si>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</si>
  <si>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</si>
  <si>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</si>
  <si>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</si>
  <si>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</si>
  <si>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</si>
  <si>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</si>
  <si>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</si>
  <si>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</si>
  <si>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</si>
  <si>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</si>
  <si>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</si>
  <si>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</si>
  <si>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</si>
  <si>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</si>
  <si>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</si>
  <si>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</si>
  <si>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</si>
  <si>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</si>
  <si>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</si>
  <si>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</si>
  <si>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</si>
  <si>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</si>
  <si>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</si>
  <si>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</si>
  <si>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</si>
  <si>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</si>
  <si>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</si>
  <si>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</si>
  <si>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</si>
  <si>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</si>
  <si>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</si>
  <si>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</si>
  <si>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</si>
  <si>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</si>
  <si>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</si>
  <si>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</si>
  <si>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</si>
  <si>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</si>
  <si>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</si>
  <si>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</si>
  <si>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</si>
  <si>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</si>
  <si>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</si>
  <si>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</si>
  <si>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</si>
  <si>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</si>
  <si>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</si>
  <si>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</si>
  <si>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</si>
  <si>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</si>
  <si>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</si>
  <si>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</si>
  <si>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</si>
  <si>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</si>
  <si>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</si>
  <si>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</si>
  <si>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</si>
  <si>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</si>
  <si>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</si>
  <si>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</si>
  <si>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</si>
  <si>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</si>
  <si>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</si>
  <si>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</si>
  <si>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</si>
  <si>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</si>
  <si>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</si>
  <si>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</si>
  <si>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</si>
  <si>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</si>
  <si>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</si>
  <si>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</si>
  <si>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</si>
  <si>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</si>
  <si>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</si>
  <si>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</si>
  <si>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</si>
  <si>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</si>
  <si>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</si>
  <si>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</si>
  <si>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</si>
  <si>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</si>
  <si>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</si>
  <si>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</si>
  <si>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</si>
  <si>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</si>
  <si>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</si>
  <si>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</si>
  <si>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</si>
  <si>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</si>
  <si>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</si>
  <si>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</si>
  <si>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</si>
  <si>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</si>
  <si>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</si>
  <si>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</si>
  <si>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</si>
  <si>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</si>
  <si>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</si>
  <si>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</si>
  <si>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</si>
  <si>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</si>
  <si>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</si>
  <si>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</si>
  <si>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</si>
  <si>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</si>
  <si>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</si>
  <si>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</si>
  <si>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</si>
  <si>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</si>
  <si>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</si>
  <si>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</si>
  <si>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</si>
  <si>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</si>
  <si>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</si>
  <si>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</si>
  <si>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</si>
  <si>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</si>
  <si>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</si>
  <si>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</si>
  <si>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</si>
  <si>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</si>
  <si>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</si>
  <si>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</si>
  <si>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</si>
  <si>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</si>
  <si>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</si>
  <si>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</si>
  <si>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</si>
  <si>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</si>
  <si>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</si>
  <si>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</si>
  <si>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</si>
  <si>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</si>
  <si>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</si>
  <si>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</si>
  <si>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</si>
  <si>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</si>
  <si>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</si>
  <si>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</si>
  <si>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</si>
  <si>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</si>
  <si>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</si>
  <si>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</si>
  <si>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</si>
  <si>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</si>
  <si>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</si>
  <si>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</si>
  <si>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</si>
  <si>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</si>
  <si>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</si>
  <si>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</si>
  <si>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</si>
  <si>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</si>
  <si>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</si>
  <si>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</si>
  <si>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</si>
  <si>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</si>
  <si>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</si>
  <si>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</si>
  <si>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</si>
  <si>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</si>
  <si>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</si>
  <si>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</si>
  <si>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</si>
  <si>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</si>
  <si>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</si>
  <si>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</si>
  <si>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</si>
  <si>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</si>
  <si>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</si>
  <si>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</si>
  <si>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</si>
  <si>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</si>
  <si>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</si>
  <si>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</si>
  <si>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</si>
  <si>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</si>
  <si>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</si>
  <si>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</si>
  <si>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</si>
  <si>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</si>
  <si>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</si>
  <si>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</si>
  <si>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</si>
  <si>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</si>
  <si>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</si>
  <si>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</si>
  <si>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</si>
  <si>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</si>
  <si>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</si>
  <si>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</si>
  <si>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</si>
  <si>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</si>
  <si>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</si>
  <si>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</si>
  <si>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</si>
  <si>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</si>
  <si>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</si>
  <si>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</si>
  <si>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</si>
  <si>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</si>
  <si>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</si>
  <si>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</si>
  <si>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</si>
  <si>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</si>
  <si>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</si>
  <si>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</si>
  <si>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</si>
  <si>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</si>
  <si>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</si>
  <si>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</si>
  <si>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</si>
  <si>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</si>
  <si>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</si>
  <si>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</si>
  <si>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</si>
  <si>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</si>
  <si>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</si>
  <si>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</si>
  <si>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</si>
  <si>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</si>
  <si>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</si>
  <si>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</si>
  <si>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</si>
  <si>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</si>
  <si>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</si>
  <si>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</si>
  <si>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</si>
  <si>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</si>
  <si>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</si>
  <si>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</si>
  <si>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</si>
  <si>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</si>
  <si>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</si>
  <si>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</si>
  <si>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</si>
  <si>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</si>
  <si>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</si>
  <si>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</si>
  <si>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</si>
  <si>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</si>
  <si>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</si>
  <si>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</si>
  <si>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</si>
  <si>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</si>
  <si>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</si>
  <si>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</si>
  <si>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</si>
  <si>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</si>
  <si>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</si>
  <si>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</si>
  <si>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</si>
  <si>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</si>
  <si>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</si>
  <si>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</si>
  <si>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</si>
  <si>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</si>
  <si>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</si>
  <si>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</si>
  <si>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</si>
  <si>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</si>
  <si>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</si>
  <si>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</si>
  <si>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</si>
  <si>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</si>
  <si>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</si>
  <si>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</si>
  <si>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</si>
  <si>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</si>
  <si>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</si>
  <si>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</si>
  <si>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</si>
  <si>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</si>
  <si>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</si>
  <si>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</si>
  <si>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</si>
  <si>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</si>
  <si>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</si>
  <si>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</si>
  <si>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</si>
  <si>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</si>
  <si>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</si>
  <si>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</si>
  <si>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</si>
  <si>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</si>
  <si>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</si>
  <si>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</si>
  <si>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</si>
  <si>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</si>
  <si>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</si>
  <si>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</si>
  <si>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</si>
  <si>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</si>
  <si>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</si>
  <si>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</si>
  <si>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</si>
  <si>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</si>
  <si>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</si>
  <si>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</si>
  <si>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</si>
  <si>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</si>
  <si>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</si>
  <si>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</si>
  <si>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</si>
  <si>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</si>
  <si>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</si>
  <si>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</si>
  <si>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</si>
  <si>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</si>
  <si>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</si>
  <si>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</si>
  <si>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</si>
  <si>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</si>
  <si>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</si>
  <si>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</si>
  <si>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</si>
  <si>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</si>
  <si>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</si>
  <si>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</si>
  <si>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</si>
  <si>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</si>
  <si>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</si>
  <si>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</si>
  <si>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</si>
  <si>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</si>
  <si>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</si>
  <si>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</si>
  <si>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</si>
  <si>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</si>
  <si>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</si>
  <si>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</si>
  <si>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</si>
  <si>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</si>
  <si>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</si>
  <si>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</si>
  <si>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</si>
  <si>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</si>
  <si>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</si>
  <si>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</si>
  <si>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</si>
  <si>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</si>
  <si>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</si>
  <si>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</si>
  <si>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</si>
  <si>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</si>
  <si>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</si>
  <si>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</si>
  <si>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</si>
  <si>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</si>
  <si>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</si>
  <si>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</si>
  <si>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</si>
  <si>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</si>
  <si>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</si>
  <si>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</si>
  <si>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</si>
  <si>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</si>
  <si>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</si>
  <si>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</si>
  <si>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</si>
  <si>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</si>
  <si>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</si>
  <si>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</si>
  <si>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</si>
  <si>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</si>
  <si>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</si>
  <si>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</si>
  <si>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</si>
  <si>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</si>
  <si>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</si>
  <si>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</si>
  <si>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</si>
  <si>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</si>
  <si>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</si>
  <si>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</si>
  <si>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</si>
  <si>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</si>
  <si>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</si>
  <si>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</si>
  <si>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</si>
  <si>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</si>
  <si>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</si>
  <si>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</si>
  <si>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</si>
  <si>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</si>
  <si>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</si>
  <si>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</si>
  <si>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</si>
  <si>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</si>
  <si>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</si>
  <si>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</si>
  <si>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</si>
  <si>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</si>
  <si>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</si>
  <si>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</si>
  <si>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</si>
  <si>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</si>
  <si>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</si>
  <si>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</si>
  <si>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</si>
  <si>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</si>
  <si>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</si>
  <si>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</si>
  <si>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</si>
  <si>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</si>
  <si>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</si>
  <si>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</si>
  <si>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</si>
  <si>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</si>
  <si>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</si>
  <si>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</si>
  <si>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</si>
  <si>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</si>
  <si>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</si>
  <si>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</si>
  <si>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</si>
  <si>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</si>
  <si>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</si>
  <si>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</si>
  <si>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</si>
  <si>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</si>
  <si>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</si>
  <si>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</si>
  <si>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</si>
  <si>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</si>
  <si>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</si>
  <si>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</si>
  <si>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</si>
  <si>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</si>
  <si>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</si>
  <si>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</si>
  <si>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</si>
  <si>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</si>
  <si>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</si>
  <si>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</si>
  <si>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</si>
  <si>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</si>
  <si>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</si>
  <si>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</si>
  <si>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</si>
  <si>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</si>
  <si>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</si>
  <si>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</si>
  <si>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</si>
  <si>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</si>
  <si>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</si>
  <si>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</si>
  <si>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</si>
  <si>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</si>
  <si>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</si>
  <si>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</si>
  <si>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</si>
  <si>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</si>
  <si>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</si>
  <si>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</si>
  <si>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</si>
  <si>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</si>
  <si>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</si>
  <si>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</si>
  <si>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</si>
  <si>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</si>
  <si>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</si>
  <si>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</si>
  <si>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</si>
  <si>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</si>
  <si>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</si>
  <si>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</si>
  <si>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</si>
  <si>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</si>
  <si>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</si>
  <si>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</si>
  <si>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</si>
  <si>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</si>
  <si>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</si>
  <si>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</si>
  <si>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</si>
  <si>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</si>
  <si>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</si>
  <si>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</si>
  <si>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</si>
  <si>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</si>
  <si>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</si>
  <si>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</si>
  <si>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</si>
  <si>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</si>
  <si>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</si>
  <si>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</si>
  <si>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</si>
  <si>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</si>
  <si>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</si>
  <si>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</si>
  <si>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</si>
  <si>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</si>
  <si>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</si>
  <si>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</si>
  <si>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</si>
  <si>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</si>
  <si>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</si>
  <si>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</si>
  <si>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</si>
  <si>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</si>
  <si>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</si>
  <si>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</si>
  <si>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</si>
  <si>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</si>
  <si>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</si>
  <si>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</si>
  <si>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</si>
  <si>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</si>
  <si>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</si>
  <si>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</si>
  <si>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</si>
  <si>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</si>
  <si>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</si>
  <si>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</si>
  <si>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</si>
  <si>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</si>
  <si>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</si>
  <si>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</si>
  <si>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</si>
  <si>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</si>
  <si>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</si>
  <si>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</si>
  <si>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</si>
  <si>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</si>
  <si>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</si>
  <si>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</si>
  <si>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</si>
  <si>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</si>
  <si>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</si>
  <si>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</si>
  <si>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</si>
  <si>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</si>
  <si>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</si>
  <si>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</si>
  <si>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</si>
  <si>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</si>
  <si>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</si>
  <si>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</si>
  <si>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</si>
  <si>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</si>
  <si>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</si>
  <si>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</si>
  <si>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</si>
  <si>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</si>
  <si>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</si>
  <si>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</si>
  <si>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</si>
  <si>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</si>
  <si>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</si>
  <si>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</si>
  <si>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</si>
  <si>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</si>
  <si>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</si>
  <si>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</si>
  <si>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</si>
  <si>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</si>
  <si>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</si>
  <si>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</si>
  <si>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</si>
  <si>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</si>
  <si>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</si>
  <si>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</si>
  <si>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</si>
  <si>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</si>
  <si>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</si>
  <si>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</si>
  <si>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</si>
  <si>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</si>
  <si>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</si>
  <si>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</si>
  <si>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</si>
  <si>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</si>
  <si>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</si>
  <si>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</si>
  <si>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</si>
  <si>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</si>
  <si>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</si>
  <si>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</si>
  <si>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</si>
  <si>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</si>
  <si>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</si>
  <si>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</si>
  <si>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</si>
  <si>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</si>
  <si>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</si>
  <si>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</si>
  <si>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</si>
  <si>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</si>
  <si>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</si>
  <si>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</si>
  <si>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</si>
  <si>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</si>
  <si>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</si>
  <si>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</si>
  <si>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</si>
  <si>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</si>
  <si>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</si>
  <si>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</si>
  <si>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</si>
  <si>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</si>
  <si>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</si>
  <si>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</si>
  <si>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</si>
  <si>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</si>
  <si>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</si>
  <si>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</si>
  <si>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</si>
  <si>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</si>
  <si>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</si>
  <si>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</si>
  <si>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</si>
  <si>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</si>
  <si>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</si>
  <si>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</si>
  <si>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</si>
  <si>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</si>
  <si>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</si>
  <si>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</si>
  <si>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</si>
  <si>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</si>
  <si>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</si>
  <si>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</si>
  <si>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</si>
  <si>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</si>
  <si>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</si>
  <si>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</si>
  <si>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</si>
  <si>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</si>
  <si>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</si>
  <si>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</si>
  <si>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</si>
  <si>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</si>
  <si>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</si>
  <si>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</si>
  <si>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</si>
  <si>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</si>
  <si>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</si>
  <si>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</si>
  <si>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</si>
  <si>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</si>
  <si>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</si>
  <si>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</si>
  <si>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</si>
  <si>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</si>
  <si>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</si>
  <si>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</si>
  <si>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</si>
  <si>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</si>
  <si>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</si>
  <si>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</si>
  <si>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</si>
  <si>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</si>
  <si>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</si>
  <si>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</si>
  <si>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</si>
  <si>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</si>
  <si>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</si>
  <si>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</si>
  <si>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</si>
  <si>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</si>
  <si>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</si>
  <si>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</si>
  <si>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</si>
  <si>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</si>
  <si>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</si>
  <si>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</si>
  <si>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</si>
  <si>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</si>
  <si>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</si>
  <si>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</si>
  <si>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</si>
  <si>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</si>
  <si>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</si>
  <si>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</si>
  <si>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</si>
  <si>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</si>
  <si>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</si>
  <si>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</si>
  <si>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</si>
  <si>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</si>
  <si>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</si>
  <si>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</si>
  <si>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</si>
  <si>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</si>
  <si>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</si>
  <si>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</si>
  <si>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</si>
  <si>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</si>
  <si>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</si>
  <si>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</si>
  <si>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</si>
  <si>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</si>
  <si>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</si>
  <si>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</si>
  <si>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</si>
  <si>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</si>
  <si>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</si>
  <si>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</si>
  <si>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</si>
  <si>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</si>
  <si>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</si>
  <si>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</si>
  <si>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</si>
  <si>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</si>
  <si>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</si>
  <si>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</si>
  <si>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</si>
  <si>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</si>
  <si>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</si>
  <si>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</si>
  <si>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</si>
  <si>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</si>
  <si>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</si>
  <si>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</si>
  <si>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</si>
  <si>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</si>
  <si>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</si>
  <si>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</si>
  <si>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</si>
  <si>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</si>
  <si>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</si>
  <si>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</si>
  <si>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</si>
  <si>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</si>
  <si>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</si>
  <si>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</si>
  <si>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</si>
  <si>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</si>
  <si>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</si>
  <si>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</si>
  <si>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</si>
  <si>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</si>
  <si>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</si>
  <si>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</si>
  <si>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</si>
  <si>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</si>
  <si>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</si>
  <si>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</si>
  <si>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</si>
  <si>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</si>
  <si>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</si>
  <si>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</si>
  <si>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</si>
  <si>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</si>
  <si>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</si>
  <si>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</si>
  <si>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</si>
  <si>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</si>
  <si>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</si>
  <si>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</si>
  <si>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</si>
  <si>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</si>
  <si>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</si>
  <si>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</si>
  <si>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</si>
  <si>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</si>
  <si>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</si>
  <si>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</si>
  <si>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</si>
  <si>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</si>
  <si>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</si>
  <si>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</si>
  <si>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</si>
  <si>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</si>
  <si>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</si>
  <si>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</si>
  <si>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</si>
  <si>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</si>
  <si>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</si>
  <si>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</si>
  <si>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</si>
  <si>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</si>
  <si>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</si>
  <si>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</si>
  <si>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</si>
  <si>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</si>
  <si>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</si>
  <si>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</si>
  <si>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</si>
  <si>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</si>
  <si>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</si>
  <si>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</si>
  <si>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</si>
  <si>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</si>
  <si>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</si>
  <si>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</si>
  <si>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</si>
  <si>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</si>
  <si>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</si>
  <si>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</si>
  <si>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</si>
  <si>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</si>
  <si>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</si>
  <si>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</si>
  <si>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</si>
  <si>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</si>
  <si>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</si>
  <si>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</si>
  <si>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</si>
  <si>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</si>
  <si>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</si>
  <si>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</si>
  <si>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</si>
  <si>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</si>
  <si>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</si>
  <si>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</si>
  <si>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</si>
  <si>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</si>
  <si>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</si>
  <si>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</si>
  <si>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</si>
  <si>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</si>
  <si>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</si>
  <si>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</si>
  <si>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</si>
  <si>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</si>
  <si>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</si>
  <si>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</si>
  <si>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</si>
  <si>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</si>
  <si>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</si>
  <si>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</si>
  <si>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</si>
  <si>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</si>
  <si>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</si>
  <si>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</si>
  <si>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</si>
  <si>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</si>
  <si>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</si>
  <si>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</si>
  <si>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</si>
  <si>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</si>
  <si>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</si>
  <si>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</si>
  <si>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</si>
  <si>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</si>
  <si>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</si>
  <si>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</si>
  <si>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</si>
  <si>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</si>
  <si>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</si>
  <si>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</si>
  <si>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</si>
  <si>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</si>
  <si>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</si>
  <si>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</si>
  <si>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</si>
  <si>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</si>
  <si>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</si>
  <si>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</si>
  <si>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</si>
  <si>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</si>
  <si>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</si>
  <si>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</si>
  <si>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</si>
  <si>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</si>
  <si>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</si>
  <si>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</si>
  <si>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</si>
  <si>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</si>
  <si>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</si>
  <si>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</si>
  <si>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</si>
  <si>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</si>
  <si>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</si>
  <si>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</si>
  <si>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</si>
  <si>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</si>
  <si>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</si>
  <si>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</si>
  <si>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</si>
  <si>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</si>
  <si>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</si>
  <si>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</si>
  <si>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13040</t>
  </si>
  <si>
    <t>TURNHOUT</t>
  </si>
  <si>
    <t>Mestbank (maart 2019)</t>
  </si>
  <si>
    <t>Fluvius (februari 2019)</t>
  </si>
  <si>
    <t>referentietaak LNE (2017); Jaarverslag De Lijn (2018)</t>
  </si>
  <si>
    <t>VEA (30 april 2019)</t>
  </si>
  <si>
    <t>VEA (mei 2018)</t>
  </si>
  <si>
    <t>VEA (mei 2019)</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</si>
  <si>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</si>
  <si>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</si>
  <si>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</si>
  <si>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</si>
  <si>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</si>
  <si>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</si>
  <si>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</si>
  <si>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</si>
  <si>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</si>
  <si>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</si>
  <si>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</si>
  <si>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Kompaan</t>
  </si>
  <si>
    <t>WKK-0866</t>
  </si>
  <si>
    <t>brandstofcel</t>
  </si>
  <si>
    <t>Kampheidelaan 22, Turnhout</t>
  </si>
  <si>
    <t>IVEKA (via EANDIS)</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</si>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</sst>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314547.47619955835</c:v>
                </c:pt>
                <c:pt idx="1">
                  <c:v>226522.72598457569</c:v>
                </c:pt>
                <c:pt idx="2">
                  <c:v>2632.5810000000001</c:v>
                </c:pt>
                <c:pt idx="3">
                  <c:v>9177.8227028316924</c:v>
                </c:pt>
                <c:pt idx="4">
                  <c:v>357189.37599737121</c:v>
                </c:pt>
                <c:pt idx="5">
                  <c:v>251232.93780771681</c:v>
                </c:pt>
                <c:pt idx="6">
                  <c:v>4997.8442739892971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314547.47619955835</c:v>
                </c:pt>
                <c:pt idx="1">
                  <c:v>226522.72598457569</c:v>
                </c:pt>
                <c:pt idx="2">
                  <c:v>2632.5810000000001</c:v>
                </c:pt>
                <c:pt idx="3">
                  <c:v>9177.8227028316924</c:v>
                </c:pt>
                <c:pt idx="4">
                  <c:v>357189.37599737121</c:v>
                </c:pt>
                <c:pt idx="5">
                  <c:v>251232.93780771681</c:v>
                </c:pt>
                <c:pt idx="6">
                  <c:v>4997.8442739892971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58557.549476538639</c:v>
                </c:pt>
                <c:pt idx="1">
                  <c:v>46607.820100207136</c:v>
                </c:pt>
                <c:pt idx="2">
                  <c:v>538.88787427280374</c:v>
                </c:pt>
                <c:pt idx="3">
                  <c:v>2240.846574077686</c:v>
                </c:pt>
                <c:pt idx="4">
                  <c:v>74168.625426794999</c:v>
                </c:pt>
                <c:pt idx="5">
                  <c:v>62588.018481358224</c:v>
                </c:pt>
                <c:pt idx="6">
                  <c:v>1264.1621490396601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58557.549476538639</c:v>
                </c:pt>
                <c:pt idx="1">
                  <c:v>46607.820100207136</c:v>
                </c:pt>
                <c:pt idx="2">
                  <c:v>538.88787427280374</c:v>
                </c:pt>
                <c:pt idx="3">
                  <c:v>2240.846574077686</c:v>
                </c:pt>
                <c:pt idx="4">
                  <c:v>74168.625426794999</c:v>
                </c:pt>
                <c:pt idx="5">
                  <c:v>62588.018481358224</c:v>
                </c:pt>
                <c:pt idx="6">
                  <c:v>1264.1621490396601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0.20469944676832497</v>
      </c>
      <c r="C17" s="527">
        <f ca="1">'EF ele_warmte'!B22</f>
        <v>0.23454247114010113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0.20469944676832497</v>
      </c>
      <c r="C29" s="528">
        <f ca="1">'EF ele_warmte'!B22</f>
        <v>0.23454247114010113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19332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2177.04</v>
      </c>
    </row>
    <row r="15" spans="1:6">
      <c r="A15" s="348" t="s">
        <v>183</v>
      </c>
      <c r="B15" s="334">
        <v>3548</v>
      </c>
    </row>
    <row r="16" spans="1:6">
      <c r="A16" s="348" t="s">
        <v>6</v>
      </c>
      <c r="B16" s="334">
        <v>1010</v>
      </c>
    </row>
    <row r="17" spans="1:6">
      <c r="A17" s="348" t="s">
        <v>7</v>
      </c>
      <c r="B17" s="334">
        <v>155</v>
      </c>
    </row>
    <row r="18" spans="1:6">
      <c r="A18" s="348" t="s">
        <v>8</v>
      </c>
      <c r="B18" s="334">
        <v>649</v>
      </c>
    </row>
    <row r="19" spans="1:6">
      <c r="A19" s="348" t="s">
        <v>9</v>
      </c>
      <c r="B19" s="334">
        <v>656</v>
      </c>
    </row>
    <row r="20" spans="1:6">
      <c r="A20" s="348" t="s">
        <v>10</v>
      </c>
      <c r="B20" s="334">
        <v>276</v>
      </c>
    </row>
    <row r="21" spans="1:6">
      <c r="A21" s="348" t="s">
        <v>11</v>
      </c>
      <c r="B21" s="334">
        <v>1075</v>
      </c>
    </row>
    <row r="22" spans="1:6">
      <c r="A22" s="348" t="s">
        <v>12</v>
      </c>
      <c r="B22" s="334">
        <v>3603</v>
      </c>
    </row>
    <row r="23" spans="1:6">
      <c r="A23" s="348" t="s">
        <v>13</v>
      </c>
      <c r="B23" s="334">
        <v>36</v>
      </c>
    </row>
    <row r="24" spans="1:6">
      <c r="A24" s="348" t="s">
        <v>14</v>
      </c>
      <c r="B24" s="334">
        <v>2</v>
      </c>
    </row>
    <row r="25" spans="1:6">
      <c r="A25" s="348" t="s">
        <v>15</v>
      </c>
      <c r="B25" s="334">
        <v>198</v>
      </c>
    </row>
    <row r="26" spans="1:6">
      <c r="A26" s="348" t="s">
        <v>16</v>
      </c>
      <c r="B26" s="334">
        <v>42</v>
      </c>
    </row>
    <row r="27" spans="1:6">
      <c r="A27" s="348" t="s">
        <v>17</v>
      </c>
      <c r="B27" s="334">
        <v>2</v>
      </c>
    </row>
    <row r="28" spans="1:6" s="356" customFormat="1">
      <c r="A28" s="355" t="s">
        <v>18</v>
      </c>
      <c r="B28" s="355">
        <v>421380</v>
      </c>
    </row>
    <row r="29" spans="1:6">
      <c r="A29" s="355" t="s">
        <v>713</v>
      </c>
      <c r="B29" s="355">
        <v>169</v>
      </c>
      <c r="C29" s="356"/>
      <c r="D29" s="356"/>
      <c r="E29" s="356"/>
      <c r="F29" s="356"/>
    </row>
    <row r="30" spans="1:6">
      <c r="A30" s="341" t="s">
        <v>714</v>
      </c>
      <c r="B30" s="341">
        <v>49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545969.56400000001</v>
      </c>
    </row>
    <row r="37" spans="1:6">
      <c r="A37" s="348" t="s">
        <v>24</v>
      </c>
      <c r="B37" s="348" t="s">
        <v>27</v>
      </c>
      <c r="C37" s="334">
        <v>0</v>
      </c>
      <c r="D37" s="334">
        <v>0</v>
      </c>
      <c r="E37" s="334">
        <v>0</v>
      </c>
      <c r="F37" s="334">
        <v>0</v>
      </c>
    </row>
    <row r="38" spans="1:6">
      <c r="A38" s="348" t="s">
        <v>24</v>
      </c>
      <c r="B38" s="348" t="s">
        <v>28</v>
      </c>
      <c r="C38" s="334">
        <v>2</v>
      </c>
      <c r="D38" s="334">
        <v>361937.90399999998</v>
      </c>
      <c r="E38" s="334">
        <v>3</v>
      </c>
      <c r="F38" s="334">
        <v>133839.48800000001</v>
      </c>
    </row>
    <row r="39" spans="1:6">
      <c r="A39" s="348" t="s">
        <v>29</v>
      </c>
      <c r="B39" s="348" t="s">
        <v>30</v>
      </c>
      <c r="C39" s="334">
        <v>17372</v>
      </c>
      <c r="D39" s="334">
        <v>246553560.90000001</v>
      </c>
      <c r="E39" s="334">
        <v>19600</v>
      </c>
      <c r="F39" s="334">
        <v>53439854.789999999</v>
      </c>
    </row>
    <row r="40" spans="1:6">
      <c r="A40" s="348" t="s">
        <v>29</v>
      </c>
      <c r="B40" s="348" t="s">
        <v>28</v>
      </c>
      <c r="C40" s="334">
        <v>0</v>
      </c>
      <c r="D40" s="334">
        <v>0</v>
      </c>
      <c r="E40" s="334">
        <v>1</v>
      </c>
      <c r="F40" s="334">
        <v>6832.3119999999999</v>
      </c>
    </row>
    <row r="41" spans="1:6">
      <c r="A41" s="348" t="s">
        <v>31</v>
      </c>
      <c r="B41" s="348" t="s">
        <v>32</v>
      </c>
      <c r="C41" s="334">
        <v>179</v>
      </c>
      <c r="D41" s="334">
        <v>4185198.5359999998</v>
      </c>
      <c r="E41" s="334">
        <v>311</v>
      </c>
      <c r="F41" s="334">
        <v>11588873.74</v>
      </c>
    </row>
    <row r="42" spans="1:6">
      <c r="A42" s="348" t="s">
        <v>31</v>
      </c>
      <c r="B42" s="348" t="s">
        <v>33</v>
      </c>
      <c r="C42" s="334">
        <v>9</v>
      </c>
      <c r="D42" s="334">
        <v>15332537.380000001</v>
      </c>
      <c r="E42" s="334">
        <v>6</v>
      </c>
      <c r="F42" s="334">
        <v>19140825.940000001</v>
      </c>
    </row>
    <row r="43" spans="1:6">
      <c r="A43" s="348" t="s">
        <v>31</v>
      </c>
      <c r="B43" s="348" t="s">
        <v>34</v>
      </c>
      <c r="C43" s="334">
        <v>0</v>
      </c>
      <c r="D43" s="334">
        <v>0</v>
      </c>
      <c r="E43" s="334">
        <v>0</v>
      </c>
      <c r="F43" s="334">
        <v>0</v>
      </c>
    </row>
    <row r="44" spans="1:6">
      <c r="A44" s="348" t="s">
        <v>31</v>
      </c>
      <c r="B44" s="348" t="s">
        <v>35</v>
      </c>
      <c r="C44" s="334">
        <v>13</v>
      </c>
      <c r="D44" s="334">
        <v>3693114.4730000002</v>
      </c>
      <c r="E44" s="334">
        <v>31</v>
      </c>
      <c r="F44" s="334">
        <v>2216689.1310000001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17</v>
      </c>
      <c r="D47" s="334">
        <v>28581547.84</v>
      </c>
      <c r="E47" s="334">
        <v>20</v>
      </c>
      <c r="F47" s="334">
        <v>26656367.260000002</v>
      </c>
    </row>
    <row r="48" spans="1:6">
      <c r="A48" s="348" t="s">
        <v>31</v>
      </c>
      <c r="B48" s="348" t="s">
        <v>28</v>
      </c>
      <c r="C48" s="334">
        <v>53</v>
      </c>
      <c r="D48" s="334">
        <v>74647096.049999997</v>
      </c>
      <c r="E48" s="334">
        <v>51</v>
      </c>
      <c r="F48" s="334">
        <v>86573010.760000005</v>
      </c>
    </row>
    <row r="49" spans="1:6">
      <c r="A49" s="348" t="s">
        <v>31</v>
      </c>
      <c r="B49" s="348" t="s">
        <v>39</v>
      </c>
      <c r="C49" s="334">
        <v>3</v>
      </c>
      <c r="D49" s="334">
        <v>270269.386</v>
      </c>
      <c r="E49" s="334">
        <v>0</v>
      </c>
      <c r="F49" s="334">
        <v>0</v>
      </c>
    </row>
    <row r="50" spans="1:6">
      <c r="A50" s="348" t="s">
        <v>31</v>
      </c>
      <c r="B50" s="348" t="s">
        <v>40</v>
      </c>
      <c r="C50" s="334">
        <v>22</v>
      </c>
      <c r="D50" s="334">
        <v>36763572.539999999</v>
      </c>
      <c r="E50" s="334">
        <v>33</v>
      </c>
      <c r="F50" s="334">
        <v>21568418.399999999</v>
      </c>
    </row>
    <row r="51" spans="1:6">
      <c r="A51" s="348" t="s">
        <v>41</v>
      </c>
      <c r="B51" s="348" t="s">
        <v>42</v>
      </c>
      <c r="C51" s="334">
        <v>6</v>
      </c>
      <c r="D51" s="334">
        <v>271274.44400000002</v>
      </c>
      <c r="E51" s="334">
        <v>62</v>
      </c>
      <c r="F51" s="334">
        <v>1295684.142</v>
      </c>
    </row>
    <row r="52" spans="1:6">
      <c r="A52" s="348" t="s">
        <v>41</v>
      </c>
      <c r="B52" s="348" t="s">
        <v>28</v>
      </c>
      <c r="C52" s="334">
        <v>8</v>
      </c>
      <c r="D52" s="334">
        <v>2354651.318</v>
      </c>
      <c r="E52" s="334">
        <v>7</v>
      </c>
      <c r="F52" s="334">
        <v>110942.686</v>
      </c>
    </row>
    <row r="53" spans="1:6">
      <c r="A53" s="348" t="s">
        <v>43</v>
      </c>
      <c r="B53" s="348" t="s">
        <v>44</v>
      </c>
      <c r="C53" s="334">
        <v>416</v>
      </c>
      <c r="D53" s="334">
        <v>7305438.1880000001</v>
      </c>
      <c r="E53" s="334">
        <v>784</v>
      </c>
      <c r="F53" s="334">
        <v>2602368.909</v>
      </c>
    </row>
    <row r="54" spans="1:6">
      <c r="A54" s="348" t="s">
        <v>45</v>
      </c>
      <c r="B54" s="348" t="s">
        <v>46</v>
      </c>
      <c r="C54" s="334">
        <v>0</v>
      </c>
      <c r="D54" s="334">
        <v>0</v>
      </c>
      <c r="E54" s="334">
        <v>1</v>
      </c>
      <c r="F54" s="334">
        <v>2632581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157</v>
      </c>
      <c r="D57" s="334">
        <v>9144506.0140000004</v>
      </c>
      <c r="E57" s="334">
        <v>209</v>
      </c>
      <c r="F57" s="334">
        <v>4930024.8830000004</v>
      </c>
    </row>
    <row r="58" spans="1:6">
      <c r="A58" s="348" t="s">
        <v>48</v>
      </c>
      <c r="B58" s="348" t="s">
        <v>50</v>
      </c>
      <c r="C58" s="334">
        <v>117</v>
      </c>
      <c r="D58" s="334">
        <v>16500707.539999999</v>
      </c>
      <c r="E58" s="334">
        <v>163</v>
      </c>
      <c r="F58" s="334">
        <v>15073889.5</v>
      </c>
    </row>
    <row r="59" spans="1:6">
      <c r="A59" s="348" t="s">
        <v>48</v>
      </c>
      <c r="B59" s="348" t="s">
        <v>51</v>
      </c>
      <c r="C59" s="334">
        <v>431</v>
      </c>
      <c r="D59" s="334">
        <v>28135766.609999999</v>
      </c>
      <c r="E59" s="334">
        <v>634</v>
      </c>
      <c r="F59" s="334">
        <v>32038871.559999999</v>
      </c>
    </row>
    <row r="60" spans="1:6">
      <c r="A60" s="348" t="s">
        <v>48</v>
      </c>
      <c r="B60" s="348" t="s">
        <v>52</v>
      </c>
      <c r="C60" s="334">
        <v>215</v>
      </c>
      <c r="D60" s="334">
        <v>18556563.079999998</v>
      </c>
      <c r="E60" s="334">
        <v>235</v>
      </c>
      <c r="F60" s="334">
        <v>7556496.8760000002</v>
      </c>
    </row>
    <row r="61" spans="1:6">
      <c r="A61" s="348" t="s">
        <v>48</v>
      </c>
      <c r="B61" s="348" t="s">
        <v>53</v>
      </c>
      <c r="C61" s="334">
        <v>868</v>
      </c>
      <c r="D61" s="334">
        <v>45420549.530000001</v>
      </c>
      <c r="E61" s="334">
        <v>1680</v>
      </c>
      <c r="F61" s="334">
        <v>22432647.350000001</v>
      </c>
    </row>
    <row r="62" spans="1:6">
      <c r="A62" s="348" t="s">
        <v>48</v>
      </c>
      <c r="B62" s="348" t="s">
        <v>54</v>
      </c>
      <c r="C62" s="334">
        <v>54</v>
      </c>
      <c r="D62" s="334">
        <v>8465437.7349999994</v>
      </c>
      <c r="E62" s="334">
        <v>42</v>
      </c>
      <c r="F62" s="334">
        <v>2044296.7339999999</v>
      </c>
    </row>
    <row r="63" spans="1:6">
      <c r="A63" s="348" t="s">
        <v>48</v>
      </c>
      <c r="B63" s="348" t="s">
        <v>28</v>
      </c>
      <c r="C63" s="334">
        <v>83</v>
      </c>
      <c r="D63" s="334">
        <v>13486497.960000001</v>
      </c>
      <c r="E63" s="334">
        <v>84</v>
      </c>
      <c r="F63" s="334">
        <v>4148099.9840000002</v>
      </c>
    </row>
    <row r="64" spans="1:6">
      <c r="A64" s="348" t="s">
        <v>55</v>
      </c>
      <c r="B64" s="348" t="s">
        <v>56</v>
      </c>
      <c r="C64" s="334">
        <v>0</v>
      </c>
      <c r="D64" s="334">
        <v>0</v>
      </c>
      <c r="E64" s="334">
        <v>0</v>
      </c>
      <c r="F64" s="334">
        <v>0</v>
      </c>
    </row>
    <row r="65" spans="1:6">
      <c r="A65" s="348" t="s">
        <v>55</v>
      </c>
      <c r="B65" s="348" t="s">
        <v>28</v>
      </c>
      <c r="C65" s="334">
        <v>7</v>
      </c>
      <c r="D65" s="334">
        <v>805451.41599999997</v>
      </c>
      <c r="E65" s="334">
        <v>4</v>
      </c>
      <c r="F65" s="334">
        <v>58104.224999999999</v>
      </c>
    </row>
    <row r="66" spans="1:6">
      <c r="A66" s="348" t="s">
        <v>55</v>
      </c>
      <c r="B66" s="348" t="s">
        <v>57</v>
      </c>
      <c r="C66" s="334">
        <v>8</v>
      </c>
      <c r="D66" s="334">
        <v>934674.96499999997</v>
      </c>
      <c r="E66" s="334">
        <v>28</v>
      </c>
      <c r="F66" s="334">
        <v>767024.19900000002</v>
      </c>
    </row>
    <row r="67" spans="1:6">
      <c r="A67" s="355" t="s">
        <v>55</v>
      </c>
      <c r="B67" s="355" t="s">
        <v>58</v>
      </c>
      <c r="C67" s="334">
        <v>0</v>
      </c>
      <c r="D67" s="334">
        <v>0</v>
      </c>
      <c r="E67" s="334">
        <v>0</v>
      </c>
      <c r="F67" s="334">
        <v>0</v>
      </c>
    </row>
    <row r="68" spans="1:6">
      <c r="A68" s="341" t="s">
        <v>55</v>
      </c>
      <c r="B68" s="341" t="s">
        <v>59</v>
      </c>
      <c r="C68" s="334">
        <v>3</v>
      </c>
      <c r="D68" s="334">
        <v>169952.09400000001</v>
      </c>
      <c r="E68" s="334">
        <v>24</v>
      </c>
      <c r="F68" s="334">
        <v>906529.39500000002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155295238</v>
      </c>
      <c r="E73" s="476"/>
    </row>
    <row r="74" spans="1:6">
      <c r="A74" s="348" t="s">
        <v>63</v>
      </c>
      <c r="B74" s="348" t="s">
        <v>651</v>
      </c>
      <c r="C74" s="1307" t="s">
        <v>653</v>
      </c>
      <c r="D74" s="476">
        <v>14781376.5</v>
      </c>
      <c r="E74" s="476"/>
    </row>
    <row r="75" spans="1:6">
      <c r="A75" s="348" t="s">
        <v>64</v>
      </c>
      <c r="B75" s="348" t="s">
        <v>650</v>
      </c>
      <c r="C75" s="1307" t="s">
        <v>654</v>
      </c>
      <c r="D75" s="476">
        <v>30011023</v>
      </c>
      <c r="E75" s="476"/>
    </row>
    <row r="76" spans="1:6">
      <c r="A76" s="348" t="s">
        <v>64</v>
      </c>
      <c r="B76" s="348" t="s">
        <v>651</v>
      </c>
      <c r="C76" s="1307" t="s">
        <v>655</v>
      </c>
      <c r="D76" s="476">
        <v>581268.5</v>
      </c>
      <c r="E76" s="476"/>
    </row>
    <row r="77" spans="1:6">
      <c r="A77" s="348" t="s">
        <v>65</v>
      </c>
      <c r="B77" s="348" t="s">
        <v>650</v>
      </c>
      <c r="C77" s="1307" t="s">
        <v>656</v>
      </c>
      <c r="D77" s="476">
        <v>65426194</v>
      </c>
      <c r="E77" s="476"/>
    </row>
    <row r="78" spans="1:6">
      <c r="A78" s="341" t="s">
        <v>65</v>
      </c>
      <c r="B78" s="341" t="s">
        <v>651</v>
      </c>
      <c r="C78" s="341" t="s">
        <v>657</v>
      </c>
      <c r="D78" s="1308">
        <v>17602639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1388465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7721.336208620296</v>
      </c>
    </row>
    <row r="91" spans="1:6">
      <c r="A91" s="348" t="s">
        <v>67</v>
      </c>
      <c r="B91" s="334">
        <v>5285.5074940462782</v>
      </c>
    </row>
    <row r="92" spans="1:6">
      <c r="A92" s="341" t="s">
        <v>68</v>
      </c>
      <c r="B92" s="342">
        <v>9891.8922901996193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12843</v>
      </c>
    </row>
    <row r="98" spans="1:6">
      <c r="A98" s="348" t="s">
        <v>71</v>
      </c>
      <c r="B98" s="334">
        <v>18</v>
      </c>
    </row>
    <row r="99" spans="1:6">
      <c r="A99" s="348" t="s">
        <v>72</v>
      </c>
      <c r="B99" s="334">
        <v>63</v>
      </c>
    </row>
    <row r="100" spans="1:6">
      <c r="A100" s="348" t="s">
        <v>73</v>
      </c>
      <c r="B100" s="334">
        <v>462</v>
      </c>
    </row>
    <row r="101" spans="1:6">
      <c r="A101" s="348" t="s">
        <v>74</v>
      </c>
      <c r="B101" s="334">
        <v>128</v>
      </c>
    </row>
    <row r="102" spans="1:6">
      <c r="A102" s="348" t="s">
        <v>75</v>
      </c>
      <c r="B102" s="334">
        <v>292</v>
      </c>
    </row>
    <row r="103" spans="1:6">
      <c r="A103" s="348" t="s">
        <v>76</v>
      </c>
      <c r="B103" s="334">
        <v>271</v>
      </c>
    </row>
    <row r="104" spans="1:6">
      <c r="A104" s="348" t="s">
        <v>77</v>
      </c>
      <c r="B104" s="334">
        <v>2518</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35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216</v>
      </c>
    </row>
    <row r="130" spans="1:6">
      <c r="A130" s="348" t="s">
        <v>294</v>
      </c>
      <c r="B130" s="334">
        <v>4</v>
      </c>
    </row>
    <row r="131" spans="1:6">
      <c r="A131" s="348" t="s">
        <v>295</v>
      </c>
      <c r="B131" s="334">
        <v>8</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325997.61177035887</v>
      </c>
      <c r="C3" s="43" t="s">
        <v>169</v>
      </c>
      <c r="D3" s="43"/>
      <c r="E3" s="154"/>
      <c r="F3" s="43"/>
      <c r="G3" s="43"/>
      <c r="H3" s="43"/>
      <c r="I3" s="43"/>
      <c r="J3" s="43"/>
      <c r="K3" s="96"/>
    </row>
    <row r="4" spans="1:11">
      <c r="A4" s="383" t="s">
        <v>170</v>
      </c>
      <c r="B4" s="49">
        <f>IF(ISERROR('SEAP template'!B78+'SEAP template'!C78),0,'SEAP template'!B78+'SEAP template'!C78)</f>
        <v>27417.902659532861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745.41506369509796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0.20469944676832497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1328.7440740140401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5665.2599742599741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0.23454247114010113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2632.5810000000001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2632.5810000000001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0.20469944676832497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538.88787427280374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53446.687101999996</v>
      </c>
      <c r="C5" s="17">
        <f>IF(ISERROR('Eigen informatie GS &amp; warmtenet'!B59),0,'Eigen informatie GS &amp; warmtenet'!B59)</f>
        <v>0</v>
      </c>
      <c r="D5" s="30">
        <f>(SUM(HH_hh_gas_kWh,HH_rest_gas_kWh)/1000)*0.902</f>
        <v>222391.31193180001</v>
      </c>
      <c r="E5" s="17">
        <f>B46*B57</f>
        <v>7101.5714758359227</v>
      </c>
      <c r="F5" s="17">
        <f>B51*B62</f>
        <v>0</v>
      </c>
      <c r="G5" s="18"/>
      <c r="H5" s="17"/>
      <c r="I5" s="17"/>
      <c r="J5" s="17">
        <f>B50*B61+C50*C61</f>
        <v>0</v>
      </c>
      <c r="K5" s="17"/>
      <c r="L5" s="17"/>
      <c r="M5" s="17"/>
      <c r="N5" s="17">
        <f>B48*B59+C48*C59</f>
        <v>24969.190020668171</v>
      </c>
      <c r="O5" s="17">
        <f>B69*B70*B71</f>
        <v>499.95747128553205</v>
      </c>
      <c r="P5" s="17">
        <f>B77*B78*B79/1000-B77*B78*B79/1000/B80</f>
        <v>853.25070392248676</v>
      </c>
    </row>
    <row r="6" spans="1:16">
      <c r="A6" s="16" t="s">
        <v>615</v>
      </c>
      <c r="B6" s="809">
        <f>kWh_PV_kleiner_dan_10kW</f>
        <v>5285.5074940462782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58732.194596046276</v>
      </c>
      <c r="C8" s="21">
        <f>C5</f>
        <v>0</v>
      </c>
      <c r="D8" s="21">
        <f>D5</f>
        <v>222391.31193180001</v>
      </c>
      <c r="E8" s="21">
        <f>E5</f>
        <v>7101.5714758359227</v>
      </c>
      <c r="F8" s="21">
        <f>F5</f>
        <v>0</v>
      </c>
      <c r="G8" s="21"/>
      <c r="H8" s="21"/>
      <c r="I8" s="21"/>
      <c r="J8" s="21">
        <f>J5</f>
        <v>0</v>
      </c>
      <c r="K8" s="21"/>
      <c r="L8" s="21">
        <f>L5</f>
        <v>0</v>
      </c>
      <c r="M8" s="21">
        <f>M5</f>
        <v>0</v>
      </c>
      <c r="N8" s="21">
        <f>N5</f>
        <v>24969.190020668171</v>
      </c>
      <c r="O8" s="21">
        <f>O5</f>
        <v>499.95747128553205</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0.20469944676832497</v>
      </c>
      <c r="C10" s="25">
        <f ca="1">'EF ele_warmte'!B22</f>
        <v>0.23454247114010113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12022.447741300279</v>
      </c>
      <c r="C12" s="23">
        <f ca="1">C10*C8</f>
        <v>0</v>
      </c>
      <c r="D12" s="23">
        <f>D8*D10</f>
        <v>44923.045010223606</v>
      </c>
      <c r="E12" s="23">
        <f>E10*E8</f>
        <v>1612.0567250147544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12843</v>
      </c>
      <c r="C18" s="166" t="s">
        <v>110</v>
      </c>
      <c r="D18" s="228"/>
      <c r="E18" s="15"/>
    </row>
    <row r="19" spans="1:7">
      <c r="A19" s="171" t="s">
        <v>71</v>
      </c>
      <c r="B19" s="37">
        <f>aantalw2001_ander</f>
        <v>18</v>
      </c>
      <c r="C19" s="166" t="s">
        <v>110</v>
      </c>
      <c r="D19" s="229"/>
      <c r="E19" s="15"/>
    </row>
    <row r="20" spans="1:7">
      <c r="A20" s="171" t="s">
        <v>72</v>
      </c>
      <c r="B20" s="37">
        <f>aantalw2001_propaan</f>
        <v>63</v>
      </c>
      <c r="C20" s="167">
        <f>IF(ISERROR(B20/SUM($B$20,$B$21,$B$22)*100),0,B20/SUM($B$20,$B$21,$B$22)*100)</f>
        <v>9.6477794793261857</v>
      </c>
      <c r="D20" s="229"/>
      <c r="E20" s="15"/>
    </row>
    <row r="21" spans="1:7">
      <c r="A21" s="171" t="s">
        <v>73</v>
      </c>
      <c r="B21" s="37">
        <f>aantalw2001_elektriciteit</f>
        <v>462</v>
      </c>
      <c r="C21" s="167">
        <f>IF(ISERROR(B21/SUM($B$20,$B$21,$B$22)*100),0,B21/SUM($B$20,$B$21,$B$22)*100)</f>
        <v>70.750382848392036</v>
      </c>
      <c r="D21" s="229"/>
      <c r="E21" s="15"/>
    </row>
    <row r="22" spans="1:7">
      <c r="A22" s="171" t="s">
        <v>74</v>
      </c>
      <c r="B22" s="37">
        <f>aantalw2001_hout</f>
        <v>128</v>
      </c>
      <c r="C22" s="167">
        <f>IF(ISERROR(B22/SUM($B$20,$B$21,$B$22)*100),0,B22/SUM($B$20,$B$21,$B$22)*100)</f>
        <v>19.601837672281778</v>
      </c>
      <c r="D22" s="229"/>
      <c r="E22" s="15"/>
    </row>
    <row r="23" spans="1:7">
      <c r="A23" s="171" t="s">
        <v>75</v>
      </c>
      <c r="B23" s="37">
        <f>aantalw2001_niet_gespec</f>
        <v>292</v>
      </c>
      <c r="C23" s="166" t="s">
        <v>110</v>
      </c>
      <c r="D23" s="228"/>
      <c r="E23" s="15"/>
    </row>
    <row r="24" spans="1:7">
      <c r="A24" s="171" t="s">
        <v>76</v>
      </c>
      <c r="B24" s="37">
        <f>aantalw2001_steenkool</f>
        <v>271</v>
      </c>
      <c r="C24" s="166" t="s">
        <v>110</v>
      </c>
      <c r="D24" s="229"/>
      <c r="E24" s="15"/>
    </row>
    <row r="25" spans="1:7">
      <c r="A25" s="171" t="s">
        <v>77</v>
      </c>
      <c r="B25" s="37">
        <f>aantalw2001_stookolie</f>
        <v>2518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836</v>
      </c>
      <c r="B28" s="37">
        <f>aantalHuishoudens2011</f>
        <v>19332</v>
      </c>
      <c r="C28" s="36"/>
      <c r="D28" s="228"/>
    </row>
    <row r="29" spans="1:7" s="15" customFormat="1">
      <c r="A29" s="230" t="s">
        <v>837</v>
      </c>
      <c r="B29" s="37">
        <f>SUM(HH_hh_gas_aantal,HH_rest_gas_aantal)</f>
        <v>17372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17372</v>
      </c>
      <c r="C32" s="167">
        <f>IF(ISERROR(B32/SUM($B$32,$B$34,$B$35,$B$36,$B$38,$B$39)*100),0,B32/SUM($B$32,$B$34,$B$35,$B$36,$B$38,$B$39)*100)</f>
        <v>90.239468079580277</v>
      </c>
      <c r="D32" s="233"/>
      <c r="G32" s="15"/>
    </row>
    <row r="33" spans="1:7">
      <c r="A33" s="171" t="s">
        <v>71</v>
      </c>
      <c r="B33" s="34" t="s">
        <v>110</v>
      </c>
      <c r="C33" s="167"/>
      <c r="D33" s="233"/>
      <c r="G33" s="15"/>
    </row>
    <row r="34" spans="1:7">
      <c r="A34" s="171" t="s">
        <v>72</v>
      </c>
      <c r="B34" s="33">
        <f>IF((($B$28-$B$32-$B$39-$B$77-$B$38)*C20/100)&lt;0,0,($B$28-$B$32-$B$39-$B$77-$B$38)*C20/100)</f>
        <v>181.28177641653903</v>
      </c>
      <c r="C34" s="167">
        <f>IF(ISERROR(B34/SUM($B$32,$B$34,$B$35,$B$36,$B$38,$B$39)*100),0,B34/SUM($B$32,$B$34,$B$35,$B$36,$B$38,$B$39)*100)</f>
        <v>0.9416745956913356</v>
      </c>
      <c r="D34" s="233"/>
      <c r="G34" s="15"/>
    </row>
    <row r="35" spans="1:7">
      <c r="A35" s="171" t="s">
        <v>73</v>
      </c>
      <c r="B35" s="33">
        <f>IF((($B$28-$B$32-$B$39-$B$77-$B$38)*C21/100)&lt;0,0,($B$28-$B$32-$B$39-$B$77-$B$38)*C21/100)</f>
        <v>1329.3996937212862</v>
      </c>
      <c r="C35" s="167">
        <f>IF(ISERROR(B35/SUM($B$32,$B$34,$B$35,$B$36,$B$38,$B$39)*100),0,B35/SUM($B$32,$B$34,$B$35,$B$36,$B$38,$B$39)*100)</f>
        <v>6.9056137017364616</v>
      </c>
      <c r="D35" s="233"/>
      <c r="G35" s="15"/>
    </row>
    <row r="36" spans="1:7">
      <c r="A36" s="171" t="s">
        <v>74</v>
      </c>
      <c r="B36" s="33">
        <f>IF((($B$28-$B$32-$B$39-$B$77-$B$38)*C22/100)&lt;0,0,($B$28-$B$32-$B$39-$B$77-$B$38)*C22/100)</f>
        <v>368.31852986217461</v>
      </c>
      <c r="C36" s="167">
        <f>IF(ISERROR(B36/SUM($B$32,$B$34,$B$35,$B$36,$B$38,$B$39)*100),0,B36/SUM($B$32,$B$34,$B$35,$B$36,$B$38,$B$39)*100)</f>
        <v>1.9132436229919205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17372</v>
      </c>
      <c r="C44" s="34" t="s">
        <v>110</v>
      </c>
      <c r="D44" s="174"/>
    </row>
    <row r="45" spans="1:7">
      <c r="A45" s="171" t="s">
        <v>71</v>
      </c>
      <c r="B45" s="33" t="str">
        <f t="shared" si="0"/>
        <v>-</v>
      </c>
      <c r="C45" s="34" t="s">
        <v>110</v>
      </c>
      <c r="D45" s="174"/>
    </row>
    <row r="46" spans="1:7">
      <c r="A46" s="171" t="s">
        <v>72</v>
      </c>
      <c r="B46" s="33">
        <f t="shared" si="0"/>
        <v>181.28177641653903</v>
      </c>
      <c r="C46" s="34" t="s">
        <v>110</v>
      </c>
      <c r="D46" s="174"/>
    </row>
    <row r="47" spans="1:7">
      <c r="A47" s="171" t="s">
        <v>73</v>
      </c>
      <c r="B47" s="33">
        <f t="shared" si="0"/>
        <v>1329.3996937212862</v>
      </c>
      <c r="C47" s="34" t="s">
        <v>110</v>
      </c>
      <c r="D47" s="174"/>
    </row>
    <row r="48" spans="1:7">
      <c r="A48" s="171" t="s">
        <v>74</v>
      </c>
      <c r="B48" s="33">
        <f t="shared" si="0"/>
        <v>368.31852986217461</v>
      </c>
      <c r="C48" s="33">
        <f>B48*10</f>
        <v>3683.1852986217464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88224.326887000017</v>
      </c>
      <c r="C5" s="17">
        <f>IF(ISERROR('Eigen informatie GS &amp; warmtenet'!B60),0,'Eigen informatie GS &amp; warmtenet'!B60)</f>
        <v>0</v>
      </c>
      <c r="D5" s="30">
        <f>SUM(D6:D12)</f>
        <v>126018.44567903801</v>
      </c>
      <c r="E5" s="17">
        <f>SUM(E6:E12)</f>
        <v>1263.0136413379466</v>
      </c>
      <c r="F5" s="17">
        <f>SUM(F6:F12)</f>
        <v>9435.9910307435621</v>
      </c>
      <c r="G5" s="18"/>
      <c r="H5" s="17"/>
      <c r="I5" s="17"/>
      <c r="J5" s="17">
        <f>SUM(J6:J12)</f>
        <v>9.1641985865328623E-2</v>
      </c>
      <c r="K5" s="17"/>
      <c r="L5" s="17"/>
      <c r="M5" s="17"/>
      <c r="N5" s="17">
        <f>SUM(N6:N12)</f>
        <v>3723.3499113751286</v>
      </c>
      <c r="O5" s="17">
        <f>B38*B39*B40</f>
        <v>19.589043063364617</v>
      </c>
      <c r="P5" s="17">
        <f>B46*B47*B48/1000-B46*B47*B48/1000/B49</f>
        <v>420.31310645196015</v>
      </c>
      <c r="R5" s="32"/>
    </row>
    <row r="6" spans="1:18">
      <c r="A6" s="32" t="s">
        <v>53</v>
      </c>
      <c r="B6" s="37">
        <f>B26</f>
        <v>22432.647350000003</v>
      </c>
      <c r="C6" s="33"/>
      <c r="D6" s="37">
        <f>IF(ISERROR(TER_kantoor_gas_kWh/1000),0,TER_kantoor_gas_kWh/1000)*0.902</f>
        <v>40969.335676060007</v>
      </c>
      <c r="E6" s="33">
        <f>$C$26*'E Balans VL '!I12/100/3.6*1000000</f>
        <v>180.50832075206932</v>
      </c>
      <c r="F6" s="33">
        <f>$C$26*('E Balans VL '!L12+'E Balans VL '!N12)/100/3.6*1000000</f>
        <v>2742.6271224324428</v>
      </c>
      <c r="G6" s="34"/>
      <c r="H6" s="33"/>
      <c r="I6" s="33"/>
      <c r="J6" s="33">
        <f>$C$26*('E Balans VL '!D12+'E Balans VL '!E12)/100/3.6*1000000</f>
        <v>0</v>
      </c>
      <c r="K6" s="33"/>
      <c r="L6" s="33"/>
      <c r="M6" s="33"/>
      <c r="N6" s="33">
        <f>$C$26*'E Balans VL '!Y12/100/3.6*1000000</f>
        <v>12.056443262308397</v>
      </c>
      <c r="O6" s="33"/>
      <c r="P6" s="33"/>
      <c r="R6" s="32"/>
    </row>
    <row r="7" spans="1:18">
      <c r="A7" s="32" t="s">
        <v>52</v>
      </c>
      <c r="B7" s="37">
        <f t="shared" ref="B7:B12" si="0">B27</f>
        <v>7556.4968760000002</v>
      </c>
      <c r="C7" s="33"/>
      <c r="D7" s="37">
        <f>IF(ISERROR(TER_horeca_gas_kWh/1000),0,TER_horeca_gas_kWh/1000)*0.902</f>
        <v>16738.019898160001</v>
      </c>
      <c r="E7" s="33">
        <f>$C$27*'E Balans VL '!I9/100/3.6*1000000</f>
        <v>81.138220935940609</v>
      </c>
      <c r="F7" s="33">
        <f>$C$27*('E Balans VL '!L9+'E Balans VL '!N9)/100/3.6*1000000</f>
        <v>908.86333901212424</v>
      </c>
      <c r="G7" s="34"/>
      <c r="H7" s="33"/>
      <c r="I7" s="33"/>
      <c r="J7" s="33">
        <f>$C$27*('E Balans VL '!D9+'E Balans VL '!E9)/100/3.6*1000000</f>
        <v>0</v>
      </c>
      <c r="K7" s="33"/>
      <c r="L7" s="33"/>
      <c r="M7" s="33"/>
      <c r="N7" s="33">
        <f>$C$27*'E Balans VL '!Y9/100/3.6*1000000</f>
        <v>1.1328720341233061</v>
      </c>
      <c r="O7" s="33"/>
      <c r="P7" s="33"/>
      <c r="R7" s="32"/>
    </row>
    <row r="8" spans="1:18">
      <c r="A8" s="6" t="s">
        <v>51</v>
      </c>
      <c r="B8" s="37">
        <f t="shared" si="0"/>
        <v>32038.87156</v>
      </c>
      <c r="C8" s="33"/>
      <c r="D8" s="37">
        <f>IF(ISERROR(TER_handel_gas_kWh/1000),0,TER_handel_gas_kWh/1000)*0.902</f>
        <v>25378.461482219998</v>
      </c>
      <c r="E8" s="33">
        <f>$C$28*'E Balans VL '!I13/100/3.6*1000000</f>
        <v>859.82522661663165</v>
      </c>
      <c r="F8" s="33">
        <f>$C$28*('E Balans VL '!L13+'E Balans VL '!N13)/100/3.6*1000000</f>
        <v>3057.4958103069816</v>
      </c>
      <c r="G8" s="34"/>
      <c r="H8" s="33"/>
      <c r="I8" s="33"/>
      <c r="J8" s="33">
        <f>$C$28*('E Balans VL '!D13+'E Balans VL '!E13)/100/3.6*1000000</f>
        <v>0</v>
      </c>
      <c r="K8" s="33"/>
      <c r="L8" s="33"/>
      <c r="M8" s="33"/>
      <c r="N8" s="33">
        <f>$C$28*'E Balans VL '!Y13/100/3.6*1000000</f>
        <v>12.700572980704004</v>
      </c>
      <c r="O8" s="33"/>
      <c r="P8" s="33"/>
      <c r="R8" s="32"/>
    </row>
    <row r="9" spans="1:18">
      <c r="A9" s="32" t="s">
        <v>50</v>
      </c>
      <c r="B9" s="37">
        <f t="shared" si="0"/>
        <v>15073.889499999999</v>
      </c>
      <c r="C9" s="33"/>
      <c r="D9" s="37">
        <f>IF(ISERROR(TER_gezond_gas_kWh/1000),0,TER_gezond_gas_kWh/1000)*0.902</f>
        <v>14883.638201080001</v>
      </c>
      <c r="E9" s="33">
        <f>$C$29*'E Balans VL '!I10/100/3.6*1000000</f>
        <v>28.253377194556986</v>
      </c>
      <c r="F9" s="33">
        <f>$C$29*('E Balans VL '!L10+'E Balans VL '!N10)/100/3.6*1000000</f>
        <v>1239.2112555438789</v>
      </c>
      <c r="G9" s="34"/>
      <c r="H9" s="33"/>
      <c r="I9" s="33"/>
      <c r="J9" s="33">
        <f>$C$29*('E Balans VL '!D10+'E Balans VL '!E10)/100/3.6*1000000</f>
        <v>0</v>
      </c>
      <c r="K9" s="33"/>
      <c r="L9" s="33"/>
      <c r="M9" s="33"/>
      <c r="N9" s="33">
        <f>$C$29*'E Balans VL '!Y10/100/3.6*1000000</f>
        <v>117.28610704757645</v>
      </c>
      <c r="O9" s="33"/>
      <c r="P9" s="33"/>
      <c r="R9" s="32"/>
    </row>
    <row r="10" spans="1:18">
      <c r="A10" s="32" t="s">
        <v>49</v>
      </c>
      <c r="B10" s="37">
        <f t="shared" si="0"/>
        <v>4930.024883</v>
      </c>
      <c r="C10" s="33"/>
      <c r="D10" s="37">
        <f>IF(ISERROR(TER_ander_gas_kWh/1000),0,TER_ander_gas_kWh/1000)*0.902</f>
        <v>8248.3444246280014</v>
      </c>
      <c r="E10" s="33">
        <f>$C$30*'E Balans VL '!I14/100/3.6*1000000</f>
        <v>7.5996833123147676</v>
      </c>
      <c r="F10" s="33">
        <f>$C$30*('E Balans VL '!L14+'E Balans VL '!N14)/100/3.6*1000000</f>
        <v>765.38772409394551</v>
      </c>
      <c r="G10" s="34"/>
      <c r="H10" s="33"/>
      <c r="I10" s="33"/>
      <c r="J10" s="33">
        <f>$C$30*('E Balans VL '!D14+'E Balans VL '!E14)/100/3.6*1000000</f>
        <v>8.3692371715430411E-2</v>
      </c>
      <c r="K10" s="33"/>
      <c r="L10" s="33"/>
      <c r="M10" s="33"/>
      <c r="N10" s="33">
        <f>$C$30*'E Balans VL '!Y14/100/3.6*1000000</f>
        <v>3261.5464564813524</v>
      </c>
      <c r="O10" s="33"/>
      <c r="P10" s="33"/>
      <c r="R10" s="32"/>
    </row>
    <row r="11" spans="1:18">
      <c r="A11" s="32" t="s">
        <v>54</v>
      </c>
      <c r="B11" s="37">
        <f t="shared" si="0"/>
        <v>2044.296734</v>
      </c>
      <c r="C11" s="33"/>
      <c r="D11" s="37">
        <f>IF(ISERROR(TER_onderwijs_gas_kWh/1000),0,TER_onderwijs_gas_kWh/1000)*0.902</f>
        <v>7635.8248369699995</v>
      </c>
      <c r="E11" s="33">
        <f>$C$31*'E Balans VL '!I11/100/3.6*1000000</f>
        <v>52.143529379059721</v>
      </c>
      <c r="F11" s="33">
        <f>$C$31*('E Balans VL '!L11+'E Balans VL '!N11)/100/3.6*1000000</f>
        <v>245.84592391710819</v>
      </c>
      <c r="G11" s="34"/>
      <c r="H11" s="33"/>
      <c r="I11" s="33"/>
      <c r="J11" s="33">
        <f>$C$31*('E Balans VL '!D11+'E Balans VL '!E11)/100/3.6*1000000</f>
        <v>0</v>
      </c>
      <c r="K11" s="33"/>
      <c r="L11" s="33"/>
      <c r="M11" s="33"/>
      <c r="N11" s="33">
        <f>$C$31*'E Balans VL '!Y11/100/3.6*1000000</f>
        <v>4.5464660551458795</v>
      </c>
      <c r="O11" s="33"/>
      <c r="P11" s="33"/>
      <c r="R11" s="32"/>
    </row>
    <row r="12" spans="1:18">
      <c r="A12" s="32" t="s">
        <v>259</v>
      </c>
      <c r="B12" s="37">
        <f t="shared" si="0"/>
        <v>4148.0999840000004</v>
      </c>
      <c r="C12" s="33"/>
      <c r="D12" s="37">
        <f>IF(ISERROR(TER_rest_gas_kWh/1000),0,TER_rest_gas_kWh/1000)*0.902</f>
        <v>12164.82115992</v>
      </c>
      <c r="E12" s="33">
        <f>$C$32*'E Balans VL '!I8/100/3.6*1000000</f>
        <v>53.545283147373489</v>
      </c>
      <c r="F12" s="33">
        <f>$C$32*('E Balans VL '!L8+'E Balans VL '!N8)/100/3.6*1000000</f>
        <v>476.55985543708101</v>
      </c>
      <c r="G12" s="34"/>
      <c r="H12" s="33"/>
      <c r="I12" s="33"/>
      <c r="J12" s="33">
        <f>$C$32*('E Balans VL '!D8+'E Balans VL '!E8)/100/3.6*1000000</f>
        <v>7.9496141498982195E-3</v>
      </c>
      <c r="K12" s="33"/>
      <c r="L12" s="33"/>
      <c r="M12" s="33"/>
      <c r="N12" s="33">
        <f>$C$32*'E Balans VL '!Y8/100/3.6*1000000</f>
        <v>314.08099351391797</v>
      </c>
      <c r="O12" s="33"/>
      <c r="P12" s="33"/>
      <c r="R12" s="32"/>
    </row>
    <row r="13" spans="1:18">
      <c r="A13" s="16" t="s">
        <v>482</v>
      </c>
      <c r="B13" s="247">
        <f ca="1">'lokale energieproductie'!N91+'lokale energieproductie'!N60</f>
        <v>1661.6666666666667</v>
      </c>
      <c r="C13" s="247">
        <f ca="1">'lokale energieproductie'!O91+'lokale energieproductie'!O60</f>
        <v>1583.1171171171172</v>
      </c>
      <c r="D13" s="310">
        <f ca="1">('lokale energieproductie'!P60+'lokale energieproductie'!P91)*(-1)</f>
        <v>-2103.8288288288295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89885.993553666689</v>
      </c>
      <c r="C16" s="21">
        <f t="shared" ca="1" si="1"/>
        <v>1583.1171171171172</v>
      </c>
      <c r="D16" s="21">
        <f t="shared" ca="1" si="1"/>
        <v>123914.61685020918</v>
      </c>
      <c r="E16" s="21">
        <f t="shared" si="1"/>
        <v>1263.0136413379466</v>
      </c>
      <c r="F16" s="21">
        <f t="shared" ca="1" si="1"/>
        <v>9435.9910307435621</v>
      </c>
      <c r="G16" s="21">
        <f t="shared" si="1"/>
        <v>0</v>
      </c>
      <c r="H16" s="21">
        <f t="shared" si="1"/>
        <v>0</v>
      </c>
      <c r="I16" s="21">
        <f t="shared" si="1"/>
        <v>0</v>
      </c>
      <c r="J16" s="21">
        <f t="shared" si="1"/>
        <v>9.1641985865328623E-2</v>
      </c>
      <c r="K16" s="21">
        <f t="shared" si="1"/>
        <v>0</v>
      </c>
      <c r="L16" s="21">
        <f t="shared" ca="1" si="1"/>
        <v>0</v>
      </c>
      <c r="M16" s="21">
        <f t="shared" si="1"/>
        <v>0</v>
      </c>
      <c r="N16" s="21">
        <f t="shared" ca="1" si="1"/>
        <v>0</v>
      </c>
      <c r="O16" s="21">
        <f>O5</f>
        <v>19.589043063364617</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0.20469944676832497</v>
      </c>
      <c r="C18" s="25">
        <f ca="1">'EF ele_warmte'!B22</f>
        <v>0.23454247114010113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18399.613152656795</v>
      </c>
      <c r="C20" s="23">
        <f t="shared" ref="C20:P20" ca="1" si="2">C16*C18</f>
        <v>371.30820075284157</v>
      </c>
      <c r="D20" s="23">
        <f t="shared" ca="1" si="2"/>
        <v>25030.752603742254</v>
      </c>
      <c r="E20" s="23">
        <f t="shared" si="2"/>
        <v>286.70409658371392</v>
      </c>
      <c r="F20" s="23">
        <f t="shared" ca="1" si="2"/>
        <v>2519.409605208531</v>
      </c>
      <c r="G20" s="23">
        <f t="shared" si="2"/>
        <v>0</v>
      </c>
      <c r="H20" s="23">
        <f t="shared" si="2"/>
        <v>0</v>
      </c>
      <c r="I20" s="23">
        <f t="shared" si="2"/>
        <v>0</v>
      </c>
      <c r="J20" s="23">
        <f t="shared" si="2"/>
        <v>3.2441262996326332E-2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22432.647350000003</v>
      </c>
      <c r="C26" s="39">
        <f>IF(ISERROR(B26*3.6/1000000/'E Balans VL '!Z12*100),0,B26*3.6/1000000/'E Balans VL '!Z12*100)</f>
        <v>0.47588809001471533</v>
      </c>
      <c r="D26" s="237" t="s">
        <v>716</v>
      </c>
      <c r="F26" s="6"/>
    </row>
    <row r="27" spans="1:18">
      <c r="A27" s="231" t="s">
        <v>52</v>
      </c>
      <c r="B27" s="33">
        <f>IF(ISERROR(TER_horeca_ele_kWh/1000),0,TER_horeca_ele_kWh/1000)</f>
        <v>7556.4968760000002</v>
      </c>
      <c r="C27" s="39">
        <f>IF(ISERROR(B27*3.6/1000000/'E Balans VL '!Z9*100),0,B27*3.6/1000000/'E Balans VL '!Z9*100)</f>
        <v>0.56907115403992847</v>
      </c>
      <c r="D27" s="237" t="s">
        <v>716</v>
      </c>
      <c r="F27" s="6"/>
    </row>
    <row r="28" spans="1:18">
      <c r="A28" s="171" t="s">
        <v>51</v>
      </c>
      <c r="B28" s="33">
        <f>IF(ISERROR(TER_handel_ele_kWh/1000),0,TER_handel_ele_kWh/1000)</f>
        <v>32038.87156</v>
      </c>
      <c r="C28" s="39">
        <f>IF(ISERROR(B28*3.6/1000000/'E Balans VL '!Z13*100),0,B28*3.6/1000000/'E Balans VL '!Z13*100)</f>
        <v>0.92997491880762662</v>
      </c>
      <c r="D28" s="237" t="s">
        <v>716</v>
      </c>
      <c r="F28" s="6"/>
    </row>
    <row r="29" spans="1:18">
      <c r="A29" s="231" t="s">
        <v>50</v>
      </c>
      <c r="B29" s="33">
        <f>IF(ISERROR(TER_gezond_ele_kWh/1000),0,TER_gezond_ele_kWh/1000)</f>
        <v>15073.889499999999</v>
      </c>
      <c r="C29" s="39">
        <f>IF(ISERROR(B29*3.6/1000000/'E Balans VL '!Z10*100),0,B29*3.6/1000000/'E Balans VL '!Z10*100)</f>
        <v>1.5202197324203892</v>
      </c>
      <c r="D29" s="237" t="s">
        <v>716</v>
      </c>
      <c r="F29" s="6"/>
    </row>
    <row r="30" spans="1:18">
      <c r="A30" s="231" t="s">
        <v>49</v>
      </c>
      <c r="B30" s="33">
        <f>IF(ISERROR(TER_ander_ele_kWh/1000),0,TER_ander_ele_kWh/1000)</f>
        <v>4930.024883</v>
      </c>
      <c r="C30" s="39">
        <f>IF(ISERROR(B30*3.6/1000000/'E Balans VL '!Z14*100),0,B30*3.6/1000000/'E Balans VL '!Z14*100)</f>
        <v>0.3577405631331268</v>
      </c>
      <c r="D30" s="237" t="s">
        <v>716</v>
      </c>
      <c r="F30" s="6"/>
    </row>
    <row r="31" spans="1:18">
      <c r="A31" s="231" t="s">
        <v>54</v>
      </c>
      <c r="B31" s="33">
        <f>IF(ISERROR(TER_onderwijs_ele_kWh/1000),0,TER_onderwijs_ele_kWh/1000)</f>
        <v>2044.296734</v>
      </c>
      <c r="C31" s="39">
        <f>IF(ISERROR(B31*3.6/1000000/'E Balans VL '!Z11*100),0,B31*3.6/1000000/'E Balans VL '!Z11*100)</f>
        <v>0.58270781682932038</v>
      </c>
      <c r="D31" s="237" t="s">
        <v>716</v>
      </c>
    </row>
    <row r="32" spans="1:18">
      <c r="A32" s="231" t="s">
        <v>259</v>
      </c>
      <c r="B32" s="33">
        <f>IF(ISERROR(TER_rest_ele_kWh/1000),0,TER_rest_ele_kWh/1000)</f>
        <v>4148.0999840000004</v>
      </c>
      <c r="C32" s="39">
        <f>IF(ISERROR(B32*3.6/1000000/'E Balans VL '!Z8*100),0,B32*3.6/1000000/'E Balans VL '!Z8*100)</f>
        <v>3.3980390140518998E-2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167744.18523100001</v>
      </c>
      <c r="C5" s="17">
        <f>IF(ISERROR('Eigen informatie GS &amp; warmtenet'!B61),0,'Eigen informatie GS &amp; warmtenet'!B61)</f>
        <v>0</v>
      </c>
      <c r="D5" s="30">
        <f>SUM(D6:D15)</f>
        <v>147452.94925691001</v>
      </c>
      <c r="E5" s="17">
        <f>SUM(E6:E15)</f>
        <v>7439.6112368757849</v>
      </c>
      <c r="F5" s="17">
        <f>SUM(F6:F15)</f>
        <v>26882.61324849791</v>
      </c>
      <c r="G5" s="18"/>
      <c r="H5" s="17"/>
      <c r="I5" s="17"/>
      <c r="J5" s="17">
        <f>SUM(J6:J15)</f>
        <v>3633.7837437127705</v>
      </c>
      <c r="K5" s="17"/>
      <c r="L5" s="17"/>
      <c r="M5" s="17"/>
      <c r="N5" s="17">
        <f>SUM(N6:N15)</f>
        <v>5260.87613751762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2216.6891310000001</v>
      </c>
      <c r="C8" s="33"/>
      <c r="D8" s="37">
        <f>IF( ISERROR(IND_metaal_Gas_kWH/1000),0,IND_metaal_Gas_kWH/1000)*0.902</f>
        <v>3331.1892546460003</v>
      </c>
      <c r="E8" s="33">
        <f>C30*'E Balans VL '!I18/100/3.6*1000000</f>
        <v>15.991856262326806</v>
      </c>
      <c r="F8" s="33">
        <f>C30*'E Balans VL '!L18/100/3.6*1000000+C30*'E Balans VL '!N18/100/3.6*1000000</f>
        <v>209.65791890817854</v>
      </c>
      <c r="G8" s="34"/>
      <c r="H8" s="33"/>
      <c r="I8" s="33"/>
      <c r="J8" s="40">
        <f>C30*'E Balans VL '!D18/100/3.6*1000000+C30*'E Balans VL '!E18/100/3.6*1000000</f>
        <v>2.2295588095795038</v>
      </c>
      <c r="K8" s="33"/>
      <c r="L8" s="33"/>
      <c r="M8" s="33"/>
      <c r="N8" s="33">
        <f>C30*'E Balans VL '!Y18/100/3.6*1000000</f>
        <v>28.024815396271659</v>
      </c>
      <c r="O8" s="33"/>
      <c r="P8" s="33"/>
      <c r="R8" s="32"/>
    </row>
    <row r="9" spans="1:18">
      <c r="A9" s="6" t="s">
        <v>32</v>
      </c>
      <c r="B9" s="37">
        <f t="shared" si="0"/>
        <v>11588.873740000001</v>
      </c>
      <c r="C9" s="33"/>
      <c r="D9" s="37">
        <f>IF( ISERROR(IND_andere_gas_kWh/1000),0,IND_andere_gas_kWh/1000)*0.902</f>
        <v>3775.0490794719999</v>
      </c>
      <c r="E9" s="33">
        <f>C31*'E Balans VL '!I19/100/3.6*1000000</f>
        <v>3211.4318760099709</v>
      </c>
      <c r="F9" s="33">
        <f>C31*'E Balans VL '!L19/100/3.6*1000000+C31*'E Balans VL '!N19/100/3.6*1000000</f>
        <v>9604.8835994611618</v>
      </c>
      <c r="G9" s="34"/>
      <c r="H9" s="33"/>
      <c r="I9" s="33"/>
      <c r="J9" s="40">
        <f>C31*'E Balans VL '!D19/100/3.6*1000000+C31*'E Balans VL '!E19/100/3.6*1000000</f>
        <v>0</v>
      </c>
      <c r="K9" s="33"/>
      <c r="L9" s="33"/>
      <c r="M9" s="33"/>
      <c r="N9" s="33">
        <f>C31*'E Balans VL '!Y19/100/3.6*1000000</f>
        <v>841.21048625284641</v>
      </c>
      <c r="O9" s="33"/>
      <c r="P9" s="33"/>
      <c r="R9" s="32"/>
    </row>
    <row r="10" spans="1:18">
      <c r="A10" s="6" t="s">
        <v>40</v>
      </c>
      <c r="B10" s="37">
        <f t="shared" si="0"/>
        <v>21568.418399999999</v>
      </c>
      <c r="C10" s="33"/>
      <c r="D10" s="37">
        <f>IF( ISERROR(IND_voed_gas_kWh/1000),0,IND_voed_gas_kWh/1000)*0.902</f>
        <v>33160.742431080005</v>
      </c>
      <c r="E10" s="33">
        <f>C32*'E Balans VL '!I20/100/3.6*1000000</f>
        <v>38.183406259700895</v>
      </c>
      <c r="F10" s="33">
        <f>C32*'E Balans VL '!L20/100/3.6*1000000+C32*'E Balans VL '!N20/100/3.6*1000000</f>
        <v>1164.8857527775533</v>
      </c>
      <c r="G10" s="34"/>
      <c r="H10" s="33"/>
      <c r="I10" s="33"/>
      <c r="J10" s="40">
        <f>C32*'E Balans VL '!D20/100/3.6*1000000+C32*'E Balans VL '!E20/100/3.6*1000000</f>
        <v>0</v>
      </c>
      <c r="K10" s="33"/>
      <c r="L10" s="33"/>
      <c r="M10" s="33"/>
      <c r="N10" s="33">
        <f>C32*'E Balans VL '!Y20/100/3.6*1000000</f>
        <v>1253.2898291038791</v>
      </c>
      <c r="O10" s="33"/>
      <c r="P10" s="33"/>
      <c r="R10" s="32"/>
    </row>
    <row r="11" spans="1:18">
      <c r="A11" s="6" t="s">
        <v>39</v>
      </c>
      <c r="B11" s="37">
        <f t="shared" si="0"/>
        <v>0</v>
      </c>
      <c r="C11" s="33"/>
      <c r="D11" s="37">
        <f>IF( ISERROR(IND_textiel_gas_kWh/1000),0,IND_textiel_gas_kWh/1000)*0.902</f>
        <v>243.78298617199999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26656.367260000003</v>
      </c>
      <c r="C13" s="33"/>
      <c r="D13" s="37">
        <f>IF( ISERROR(IND_papier_gas_kWh/1000),0,IND_papier_gas_kWh/1000)*0.902</f>
        <v>25780.556151680001</v>
      </c>
      <c r="E13" s="33">
        <f>C35*'E Balans VL '!I23/100/3.6*1000000</f>
        <v>39.220669507543505</v>
      </c>
      <c r="F13" s="33">
        <f>C35*'E Balans VL '!L23/100/3.6*1000000+C35*'E Balans VL '!N23/100/3.6*1000000</f>
        <v>285.41789516384222</v>
      </c>
      <c r="G13" s="34"/>
      <c r="H13" s="33"/>
      <c r="I13" s="33"/>
      <c r="J13" s="40">
        <f>C35*'E Balans VL '!D23/100/3.6*1000000+C35*'E Balans VL '!E23/100/3.6*1000000</f>
        <v>2916.3560593293746</v>
      </c>
      <c r="K13" s="33"/>
      <c r="L13" s="33"/>
      <c r="M13" s="33"/>
      <c r="N13" s="33">
        <f>C35*'E Balans VL '!Y23/100/3.6*1000000</f>
        <v>-241.48384639598734</v>
      </c>
      <c r="O13" s="33"/>
      <c r="P13" s="33"/>
      <c r="R13" s="32"/>
    </row>
    <row r="14" spans="1:18">
      <c r="A14" s="6" t="s">
        <v>33</v>
      </c>
      <c r="B14" s="37">
        <f t="shared" si="0"/>
        <v>19140.825940000002</v>
      </c>
      <c r="C14" s="33"/>
      <c r="D14" s="37">
        <f>IF( ISERROR(IND_chemie_gas_kWh/1000),0,IND_chemie_gas_kWh/1000)*0.902</f>
        <v>13829.948716760002</v>
      </c>
      <c r="E14" s="33">
        <f>C36*'E Balans VL '!I24/100/3.6*1000000</f>
        <v>43.292692949287364</v>
      </c>
      <c r="F14" s="33">
        <f>C36*'E Balans VL '!L24/100/3.6*1000000+C36*'E Balans VL '!N24/100/3.6*1000000</f>
        <v>225.995180747342</v>
      </c>
      <c r="G14" s="34"/>
      <c r="H14" s="33"/>
      <c r="I14" s="33"/>
      <c r="J14" s="40">
        <f>C36*'E Balans VL '!D24/100/3.6*1000000+C36*'E Balans VL '!E24/100/3.6*1000000</f>
        <v>0</v>
      </c>
      <c r="K14" s="33"/>
      <c r="L14" s="33"/>
      <c r="M14" s="33"/>
      <c r="N14" s="33">
        <f>C36*'E Balans VL '!Y24/100/3.6*1000000</f>
        <v>10.513769195350404</v>
      </c>
      <c r="O14" s="33"/>
      <c r="P14" s="33"/>
      <c r="R14" s="32"/>
    </row>
    <row r="15" spans="1:18">
      <c r="A15" s="6" t="s">
        <v>269</v>
      </c>
      <c r="B15" s="37">
        <f t="shared" si="0"/>
        <v>86573.010760000005</v>
      </c>
      <c r="C15" s="33"/>
      <c r="D15" s="37">
        <f>IF( ISERROR(IND_rest_gas_kWh/1000),0,IND_rest_gas_kWh/1000)*0.902</f>
        <v>67331.680637099998</v>
      </c>
      <c r="E15" s="33">
        <f>C37*'E Balans VL '!I15/100/3.6*1000000</f>
        <v>4091.4907358869555</v>
      </c>
      <c r="F15" s="33">
        <f>C37*'E Balans VL '!L15/100/3.6*1000000+C37*'E Balans VL '!N15/100/3.6*1000000</f>
        <v>15391.772901439834</v>
      </c>
      <c r="G15" s="34"/>
      <c r="H15" s="33"/>
      <c r="I15" s="33"/>
      <c r="J15" s="40">
        <f>C37*'E Balans VL '!D15/100/3.6*1000000+C37*'E Balans VL '!E15/100/3.6*1000000</f>
        <v>715.19812557381658</v>
      </c>
      <c r="K15" s="33"/>
      <c r="L15" s="33"/>
      <c r="M15" s="33"/>
      <c r="N15" s="33">
        <f>C37*'E Balans VL '!Y15/100/3.6*1000000</f>
        <v>3369.3210839652597</v>
      </c>
      <c r="O15" s="33"/>
      <c r="P15" s="33"/>
      <c r="R15" s="32"/>
    </row>
    <row r="16" spans="1:18">
      <c r="A16" s="16" t="s">
        <v>482</v>
      </c>
      <c r="B16" s="247">
        <f>'lokale energieproductie'!N90+'lokale energieproductie'!N59</f>
        <v>2857.5</v>
      </c>
      <c r="C16" s="247">
        <f>'lokale energieproductie'!O90+'lokale energieproductie'!O59</f>
        <v>4082.1428571428573</v>
      </c>
      <c r="D16" s="310">
        <f>('lokale energieproductie'!P59+'lokale energieproductie'!P90)*(-1)</f>
        <v>-8164.2857142857147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170601.68523100001</v>
      </c>
      <c r="C18" s="21">
        <f>C5+C16</f>
        <v>4082.1428571428573</v>
      </c>
      <c r="D18" s="21">
        <f>MAX((D5+D16),0)</f>
        <v>139288.6635426243</v>
      </c>
      <c r="E18" s="21">
        <f>MAX((E5+E16),0)</f>
        <v>7439.6112368757849</v>
      </c>
      <c r="F18" s="21">
        <f>MAX((F5+F16),0)</f>
        <v>26882.61324849791</v>
      </c>
      <c r="G18" s="21"/>
      <c r="H18" s="21"/>
      <c r="I18" s="21"/>
      <c r="J18" s="21">
        <f>MAX((J5+J16),0)</f>
        <v>3633.7837437127705</v>
      </c>
      <c r="K18" s="21"/>
      <c r="L18" s="21">
        <f>MAX((L5+L16),0)</f>
        <v>0</v>
      </c>
      <c r="M18" s="21"/>
      <c r="N18" s="21">
        <f>MAX((N5+N16),0)</f>
        <v>5260.87613751762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0.20469944676832497</v>
      </c>
      <c r="C20" s="25">
        <f ca="1">'EF ele_warmte'!B22</f>
        <v>0.23454247114010113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34922.070584529618</v>
      </c>
      <c r="C22" s="23">
        <f ca="1">C18*C20</f>
        <v>957.43587326119859</v>
      </c>
      <c r="D22" s="23">
        <f>D18*D20</f>
        <v>28136.310035610109</v>
      </c>
      <c r="E22" s="23">
        <f>E18*E20</f>
        <v>1688.7917507708032</v>
      </c>
      <c r="F22" s="23">
        <f>F18*F20</f>
        <v>7177.6577373489426</v>
      </c>
      <c r="G22" s="23"/>
      <c r="H22" s="23"/>
      <c r="I22" s="23"/>
      <c r="J22" s="23">
        <f>J18*J20</f>
        <v>1286.3594452743207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2216.6891310000001</v>
      </c>
      <c r="C30" s="39">
        <f>IF(ISERROR(B30*3.6/1000000/'E Balans VL '!Z18*100),0,B30*3.6/1000000/'E Balans VL '!Z18*100)</f>
        <v>0.12796600472691419</v>
      </c>
      <c r="D30" s="237" t="s">
        <v>716</v>
      </c>
    </row>
    <row r="31" spans="1:18">
      <c r="A31" s="6" t="s">
        <v>32</v>
      </c>
      <c r="B31" s="37">
        <f>IF( ISERROR(IND_ander_ele_kWh/1000),0,IND_ander_ele_kWh/1000)</f>
        <v>11588.873740000001</v>
      </c>
      <c r="C31" s="39">
        <f>IF(ISERROR(B31*3.6/1000000/'E Balans VL '!Z19*100),0,B31*3.6/1000000/'E Balans VL '!Z19*100)</f>
        <v>0.58288278524228188</v>
      </c>
      <c r="D31" s="237" t="s">
        <v>716</v>
      </c>
    </row>
    <row r="32" spans="1:18">
      <c r="A32" s="171" t="s">
        <v>40</v>
      </c>
      <c r="B32" s="37">
        <f>IF( ISERROR(IND_voed_ele_kWh/1000),0,IND_voed_ele_kWh/1000)</f>
        <v>21568.418399999999</v>
      </c>
      <c r="C32" s="39">
        <f>IF(ISERROR(B32*3.6/1000000/'E Balans VL '!Z20*100),0,B32*3.6/1000000/'E Balans VL '!Z20*100)</f>
        <v>0.7183564113392682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26656.367260000003</v>
      </c>
      <c r="C35" s="39">
        <f>IF(ISERROR(B35*3.6/1000000/'E Balans VL '!Z22*100),0,B35*3.6/1000000/'E Balans VL '!Z22*100)</f>
        <v>4.9723128490008301</v>
      </c>
      <c r="D35" s="237" t="s">
        <v>716</v>
      </c>
    </row>
    <row r="36" spans="1:5">
      <c r="A36" s="171" t="s">
        <v>33</v>
      </c>
      <c r="B36" s="37">
        <f>IF( ISERROR(IND_chemie_ele_kWh/1000),0,IND_chemie_ele_kWh/1000)</f>
        <v>19140.825940000002</v>
      </c>
      <c r="C36" s="39">
        <f>IF(ISERROR(B36*3.6/1000000/'E Balans VL '!Z24*100),0,B36*3.6/1000000/'E Balans VL '!Z24*100)</f>
        <v>0.5048628665234286</v>
      </c>
      <c r="D36" s="237" t="s">
        <v>716</v>
      </c>
    </row>
    <row r="37" spans="1:5">
      <c r="A37" s="171" t="s">
        <v>269</v>
      </c>
      <c r="B37" s="37">
        <f>IF( ISERROR(IND_rest_ele_kWh/1000),0,IND_rest_ele_kWh/1000)</f>
        <v>86573.010760000005</v>
      </c>
      <c r="C37" s="39">
        <f>IF(ISERROR(B37*3.6/1000000/'E Balans VL '!Z15*100),0,B37*3.6/1000000/'E Balans VL '!Z15*100)</f>
        <v>0.67550622918370573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1406.6268279999999</v>
      </c>
      <c r="C5" s="17">
        <f>'Eigen informatie GS &amp; warmtenet'!B62</f>
        <v>0</v>
      </c>
      <c r="D5" s="30">
        <f>IF(ISERROR(SUM(LB_lb_gas_kWh,LB_rest_gas_kWh)/1000),0,SUM(LB_lb_gas_kWh,LB_rest_gas_kWh)/1000)*0.902</f>
        <v>2368.5850373240005</v>
      </c>
      <c r="E5" s="17">
        <f>B17*'E Balans VL '!I25/3.6*1000000/100</f>
        <v>43.900359453576101</v>
      </c>
      <c r="F5" s="17">
        <f>B17*('E Balans VL '!L25/3.6*1000000+'E Balans VL '!N25/3.6*1000000)/100</f>
        <v>4971.1750320685542</v>
      </c>
      <c r="G5" s="18"/>
      <c r="H5" s="17"/>
      <c r="I5" s="17"/>
      <c r="J5" s="17">
        <f>('E Balans VL '!D25+'E Balans VL '!E25)/3.6*1000000*landbouw!B17/100</f>
        <v>387.53544598556101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1406.6268279999999</v>
      </c>
      <c r="C8" s="21">
        <f>C5+C6</f>
        <v>0</v>
      </c>
      <c r="D8" s="21">
        <f>MAX((D5+D6),0)</f>
        <v>2368.5850373240005</v>
      </c>
      <c r="E8" s="21">
        <f>MAX((E5+E6),0)</f>
        <v>43.900359453576101</v>
      </c>
      <c r="F8" s="21">
        <f>MAX((F5+F6),0)</f>
        <v>4971.1750320685542</v>
      </c>
      <c r="G8" s="21"/>
      <c r="H8" s="21"/>
      <c r="I8" s="21"/>
      <c r="J8" s="21">
        <f>MAX((J5+J6),0)</f>
        <v>387.53544598556101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0.20469944676832497</v>
      </c>
      <c r="C10" s="31">
        <f ca="1">'EF ele_warmte'!B22</f>
        <v>0.23454247114010113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287.9357335010838</v>
      </c>
      <c r="C12" s="23">
        <f ca="1">C8*C10</f>
        <v>0</v>
      </c>
      <c r="D12" s="23">
        <f>D8*D10</f>
        <v>478.45417753944815</v>
      </c>
      <c r="E12" s="23">
        <f>E8*E10</f>
        <v>9.9653815959617749</v>
      </c>
      <c r="F12" s="23">
        <f>F8*F10</f>
        <v>1327.3037335623039</v>
      </c>
      <c r="G12" s="23"/>
      <c r="H12" s="23"/>
      <c r="I12" s="23"/>
      <c r="J12" s="23">
        <f>J8*J10</f>
        <v>137.18754787888858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0.20910516163844894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262.03728269175292</v>
      </c>
      <c r="C26" s="247">
        <f>B26*'GWP N2O_CH4'!B5</f>
        <v>5502.7829365268117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91.417292028268406</v>
      </c>
      <c r="C27" s="247">
        <f>B27*'GWP N2O_CH4'!B5</f>
        <v>1919.7631325936366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6.2287329773036779</v>
      </c>
      <c r="C28" s="247">
        <f>B28*'GWP N2O_CH4'!B4</f>
        <v>1930.9072229641401</v>
      </c>
      <c r="D28" s="50"/>
    </row>
    <row r="29" spans="1:4">
      <c r="A29" s="41" t="s">
        <v>276</v>
      </c>
      <c r="B29" s="247">
        <f>B34*'ha_N2O bodem landbouw'!B4</f>
        <v>14.69906631245223</v>
      </c>
      <c r="C29" s="247">
        <f>B29*'GWP N2O_CH4'!B4</f>
        <v>4556.710556860191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3.2232405915824415E-3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4.9018194952499998E-4</v>
      </c>
      <c r="C5" s="463" t="s">
        <v>210</v>
      </c>
      <c r="D5" s="448">
        <f>SUM(D6:D11)</f>
        <v>1.8813806324264001E-3</v>
      </c>
      <c r="E5" s="448">
        <f>SUM(E6:E11)</f>
        <v>1.5511059448061249E-3</v>
      </c>
      <c r="F5" s="461" t="s">
        <v>210</v>
      </c>
      <c r="G5" s="448">
        <f>SUM(G6:G11)</f>
        <v>0.70830796178602651</v>
      </c>
      <c r="H5" s="448">
        <f>SUM(H6:H11)</f>
        <v>0.1420327743972522</v>
      </c>
      <c r="I5" s="463" t="s">
        <v>210</v>
      </c>
      <c r="J5" s="463" t="s">
        <v>210</v>
      </c>
      <c r="K5" s="463" t="s">
        <v>210</v>
      </c>
      <c r="L5" s="463" t="s">
        <v>210</v>
      </c>
      <c r="M5" s="448">
        <f>SUM(M6:M11)</f>
        <v>5.0175171397744418E-2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3.0360219029E-4</v>
      </c>
      <c r="C6" s="449"/>
      <c r="D6" s="917">
        <f>vkm_2011_GW_PW*SUMIFS(TableVerdeelsleutelVkm[CNG],TableVerdeelsleutelVkm[Voertuigtype],"Lichte voertuigen")*SUMIFS(TableECFTransport[EnergieConsumptieFactor (PJ per km)],TableECFTransport[Index],CONCATENATE($A6,"_CNG_CNG"))</f>
        <v>1.055676528952584E-3</v>
      </c>
      <c r="E6" s="917">
        <f>vkm_2011_GW_PW*SUMIFS(TableVerdeelsleutelVkm[LPG],TableVerdeelsleutelVkm[Voertuigtype],"Lichte voertuigen")*SUMIFS(TableECFTransport[EnergieConsumptieFactor (PJ per km)],TableECFTransport[Index],CONCATENATE($A6,"_LPG_LPG"))</f>
        <v>8.3169917663279995E-4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0.22639818641237258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7.9224328230183244E-2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1.8262866193786077E-2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0.13983405542271327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3.522870469356056E-5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8.0632685076856281E-3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5.8671549964999995E-5</v>
      </c>
      <c r="C8" s="449"/>
      <c r="D8" s="451">
        <f>vkm_2011_NGW_PW*SUMIFS(TableVerdeelsleutelVkm[CNG],TableVerdeelsleutelVkm[Voertuigtype],"Lichte voertuigen")*SUMIFS(TableECFTransport[EnergieConsumptieFactor (PJ per km)],TableECFTransport[Index],CONCATENATE($A8,"_CNG_CNG"))</f>
        <v>3.6104701198104005E-4</v>
      </c>
      <c r="E8" s="451">
        <f>vkm_2011_NGW_PW*SUMIFS(TableVerdeelsleutelVkm[LPG],TableVerdeelsleutelVkm[Voertuigtype],"Lichte voertuigen")*SUMIFS(TableECFTransport[EnergieConsumptieFactor (PJ per km)],TableECFTransport[Index],CONCATENATE($A8,"_LPG_LPG"))</f>
        <v>2.6369860606967501E-4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6.661134727004929E-2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2.640172199671853E-2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5.5767580966800592E-3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7.0349176647397475E-3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1.672283218045626E-6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4.0564875005650344E-4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1.2790820926999999E-4</v>
      </c>
      <c r="C10" s="449"/>
      <c r="D10" s="451">
        <f>vkm_2011_SW_PW*SUMIFS(TableVerdeelsleutelVkm[CNG],TableVerdeelsleutelVkm[Voertuigtype],"Lichte voertuigen")*SUMIFS(TableECFTransport[EnergieConsumptieFactor (PJ per km)],TableECFTransport[Index],CONCATENATE($A10,"_CNG_CNG"))</f>
        <v>4.6465709149277602E-4</v>
      </c>
      <c r="E10" s="451">
        <f>vkm_2011_SW_PW*SUMIFS(TableVerdeelsleutelVkm[LPG],TableVerdeelsleutelVkm[Voertuigtype],"Lichte voertuigen")*SUMIFS(TableECFTransport[EnergieConsumptieFactor (PJ per km)],TableECFTransport[Index],CONCATENATE($A10,"_LPG_LPG"))</f>
        <v>4.5570816210365004E-4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0.11019266579145505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3.6326646274076189E-2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8.7419843384609099E-3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0.15823678922469653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4.3176908362653923E-5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9.1246455110752453E-3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136.16165264583333</v>
      </c>
      <c r="C14" s="21"/>
      <c r="D14" s="21">
        <f t="shared" ref="D14:M14" si="0">((D5)*10^9/3600)+D12</f>
        <v>522.60573122955554</v>
      </c>
      <c r="E14" s="21">
        <f t="shared" si="0"/>
        <v>430.86276244614584</v>
      </c>
      <c r="F14" s="21"/>
      <c r="G14" s="21">
        <f t="shared" si="0"/>
        <v>196752.21160722958</v>
      </c>
      <c r="H14" s="21">
        <f t="shared" si="0"/>
        <v>39453.548443681168</v>
      </c>
      <c r="I14" s="21"/>
      <c r="J14" s="21"/>
      <c r="K14" s="21"/>
      <c r="L14" s="21"/>
      <c r="M14" s="21">
        <f t="shared" si="0"/>
        <v>13937.54761048456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0.20469944676832497</v>
      </c>
      <c r="C16" s="56">
        <f ca="1">'EF ele_warmte'!B22</f>
        <v>0.23454247114010113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27.872214967662913</v>
      </c>
      <c r="C18" s="23"/>
      <c r="D18" s="23">
        <f t="shared" ref="D18:M18" si="1">D14*D16</f>
        <v>105.56635770837023</v>
      </c>
      <c r="E18" s="23">
        <f t="shared" si="1"/>
        <v>97.805847075275111</v>
      </c>
      <c r="F18" s="23"/>
      <c r="G18" s="23">
        <f t="shared" si="1"/>
        <v>52532.840499130303</v>
      </c>
      <c r="H18" s="23">
        <f t="shared" si="1"/>
        <v>9823.9335624766099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1.7044882908399908E-2</v>
      </c>
      <c r="H50" s="321">
        <f t="shared" si="2"/>
        <v>0</v>
      </c>
      <c r="I50" s="321">
        <f t="shared" si="2"/>
        <v>0</v>
      </c>
      <c r="J50" s="321">
        <f t="shared" si="2"/>
        <v>0</v>
      </c>
      <c r="K50" s="321">
        <f t="shared" si="2"/>
        <v>0</v>
      </c>
      <c r="L50" s="321">
        <f t="shared" si="2"/>
        <v>0</v>
      </c>
      <c r="M50" s="321">
        <f t="shared" si="2"/>
        <v>9.4735647796155803E-4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1.7044882908399908E-2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9.4735647796155803E-4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4734.6896967777529</v>
      </c>
      <c r="H54" s="21">
        <f t="shared" si="3"/>
        <v>0</v>
      </c>
      <c r="I54" s="21">
        <f t="shared" si="3"/>
        <v>0</v>
      </c>
      <c r="J54" s="21">
        <f t="shared" si="3"/>
        <v>0</v>
      </c>
      <c r="K54" s="21">
        <f t="shared" si="3"/>
        <v>0</v>
      </c>
      <c r="L54" s="21">
        <f t="shared" si="3"/>
        <v>0</v>
      </c>
      <c r="M54" s="21">
        <f t="shared" si="3"/>
        <v>263.15457721154388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0.20469944676832497</v>
      </c>
      <c r="C56" s="56">
        <f ca="1">'EF ele_warmte'!B22</f>
        <v>0.23454247114010113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1264.1621490396601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92518.574553666695</v>
      </c>
      <c r="D10" s="712">
        <f ca="1">tertiair!C16</f>
        <v>1583.1171171171172</v>
      </c>
      <c r="E10" s="712">
        <f ca="1">tertiair!D16</f>
        <v>123914.61685020918</v>
      </c>
      <c r="F10" s="712">
        <f>tertiair!E16</f>
        <v>1263.0136413379466</v>
      </c>
      <c r="G10" s="712">
        <f ca="1">tertiair!F16</f>
        <v>9435.9910307435621</v>
      </c>
      <c r="H10" s="712">
        <f>tertiair!G16</f>
        <v>0</v>
      </c>
      <c r="I10" s="712">
        <f>tertiair!H16</f>
        <v>0</v>
      </c>
      <c r="J10" s="712">
        <f>tertiair!I16</f>
        <v>0</v>
      </c>
      <c r="K10" s="712">
        <f>tertiair!J16</f>
        <v>9.1641985865328623E-2</v>
      </c>
      <c r="L10" s="712">
        <f>tertiair!K16</f>
        <v>0</v>
      </c>
      <c r="M10" s="712">
        <f ca="1">tertiair!L16</f>
        <v>0</v>
      </c>
      <c r="N10" s="712">
        <f>tertiair!M16</f>
        <v>0</v>
      </c>
      <c r="O10" s="712">
        <f ca="1">tertiair!N16</f>
        <v>0</v>
      </c>
      <c r="P10" s="712">
        <f>tertiair!O16</f>
        <v>19.589043063364617</v>
      </c>
      <c r="Q10" s="713">
        <f>tertiair!P16</f>
        <v>420.31310645196015</v>
      </c>
      <c r="R10" s="715">
        <f ca="1">SUM(C10:Q10)</f>
        <v>229155.3069845757</v>
      </c>
      <c r="S10" s="67"/>
    </row>
    <row r="11" spans="1:19" s="474" customFormat="1">
      <c r="A11" s="834" t="s">
        <v>224</v>
      </c>
      <c r="B11" s="839"/>
      <c r="C11" s="712">
        <f>huishoudens!B8</f>
        <v>58732.194596046276</v>
      </c>
      <c r="D11" s="712">
        <f>huishoudens!C8</f>
        <v>0</v>
      </c>
      <c r="E11" s="712">
        <f>huishoudens!D8</f>
        <v>222391.31193180001</v>
      </c>
      <c r="F11" s="712">
        <f>huishoudens!E8</f>
        <v>7101.5714758359227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24969.190020668171</v>
      </c>
      <c r="P11" s="712">
        <f>huishoudens!O8</f>
        <v>499.95747128553205</v>
      </c>
      <c r="Q11" s="713">
        <f>huishoudens!P8</f>
        <v>853.25070392248676</v>
      </c>
      <c r="R11" s="715">
        <f>SUM(C11:Q11)</f>
        <v>314547.47619955835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170601.68523100001</v>
      </c>
      <c r="D13" s="712">
        <f>industrie!C18</f>
        <v>4082.1428571428573</v>
      </c>
      <c r="E13" s="712">
        <f>industrie!D18</f>
        <v>139288.6635426243</v>
      </c>
      <c r="F13" s="712">
        <f>industrie!E18</f>
        <v>7439.6112368757849</v>
      </c>
      <c r="G13" s="712">
        <f>industrie!F18</f>
        <v>26882.61324849791</v>
      </c>
      <c r="H13" s="712">
        <f>industrie!G18</f>
        <v>0</v>
      </c>
      <c r="I13" s="712">
        <f>industrie!H18</f>
        <v>0</v>
      </c>
      <c r="J13" s="712">
        <f>industrie!I18</f>
        <v>0</v>
      </c>
      <c r="K13" s="712">
        <f>industrie!J18</f>
        <v>3633.7837437127705</v>
      </c>
      <c r="L13" s="712">
        <f>industrie!K18</f>
        <v>0</v>
      </c>
      <c r="M13" s="712">
        <f>industrie!L18</f>
        <v>0</v>
      </c>
      <c r="N13" s="712">
        <f>industrie!M18</f>
        <v>0</v>
      </c>
      <c r="O13" s="712">
        <f>industrie!N18</f>
        <v>5260.87613751762</v>
      </c>
      <c r="P13" s="712">
        <f>industrie!O18</f>
        <v>0</v>
      </c>
      <c r="Q13" s="713">
        <f>industrie!P18</f>
        <v>0</v>
      </c>
      <c r="R13" s="715">
        <f>SUM(C13:Q13)</f>
        <v>357189.37599737121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321852.454380713</v>
      </c>
      <c r="D16" s="748">
        <f t="shared" ref="D16:R16" ca="1" si="0">SUM(D9:D15)</f>
        <v>5665.2599742599741</v>
      </c>
      <c r="E16" s="748">
        <f t="shared" ca="1" si="0"/>
        <v>485594.5923246335</v>
      </c>
      <c r="F16" s="748">
        <f t="shared" si="0"/>
        <v>15804.196354049654</v>
      </c>
      <c r="G16" s="748">
        <f t="shared" ca="1" si="0"/>
        <v>36318.604279241474</v>
      </c>
      <c r="H16" s="748">
        <f t="shared" si="0"/>
        <v>0</v>
      </c>
      <c r="I16" s="748">
        <f t="shared" si="0"/>
        <v>0</v>
      </c>
      <c r="J16" s="748">
        <f t="shared" si="0"/>
        <v>0</v>
      </c>
      <c r="K16" s="748">
        <f t="shared" si="0"/>
        <v>3633.8753856986359</v>
      </c>
      <c r="L16" s="748">
        <f t="shared" si="0"/>
        <v>0</v>
      </c>
      <c r="M16" s="748">
        <f t="shared" ca="1" si="0"/>
        <v>0</v>
      </c>
      <c r="N16" s="748">
        <f t="shared" si="0"/>
        <v>0</v>
      </c>
      <c r="O16" s="748">
        <f t="shared" ca="1" si="0"/>
        <v>30230.066158185793</v>
      </c>
      <c r="P16" s="748">
        <f t="shared" si="0"/>
        <v>519.54651434889672</v>
      </c>
      <c r="Q16" s="748">
        <f t="shared" si="0"/>
        <v>1273.5638103744468</v>
      </c>
      <c r="R16" s="748">
        <f t="shared" ca="1" si="0"/>
        <v>900892.15918150521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4734.6896967777529</v>
      </c>
      <c r="I19" s="712">
        <f>transport!H54</f>
        <v>0</v>
      </c>
      <c r="J19" s="712">
        <f>transport!I54</f>
        <v>0</v>
      </c>
      <c r="K19" s="712">
        <f>transport!J54</f>
        <v>0</v>
      </c>
      <c r="L19" s="712">
        <f>transport!K54</f>
        <v>0</v>
      </c>
      <c r="M19" s="712">
        <f>transport!L54</f>
        <v>0</v>
      </c>
      <c r="N19" s="712">
        <f>transport!M54</f>
        <v>263.15457721154388</v>
      </c>
      <c r="O19" s="712">
        <f>transport!N54</f>
        <v>0</v>
      </c>
      <c r="P19" s="712">
        <f>transport!O54</f>
        <v>0</v>
      </c>
      <c r="Q19" s="713">
        <f>transport!P54</f>
        <v>0</v>
      </c>
      <c r="R19" s="715">
        <f>SUM(C19:Q19)</f>
        <v>4997.8442739892971</v>
      </c>
      <c r="S19" s="67"/>
    </row>
    <row r="20" spans="1:19" s="474" customFormat="1">
      <c r="A20" s="834" t="s">
        <v>306</v>
      </c>
      <c r="B20" s="839"/>
      <c r="C20" s="712">
        <f>transport!B14</f>
        <v>136.16165264583333</v>
      </c>
      <c r="D20" s="712">
        <f>transport!C14</f>
        <v>0</v>
      </c>
      <c r="E20" s="712">
        <f>transport!D14</f>
        <v>522.60573122955554</v>
      </c>
      <c r="F20" s="712">
        <f>transport!E14</f>
        <v>430.86276244614584</v>
      </c>
      <c r="G20" s="712">
        <f>transport!F14</f>
        <v>0</v>
      </c>
      <c r="H20" s="712">
        <f>transport!G14</f>
        <v>196752.21160722958</v>
      </c>
      <c r="I20" s="712">
        <f>transport!H14</f>
        <v>39453.548443681168</v>
      </c>
      <c r="J20" s="712">
        <f>transport!I14</f>
        <v>0</v>
      </c>
      <c r="K20" s="712">
        <f>transport!J14</f>
        <v>0</v>
      </c>
      <c r="L20" s="712">
        <f>transport!K14</f>
        <v>0</v>
      </c>
      <c r="M20" s="712">
        <f>transport!L14</f>
        <v>0</v>
      </c>
      <c r="N20" s="712">
        <f>transport!M14</f>
        <v>13937.54761048456</v>
      </c>
      <c r="O20" s="712">
        <f>transport!N14</f>
        <v>0</v>
      </c>
      <c r="P20" s="712">
        <f>transport!O14</f>
        <v>0</v>
      </c>
      <c r="Q20" s="713">
        <f>transport!P14</f>
        <v>0</v>
      </c>
      <c r="R20" s="715">
        <f>SUM(C20:Q20)</f>
        <v>251232.93780771681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136.16165264583333</v>
      </c>
      <c r="D22" s="837">
        <f t="shared" ref="D22:R22" si="1">SUM(D18:D21)</f>
        <v>0</v>
      </c>
      <c r="E22" s="837">
        <f t="shared" si="1"/>
        <v>522.60573122955554</v>
      </c>
      <c r="F22" s="837">
        <f t="shared" si="1"/>
        <v>430.86276244614584</v>
      </c>
      <c r="G22" s="837">
        <f t="shared" si="1"/>
        <v>0</v>
      </c>
      <c r="H22" s="837">
        <f t="shared" si="1"/>
        <v>201486.90130400733</v>
      </c>
      <c r="I22" s="837">
        <f t="shared" si="1"/>
        <v>39453.548443681168</v>
      </c>
      <c r="J22" s="837">
        <f t="shared" si="1"/>
        <v>0</v>
      </c>
      <c r="K22" s="837">
        <f t="shared" si="1"/>
        <v>0</v>
      </c>
      <c r="L22" s="837">
        <f t="shared" si="1"/>
        <v>0</v>
      </c>
      <c r="M22" s="837">
        <f t="shared" si="1"/>
        <v>0</v>
      </c>
      <c r="N22" s="837">
        <f t="shared" si="1"/>
        <v>14200.702187696104</v>
      </c>
      <c r="O22" s="837">
        <f t="shared" si="1"/>
        <v>0</v>
      </c>
      <c r="P22" s="837">
        <f t="shared" si="1"/>
        <v>0</v>
      </c>
      <c r="Q22" s="837">
        <f t="shared" si="1"/>
        <v>0</v>
      </c>
      <c r="R22" s="837">
        <f t="shared" si="1"/>
        <v>256230.7820817061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1406.6268279999999</v>
      </c>
      <c r="D24" s="712">
        <f>+landbouw!C8</f>
        <v>0</v>
      </c>
      <c r="E24" s="712">
        <f>+landbouw!D8</f>
        <v>2368.5850373240005</v>
      </c>
      <c r="F24" s="712">
        <f>+landbouw!E8</f>
        <v>43.900359453576101</v>
      </c>
      <c r="G24" s="712">
        <f>+landbouw!F8</f>
        <v>4971.1750320685542</v>
      </c>
      <c r="H24" s="712">
        <f>+landbouw!G8</f>
        <v>0</v>
      </c>
      <c r="I24" s="712">
        <f>+landbouw!H8</f>
        <v>0</v>
      </c>
      <c r="J24" s="712">
        <f>+landbouw!I8</f>
        <v>0</v>
      </c>
      <c r="K24" s="712">
        <f>+landbouw!J8</f>
        <v>387.53544598556101</v>
      </c>
      <c r="L24" s="712">
        <f>+landbouw!K8</f>
        <v>0</v>
      </c>
      <c r="M24" s="712">
        <f>+landbouw!L8</f>
        <v>0</v>
      </c>
      <c r="N24" s="712">
        <f>+landbouw!M8</f>
        <v>0</v>
      </c>
      <c r="O24" s="712">
        <f>+landbouw!N8</f>
        <v>0</v>
      </c>
      <c r="P24" s="712">
        <f>+landbouw!O8</f>
        <v>0</v>
      </c>
      <c r="Q24" s="713">
        <f>+landbouw!P8</f>
        <v>0</v>
      </c>
      <c r="R24" s="715">
        <f>SUM(C24:Q24)</f>
        <v>9177.8227028316924</v>
      </c>
      <c r="S24" s="67"/>
    </row>
    <row r="25" spans="1:19" s="474" customFormat="1" ht="15" thickBot="1">
      <c r="A25" s="856" t="s">
        <v>734</v>
      </c>
      <c r="B25" s="982"/>
      <c r="C25" s="983">
        <f>IF(Onbekend_ele_kWh="---",0,Onbekend_ele_kWh)/1000+IF(REST_rest_ele_kWh="---",0,REST_rest_ele_kWh)/1000</f>
        <v>2602.3689089999998</v>
      </c>
      <c r="D25" s="983"/>
      <c r="E25" s="983">
        <f>IF(onbekend_gas_kWh="---",0,onbekend_gas_kWh)/1000+IF(REST_rest_gas_kWh="---",0,REST_rest_gas_kWh)/1000</f>
        <v>7305.4381880000001</v>
      </c>
      <c r="F25" s="983"/>
      <c r="G25" s="983"/>
      <c r="H25" s="983"/>
      <c r="I25" s="983"/>
      <c r="J25" s="983"/>
      <c r="K25" s="983"/>
      <c r="L25" s="983"/>
      <c r="M25" s="983"/>
      <c r="N25" s="983"/>
      <c r="O25" s="983"/>
      <c r="P25" s="983"/>
      <c r="Q25" s="984"/>
      <c r="R25" s="715">
        <f>SUM(C25:Q25)</f>
        <v>9907.8070970000008</v>
      </c>
      <c r="S25" s="67"/>
    </row>
    <row r="26" spans="1:19" s="474" customFormat="1" ht="15.75" thickBot="1">
      <c r="A26" s="720" t="s">
        <v>735</v>
      </c>
      <c r="B26" s="842"/>
      <c r="C26" s="837">
        <f>SUM(C24:C25)</f>
        <v>4008.9957369999997</v>
      </c>
      <c r="D26" s="837">
        <f t="shared" ref="D26:R26" si="2">SUM(D24:D25)</f>
        <v>0</v>
      </c>
      <c r="E26" s="837">
        <f t="shared" si="2"/>
        <v>9674.023225324001</v>
      </c>
      <c r="F26" s="837">
        <f t="shared" si="2"/>
        <v>43.900359453576101</v>
      </c>
      <c r="G26" s="837">
        <f t="shared" si="2"/>
        <v>4971.1750320685542</v>
      </c>
      <c r="H26" s="837">
        <f t="shared" si="2"/>
        <v>0</v>
      </c>
      <c r="I26" s="837">
        <f t="shared" si="2"/>
        <v>0</v>
      </c>
      <c r="J26" s="837">
        <f t="shared" si="2"/>
        <v>0</v>
      </c>
      <c r="K26" s="837">
        <f t="shared" si="2"/>
        <v>387.53544598556101</v>
      </c>
      <c r="L26" s="837">
        <f t="shared" si="2"/>
        <v>0</v>
      </c>
      <c r="M26" s="837">
        <f t="shared" si="2"/>
        <v>0</v>
      </c>
      <c r="N26" s="837">
        <f t="shared" si="2"/>
        <v>0</v>
      </c>
      <c r="O26" s="837">
        <f t="shared" si="2"/>
        <v>0</v>
      </c>
      <c r="P26" s="837">
        <f t="shared" si="2"/>
        <v>0</v>
      </c>
      <c r="Q26" s="837">
        <f t="shared" si="2"/>
        <v>0</v>
      </c>
      <c r="R26" s="837">
        <f t="shared" si="2"/>
        <v>19085.629799831695</v>
      </c>
      <c r="S26" s="67"/>
    </row>
    <row r="27" spans="1:19" s="474" customFormat="1" ht="17.25" thickTop="1" thickBot="1">
      <c r="A27" s="721" t="s">
        <v>115</v>
      </c>
      <c r="B27" s="829"/>
      <c r="C27" s="722">
        <f ca="1">C22+C16+C26</f>
        <v>325997.61177035887</v>
      </c>
      <c r="D27" s="722">
        <f t="shared" ref="D27:R27" ca="1" si="3">D22+D16+D26</f>
        <v>5665.2599742599741</v>
      </c>
      <c r="E27" s="722">
        <f t="shared" ca="1" si="3"/>
        <v>495791.22128118703</v>
      </c>
      <c r="F27" s="722">
        <f t="shared" si="3"/>
        <v>16278.959475949376</v>
      </c>
      <c r="G27" s="722">
        <f t="shared" ca="1" si="3"/>
        <v>41289.779311310027</v>
      </c>
      <c r="H27" s="722">
        <f t="shared" si="3"/>
        <v>201486.90130400733</v>
      </c>
      <c r="I27" s="722">
        <f t="shared" si="3"/>
        <v>39453.548443681168</v>
      </c>
      <c r="J27" s="722">
        <f t="shared" si="3"/>
        <v>0</v>
      </c>
      <c r="K27" s="722">
        <f t="shared" si="3"/>
        <v>4021.4108316841971</v>
      </c>
      <c r="L27" s="722">
        <f t="shared" si="3"/>
        <v>0</v>
      </c>
      <c r="M27" s="722">
        <f t="shared" ca="1" si="3"/>
        <v>0</v>
      </c>
      <c r="N27" s="722">
        <f t="shared" si="3"/>
        <v>14200.702187696104</v>
      </c>
      <c r="O27" s="722">
        <f t="shared" ca="1" si="3"/>
        <v>30230.066158185793</v>
      </c>
      <c r="P27" s="722">
        <f t="shared" si="3"/>
        <v>519.54651434889672</v>
      </c>
      <c r="Q27" s="722">
        <f t="shared" si="3"/>
        <v>1273.5638103744468</v>
      </c>
      <c r="R27" s="722">
        <f t="shared" ca="1" si="3"/>
        <v>1176208.5710630431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18938.5010269296</v>
      </c>
      <c r="D40" s="712">
        <f ca="1">tertiair!C20</f>
        <v>371.30820075284157</v>
      </c>
      <c r="E40" s="712">
        <f ca="1">tertiair!D20</f>
        <v>25030.752603742254</v>
      </c>
      <c r="F40" s="712">
        <f>tertiair!E20</f>
        <v>286.70409658371392</v>
      </c>
      <c r="G40" s="712">
        <f ca="1">tertiair!F20</f>
        <v>2519.409605208531</v>
      </c>
      <c r="H40" s="712">
        <f>tertiair!G20</f>
        <v>0</v>
      </c>
      <c r="I40" s="712">
        <f>tertiair!H20</f>
        <v>0</v>
      </c>
      <c r="J40" s="712">
        <f>tertiair!I20</f>
        <v>0</v>
      </c>
      <c r="K40" s="712">
        <f>tertiair!J20</f>
        <v>3.2441262996326332E-2</v>
      </c>
      <c r="L40" s="712">
        <f>tertiair!K20</f>
        <v>0</v>
      </c>
      <c r="M40" s="712">
        <f ca="1">tertiair!L20</f>
        <v>0</v>
      </c>
      <c r="N40" s="712">
        <f>tertiair!M20</f>
        <v>0</v>
      </c>
      <c r="O40" s="712">
        <f ca="1">tertiair!N20</f>
        <v>0</v>
      </c>
      <c r="P40" s="712">
        <f>tertiair!O20</f>
        <v>0</v>
      </c>
      <c r="Q40" s="795">
        <f>tertiair!P20</f>
        <v>0</v>
      </c>
      <c r="R40" s="875">
        <f t="shared" ca="1" si="4"/>
        <v>47146.707974479941</v>
      </c>
    </row>
    <row r="41" spans="1:18">
      <c r="A41" s="847" t="s">
        <v>224</v>
      </c>
      <c r="B41" s="854"/>
      <c r="C41" s="712">
        <f ca="1">huishoudens!B12</f>
        <v>12022.447741300279</v>
      </c>
      <c r="D41" s="712">
        <f ca="1">huishoudens!C12</f>
        <v>0</v>
      </c>
      <c r="E41" s="712">
        <f>huishoudens!D12</f>
        <v>44923.045010223606</v>
      </c>
      <c r="F41" s="712">
        <f>huishoudens!E12</f>
        <v>1612.0567250147544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58557.549476538639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34922.070584529618</v>
      </c>
      <c r="D43" s="712">
        <f ca="1">industrie!C22</f>
        <v>957.43587326119859</v>
      </c>
      <c r="E43" s="712">
        <f>industrie!D22</f>
        <v>28136.310035610109</v>
      </c>
      <c r="F43" s="712">
        <f>industrie!E22</f>
        <v>1688.7917507708032</v>
      </c>
      <c r="G43" s="712">
        <f>industrie!F22</f>
        <v>7177.6577373489426</v>
      </c>
      <c r="H43" s="712">
        <f>industrie!G22</f>
        <v>0</v>
      </c>
      <c r="I43" s="712">
        <f>industrie!H22</f>
        <v>0</v>
      </c>
      <c r="J43" s="712">
        <f>industrie!I22</f>
        <v>0</v>
      </c>
      <c r="K43" s="712">
        <f>industrie!J22</f>
        <v>1286.3594452743207</v>
      </c>
      <c r="L43" s="712">
        <f>industrie!K22</f>
        <v>0</v>
      </c>
      <c r="M43" s="712">
        <f>industrie!L22</f>
        <v>0</v>
      </c>
      <c r="N43" s="712">
        <f>industrie!M22</f>
        <v>0</v>
      </c>
      <c r="O43" s="712">
        <f>industrie!N22</f>
        <v>0</v>
      </c>
      <c r="P43" s="712">
        <f>industrie!O22</f>
        <v>0</v>
      </c>
      <c r="Q43" s="795">
        <f>industrie!P22</f>
        <v>0</v>
      </c>
      <c r="R43" s="874">
        <f t="shared" ca="1" si="4"/>
        <v>74168.625426794999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65883.019352759497</v>
      </c>
      <c r="D46" s="748">
        <f t="shared" ref="D46:Q46" ca="1" si="5">SUM(D39:D45)</f>
        <v>1328.7440740140401</v>
      </c>
      <c r="E46" s="748">
        <f t="shared" ca="1" si="5"/>
        <v>98090.107649575963</v>
      </c>
      <c r="F46" s="748">
        <f t="shared" si="5"/>
        <v>3587.5525723692717</v>
      </c>
      <c r="G46" s="748">
        <f t="shared" ca="1" si="5"/>
        <v>9697.0673425574732</v>
      </c>
      <c r="H46" s="748">
        <f t="shared" si="5"/>
        <v>0</v>
      </c>
      <c r="I46" s="748">
        <f t="shared" si="5"/>
        <v>0</v>
      </c>
      <c r="J46" s="748">
        <f t="shared" si="5"/>
        <v>0</v>
      </c>
      <c r="K46" s="748">
        <f t="shared" si="5"/>
        <v>1286.3918865373171</v>
      </c>
      <c r="L46" s="748">
        <f t="shared" si="5"/>
        <v>0</v>
      </c>
      <c r="M46" s="748">
        <f t="shared" ca="1" si="5"/>
        <v>0</v>
      </c>
      <c r="N46" s="748">
        <f t="shared" si="5"/>
        <v>0</v>
      </c>
      <c r="O46" s="748">
        <f t="shared" ca="1" si="5"/>
        <v>0</v>
      </c>
      <c r="P46" s="748">
        <f t="shared" si="5"/>
        <v>0</v>
      </c>
      <c r="Q46" s="748">
        <f t="shared" si="5"/>
        <v>0</v>
      </c>
      <c r="R46" s="748">
        <f ca="1">SUM(R39:R45)</f>
        <v>179872.88287781359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1264.1621490396601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1264.1621490396601</v>
      </c>
    </row>
    <row r="50" spans="1:18">
      <c r="A50" s="850" t="s">
        <v>306</v>
      </c>
      <c r="B50" s="860"/>
      <c r="C50" s="718">
        <f ca="1">transport!B18</f>
        <v>27.872214967662913</v>
      </c>
      <c r="D50" s="718">
        <f>transport!C18</f>
        <v>0</v>
      </c>
      <c r="E50" s="718">
        <f>transport!D18</f>
        <v>105.56635770837023</v>
      </c>
      <c r="F50" s="718">
        <f>transport!E18</f>
        <v>97.805847075275111</v>
      </c>
      <c r="G50" s="718">
        <f>transport!F18</f>
        <v>0</v>
      </c>
      <c r="H50" s="718">
        <f>transport!G18</f>
        <v>52532.840499130303</v>
      </c>
      <c r="I50" s="718">
        <f>transport!H18</f>
        <v>9823.9335624766099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62588.018481358224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27.872214967662913</v>
      </c>
      <c r="D52" s="748">
        <f t="shared" ref="D52:Q52" ca="1" si="6">SUM(D48:D51)</f>
        <v>0</v>
      </c>
      <c r="E52" s="748">
        <f t="shared" si="6"/>
        <v>105.56635770837023</v>
      </c>
      <c r="F52" s="748">
        <f t="shared" si="6"/>
        <v>97.805847075275111</v>
      </c>
      <c r="G52" s="748">
        <f t="shared" si="6"/>
        <v>0</v>
      </c>
      <c r="H52" s="748">
        <f t="shared" si="6"/>
        <v>53797.002648169961</v>
      </c>
      <c r="I52" s="748">
        <f t="shared" si="6"/>
        <v>9823.9335624766099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63852.180630397881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287.9357335010838</v>
      </c>
      <c r="D54" s="718">
        <f ca="1">+landbouw!C12</f>
        <v>0</v>
      </c>
      <c r="E54" s="718">
        <f>+landbouw!D12</f>
        <v>478.45417753944815</v>
      </c>
      <c r="F54" s="718">
        <f>+landbouw!E12</f>
        <v>9.9653815959617749</v>
      </c>
      <c r="G54" s="718">
        <f>+landbouw!F12</f>
        <v>1327.3037335623039</v>
      </c>
      <c r="H54" s="718">
        <f>+landbouw!G12</f>
        <v>0</v>
      </c>
      <c r="I54" s="718">
        <f>+landbouw!H12</f>
        <v>0</v>
      </c>
      <c r="J54" s="718">
        <f>+landbouw!I12</f>
        <v>0</v>
      </c>
      <c r="K54" s="718">
        <f>+landbouw!J12</f>
        <v>137.18754787888858</v>
      </c>
      <c r="L54" s="718">
        <f>+landbouw!K12</f>
        <v>0</v>
      </c>
      <c r="M54" s="718">
        <f>+landbouw!L12</f>
        <v>0</v>
      </c>
      <c r="N54" s="718">
        <f>+landbouw!M12</f>
        <v>0</v>
      </c>
      <c r="O54" s="718">
        <f>+landbouw!N12</f>
        <v>0</v>
      </c>
      <c r="P54" s="718">
        <f>+landbouw!O12</f>
        <v>0</v>
      </c>
      <c r="Q54" s="719">
        <f>+landbouw!P12</f>
        <v>0</v>
      </c>
      <c r="R54" s="747">
        <f ca="1">SUM(C54:Q54)</f>
        <v>2240.846574077686</v>
      </c>
    </row>
    <row r="55" spans="1:18" ht="15" thickBot="1">
      <c r="A55" s="850" t="s">
        <v>734</v>
      </c>
      <c r="B55" s="860"/>
      <c r="C55" s="718">
        <f ca="1">C25*'EF ele_warmte'!B12</f>
        <v>532.70347595938938</v>
      </c>
      <c r="D55" s="718"/>
      <c r="E55" s="718">
        <f>E25*EF_CO2_aardgas</f>
        <v>1475.6985139760002</v>
      </c>
      <c r="F55" s="718"/>
      <c r="G55" s="718"/>
      <c r="H55" s="718"/>
      <c r="I55" s="718"/>
      <c r="J55" s="718"/>
      <c r="K55" s="718"/>
      <c r="L55" s="718"/>
      <c r="M55" s="718"/>
      <c r="N55" s="718"/>
      <c r="O55" s="718"/>
      <c r="P55" s="718"/>
      <c r="Q55" s="719"/>
      <c r="R55" s="747">
        <f ca="1">SUM(C55:Q55)</f>
        <v>2008.4019899353896</v>
      </c>
    </row>
    <row r="56" spans="1:18" ht="15.75" thickBot="1">
      <c r="A56" s="848" t="s">
        <v>735</v>
      </c>
      <c r="B56" s="861"/>
      <c r="C56" s="748">
        <f ca="1">SUM(C54:C55)</f>
        <v>820.63920946047324</v>
      </c>
      <c r="D56" s="748">
        <f t="shared" ref="D56:Q56" ca="1" si="7">SUM(D54:D55)</f>
        <v>0</v>
      </c>
      <c r="E56" s="748">
        <f t="shared" si="7"/>
        <v>1954.1526915154484</v>
      </c>
      <c r="F56" s="748">
        <f t="shared" si="7"/>
        <v>9.9653815959617749</v>
      </c>
      <c r="G56" s="748">
        <f t="shared" si="7"/>
        <v>1327.3037335623039</v>
      </c>
      <c r="H56" s="748">
        <f t="shared" si="7"/>
        <v>0</v>
      </c>
      <c r="I56" s="748">
        <f t="shared" si="7"/>
        <v>0</v>
      </c>
      <c r="J56" s="748">
        <f t="shared" si="7"/>
        <v>0</v>
      </c>
      <c r="K56" s="748">
        <f t="shared" si="7"/>
        <v>137.18754787888858</v>
      </c>
      <c r="L56" s="748">
        <f t="shared" si="7"/>
        <v>0</v>
      </c>
      <c r="M56" s="748">
        <f t="shared" si="7"/>
        <v>0</v>
      </c>
      <c r="N56" s="748">
        <f t="shared" si="7"/>
        <v>0</v>
      </c>
      <c r="O56" s="748">
        <f t="shared" si="7"/>
        <v>0</v>
      </c>
      <c r="P56" s="748">
        <f t="shared" si="7"/>
        <v>0</v>
      </c>
      <c r="Q56" s="749">
        <f t="shared" si="7"/>
        <v>0</v>
      </c>
      <c r="R56" s="750">
        <f ca="1">SUM(R54:R55)</f>
        <v>4249.2485640130753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66731.530777187625</v>
      </c>
      <c r="D61" s="756">
        <f t="shared" ref="D61:Q61" ca="1" si="8">D46+D52+D56</f>
        <v>1328.7440740140401</v>
      </c>
      <c r="E61" s="756">
        <f t="shared" ca="1" si="8"/>
        <v>100149.82669879979</v>
      </c>
      <c r="F61" s="756">
        <f t="shared" si="8"/>
        <v>3695.3238010405089</v>
      </c>
      <c r="G61" s="756">
        <f t="shared" ca="1" si="8"/>
        <v>11024.371076119776</v>
      </c>
      <c r="H61" s="756">
        <f t="shared" si="8"/>
        <v>53797.002648169961</v>
      </c>
      <c r="I61" s="756">
        <f t="shared" si="8"/>
        <v>9823.9335624766099</v>
      </c>
      <c r="J61" s="756">
        <f t="shared" si="8"/>
        <v>0</v>
      </c>
      <c r="K61" s="756">
        <f t="shared" si="8"/>
        <v>1423.5794344162057</v>
      </c>
      <c r="L61" s="756">
        <f t="shared" si="8"/>
        <v>0</v>
      </c>
      <c r="M61" s="756">
        <f t="shared" ca="1" si="8"/>
        <v>0</v>
      </c>
      <c r="N61" s="756">
        <f t="shared" si="8"/>
        <v>0</v>
      </c>
      <c r="O61" s="756">
        <f t="shared" ca="1" si="8"/>
        <v>0</v>
      </c>
      <c r="P61" s="756">
        <f t="shared" si="8"/>
        <v>0</v>
      </c>
      <c r="Q61" s="756">
        <f t="shared" si="8"/>
        <v>0</v>
      </c>
      <c r="R61" s="756">
        <f ca="1">R46+R52+R56</f>
        <v>247974.31207222454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0.20469944676832491</v>
      </c>
      <c r="D63" s="802">
        <f t="shared" ca="1" si="9"/>
        <v>0.23454247114010113</v>
      </c>
      <c r="E63" s="1008">
        <f t="shared" ca="1" si="9"/>
        <v>0.20200000000000001</v>
      </c>
      <c r="F63" s="802">
        <f t="shared" si="9"/>
        <v>0.22700000000000004</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7721.336208620296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15177.399784245898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3178.1666666666665</v>
      </c>
      <c r="D76" s="991">
        <f>'lokale energieproductie'!C8</f>
        <v>3690.1735826489994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745.41506369509796</v>
      </c>
      <c r="R76" s="877">
        <v>0</v>
      </c>
    </row>
    <row r="77" spans="1:18" ht="15.75" thickBot="1">
      <c r="A77" s="772" t="s">
        <v>801</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24239.735992866194</v>
      </c>
      <c r="C78" s="774">
        <f>SUM(C72:C77)</f>
        <v>3178.1666666666665</v>
      </c>
      <c r="D78" s="775">
        <f t="shared" ref="D78:H78" si="10">SUM(D76:D77)</f>
        <v>3690.1735826489994</v>
      </c>
      <c r="E78" s="775">
        <f t="shared" si="10"/>
        <v>0</v>
      </c>
      <c r="F78" s="775">
        <f t="shared" si="10"/>
        <v>0</v>
      </c>
      <c r="G78" s="775">
        <f t="shared" si="10"/>
        <v>0</v>
      </c>
      <c r="H78" s="775">
        <f t="shared" si="10"/>
        <v>0</v>
      </c>
      <c r="I78" s="775">
        <f>SUM(I76:I77)</f>
        <v>0</v>
      </c>
      <c r="J78" s="775">
        <f>SUM(J76:J77)</f>
        <v>3831.4285714285716</v>
      </c>
      <c r="K78" s="775">
        <f t="shared" ref="K78:L78" si="11">SUM(K76:K77)</f>
        <v>0</v>
      </c>
      <c r="L78" s="775">
        <f t="shared" si="11"/>
        <v>0</v>
      </c>
      <c r="M78" s="775">
        <f>SUM(M76:M77)</f>
        <v>0</v>
      </c>
      <c r="N78" s="775">
        <f>SUM(N76:N77)</f>
        <v>0</v>
      </c>
      <c r="O78" s="885">
        <f>SUM(O76:O77)</f>
        <v>0</v>
      </c>
      <c r="P78" s="776">
        <v>0</v>
      </c>
      <c r="Q78" s="776">
        <f>SUM(Q76:Q77)</f>
        <v>745.41506369509796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5665.259974259975</v>
      </c>
      <c r="D87" s="798">
        <f>'lokale energieproductie'!C17</f>
        <v>6577.9409604655448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1328.7440740140401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5665.259974259975</v>
      </c>
      <c r="D90" s="774">
        <f t="shared" ref="D90:H90" si="12">SUM(D87:D89)</f>
        <v>6577.9409604655448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1328.7440740140401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7721.336208620296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15177.399784245898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3178.1666666666665</v>
      </c>
      <c r="C8" s="574">
        <f>B101</f>
        <v>3690.1735826489994</v>
      </c>
      <c r="D8" s="575"/>
      <c r="E8" s="575">
        <f>E101</f>
        <v>0</v>
      </c>
      <c r="F8" s="576"/>
      <c r="G8" s="577"/>
      <c r="H8" s="575">
        <f>I101</f>
        <v>0</v>
      </c>
      <c r="I8" s="575">
        <f>G101+F101</f>
        <v>0</v>
      </c>
      <c r="J8" s="575">
        <f>H101+D101+C101</f>
        <v>0</v>
      </c>
      <c r="K8" s="575"/>
      <c r="L8" s="575"/>
      <c r="M8" s="575"/>
      <c r="N8" s="578"/>
      <c r="O8" s="579">
        <f>C8*$C$12+D8*$D$12+E8*$E$12+F8*$F$12+G8*$G$12+H8*$H$12+I8*$I$12+J8*$J$12</f>
        <v>745.41506369509796</v>
      </c>
      <c r="P8" s="1291"/>
      <c r="Q8" s="1292"/>
      <c r="S8" s="569"/>
      <c r="T8" s="1288"/>
      <c r="U8" s="1288"/>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27417.902659532861</v>
      </c>
      <c r="C10" s="589">
        <f t="shared" ref="C10:L10" si="0">SUM(C8:C9)</f>
        <v>3690.1735826489994</v>
      </c>
      <c r="D10" s="589">
        <f t="shared" si="0"/>
        <v>0</v>
      </c>
      <c r="E10" s="589">
        <f t="shared" si="0"/>
        <v>0</v>
      </c>
      <c r="F10" s="589">
        <f t="shared" si="0"/>
        <v>0</v>
      </c>
      <c r="G10" s="589">
        <f t="shared" si="0"/>
        <v>0</v>
      </c>
      <c r="H10" s="589">
        <f t="shared" si="0"/>
        <v>0</v>
      </c>
      <c r="I10" s="589">
        <f t="shared" si="0"/>
        <v>0</v>
      </c>
      <c r="J10" s="589">
        <f t="shared" si="0"/>
        <v>3831.4285714285716</v>
      </c>
      <c r="K10" s="589">
        <f t="shared" si="0"/>
        <v>0</v>
      </c>
      <c r="L10" s="589">
        <f t="shared" si="0"/>
        <v>0</v>
      </c>
      <c r="M10" s="1004"/>
      <c r="N10" s="1004"/>
      <c r="O10" s="590">
        <f>SUM(O4:O9)</f>
        <v>745.41506369509796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5665.259974259975</v>
      </c>
      <c r="C17" s="605">
        <f>B102</f>
        <v>6577.9409604655448</v>
      </c>
      <c r="D17" s="606"/>
      <c r="E17" s="606">
        <f>E102</f>
        <v>0</v>
      </c>
      <c r="F17" s="607"/>
      <c r="G17" s="608"/>
      <c r="H17" s="605">
        <f>I102</f>
        <v>0</v>
      </c>
      <c r="I17" s="606">
        <f>G102+F102</f>
        <v>0</v>
      </c>
      <c r="J17" s="606">
        <f>H102+D102+C102</f>
        <v>0</v>
      </c>
      <c r="K17" s="606"/>
      <c r="L17" s="606"/>
      <c r="M17" s="606"/>
      <c r="N17" s="1005"/>
      <c r="O17" s="609">
        <f>C17*$C$22+E17*$E$22+H17*$H$22+I17*$I$22+J17*$J$22+D17*$D$22+F17*$F$22+G17*$G$22+K17*$K$22+L17*$L$22</f>
        <v>1328.7440740140401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5665.259974259975</v>
      </c>
      <c r="C20" s="588">
        <f>SUM(C17:C19)</f>
        <v>6577.9409604655448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1328.7440740140401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13040</v>
      </c>
      <c r="C28" s="817">
        <v>2300</v>
      </c>
      <c r="D28" s="666" t="s">
        <v>886</v>
      </c>
      <c r="E28" s="665" t="s">
        <v>887</v>
      </c>
      <c r="F28" s="665" t="s">
        <v>888</v>
      </c>
      <c r="G28" s="665" t="s">
        <v>889</v>
      </c>
      <c r="H28" s="665" t="s">
        <v>889</v>
      </c>
      <c r="I28" s="665" t="s">
        <v>887</v>
      </c>
      <c r="J28" s="816">
        <v>41001</v>
      </c>
      <c r="K28" s="816">
        <v>41153</v>
      </c>
      <c r="L28" s="665" t="s">
        <v>890</v>
      </c>
      <c r="M28" s="665">
        <v>70</v>
      </c>
      <c r="N28" s="665">
        <v>315.00000000000006</v>
      </c>
      <c r="O28" s="665">
        <v>1575.0000000000002</v>
      </c>
      <c r="P28" s="665">
        <v>2100.0000000000005</v>
      </c>
      <c r="Q28" s="665">
        <v>0</v>
      </c>
      <c r="R28" s="665">
        <v>0</v>
      </c>
      <c r="S28" s="665">
        <v>0</v>
      </c>
      <c r="T28" s="665">
        <v>0</v>
      </c>
      <c r="U28" s="665">
        <v>0</v>
      </c>
      <c r="V28" s="665">
        <v>0</v>
      </c>
      <c r="W28" s="665">
        <v>0</v>
      </c>
      <c r="X28" s="665">
        <v>1500</v>
      </c>
      <c r="Y28" s="665" t="s">
        <v>50</v>
      </c>
      <c r="Z28" s="667" t="s">
        <v>155</v>
      </c>
    </row>
    <row r="29" spans="1:26" s="619" customFormat="1" ht="25.5">
      <c r="A29" s="618"/>
      <c r="B29" s="817">
        <v>13040</v>
      </c>
      <c r="C29" s="817">
        <v>2300</v>
      </c>
      <c r="D29" s="666" t="s">
        <v>891</v>
      </c>
      <c r="E29" s="665" t="s">
        <v>892</v>
      </c>
      <c r="F29" s="665" t="s">
        <v>893</v>
      </c>
      <c r="G29" s="665" t="s">
        <v>894</v>
      </c>
      <c r="H29" s="665" t="s">
        <v>895</v>
      </c>
      <c r="I29" s="665" t="s">
        <v>892</v>
      </c>
      <c r="J29" s="816">
        <v>41324</v>
      </c>
      <c r="K29" s="816">
        <v>41324</v>
      </c>
      <c r="L29" s="665" t="s">
        <v>890</v>
      </c>
      <c r="M29" s="665">
        <v>635</v>
      </c>
      <c r="N29" s="665">
        <v>2857.5</v>
      </c>
      <c r="O29" s="665">
        <v>4082.1428571428573</v>
      </c>
      <c r="P29" s="665">
        <v>8164.2857142857147</v>
      </c>
      <c r="Q29" s="665">
        <v>0</v>
      </c>
      <c r="R29" s="665">
        <v>0</v>
      </c>
      <c r="S29" s="665">
        <v>0</v>
      </c>
      <c r="T29" s="665">
        <v>0</v>
      </c>
      <c r="U29" s="665">
        <v>0</v>
      </c>
      <c r="V29" s="665">
        <v>0</v>
      </c>
      <c r="W29" s="665">
        <v>0</v>
      </c>
      <c r="X29" s="665">
        <v>300</v>
      </c>
      <c r="Y29" s="665" t="s">
        <v>896</v>
      </c>
      <c r="Z29" s="667" t="s">
        <v>388</v>
      </c>
    </row>
    <row r="30" spans="1:26" s="619" customFormat="1" ht="12.75">
      <c r="A30" s="618"/>
      <c r="B30" s="817">
        <v>13040</v>
      </c>
      <c r="C30" s="817">
        <v>2300</v>
      </c>
      <c r="D30" s="666" t="s">
        <v>897</v>
      </c>
      <c r="E30" s="665"/>
      <c r="F30" s="665" t="s">
        <v>898</v>
      </c>
      <c r="G30" s="665" t="s">
        <v>899</v>
      </c>
      <c r="H30" s="665" t="s">
        <v>899</v>
      </c>
      <c r="I30" s="665" t="s">
        <v>900</v>
      </c>
      <c r="J30" s="816">
        <v>42964</v>
      </c>
      <c r="K30" s="816">
        <v>42964</v>
      </c>
      <c r="L30" s="665" t="s">
        <v>901</v>
      </c>
      <c r="M30" s="665">
        <v>3.4</v>
      </c>
      <c r="N30" s="665">
        <v>5.6666666666666661</v>
      </c>
      <c r="O30" s="665">
        <v>8.1171171171171164</v>
      </c>
      <c r="P30" s="665">
        <v>3.8288288288288284</v>
      </c>
      <c r="Q30" s="665">
        <v>0</v>
      </c>
      <c r="R30" s="665">
        <v>0</v>
      </c>
      <c r="S30" s="665">
        <v>0</v>
      </c>
      <c r="T30" s="665">
        <v>0</v>
      </c>
      <c r="U30" s="665">
        <v>0</v>
      </c>
      <c r="V30" s="665">
        <v>0</v>
      </c>
      <c r="W30" s="665">
        <v>0</v>
      </c>
      <c r="X30" s="665">
        <v>1100</v>
      </c>
      <c r="Y30" s="665" t="s">
        <v>160</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708.4</v>
      </c>
      <c r="N58" s="623">
        <f>SUM(N28:N57)</f>
        <v>3178.1666666666665</v>
      </c>
      <c r="O58" s="623">
        <f t="shared" ref="O58:W58" si="2">SUM(O28:O57)</f>
        <v>5665.259974259975</v>
      </c>
      <c r="P58" s="623">
        <f t="shared" si="2"/>
        <v>10268.114543114545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635</v>
      </c>
      <c r="N59" s="623">
        <f t="shared" si="3"/>
        <v>2857.5</v>
      </c>
      <c r="O59" s="623">
        <f t="shared" si="3"/>
        <v>4082.1428571428573</v>
      </c>
      <c r="P59" s="623">
        <f t="shared" si="3"/>
        <v>8164.2857142857147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73.400000000000006</v>
      </c>
      <c r="N60" s="623">
        <f ca="1">SUMIF($Z$28:AD57,"tertiair",N28:N57)</f>
        <v>320.66666666666674</v>
      </c>
      <c r="O60" s="623">
        <f ca="1">SUMIF($Z$28:AE57,"tertiair",O28:O57)</f>
        <v>1583.1171171171172</v>
      </c>
      <c r="P60" s="623">
        <f ca="1">SUMIF($Z$28:AF57,"tertiair",P28:P57)</f>
        <v>2103.8288288288295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13040</v>
      </c>
      <c r="C64" s="817">
        <v>2300</v>
      </c>
      <c r="D64" s="668" t="s">
        <v>902</v>
      </c>
      <c r="E64" s="668" t="s">
        <v>903</v>
      </c>
      <c r="F64" s="668" t="s">
        <v>904</v>
      </c>
      <c r="G64" s="668" t="s">
        <v>905</v>
      </c>
      <c r="H64" s="668" t="s">
        <v>906</v>
      </c>
      <c r="I64" s="668" t="s">
        <v>907</v>
      </c>
      <c r="J64" s="816">
        <v>38768</v>
      </c>
      <c r="K64" s="816">
        <v>39052</v>
      </c>
      <c r="L64" s="668" t="s">
        <v>908</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0.64061819069563186</v>
      </c>
      <c r="C98" s="648">
        <f>IF(ISERROR(N58/(O58+N58)),0,N58/(N58+O58))</f>
        <v>0.35938180930436803</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3690.1735826489994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6577.9409604655448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58732.194596046276</v>
      </c>
      <c r="C4" s="478">
        <f>huishoudens!C8</f>
        <v>0</v>
      </c>
      <c r="D4" s="478">
        <f>huishoudens!D8</f>
        <v>222391.31193180001</v>
      </c>
      <c r="E4" s="478">
        <f>huishoudens!E8</f>
        <v>7101.5714758359227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24969.190020668171</v>
      </c>
      <c r="O4" s="478">
        <f>huishoudens!O8</f>
        <v>499.95747128553205</v>
      </c>
      <c r="P4" s="479">
        <f>huishoudens!P8</f>
        <v>853.25070392248676</v>
      </c>
      <c r="Q4" s="480">
        <f>SUM(B4:P4)</f>
        <v>314547.47619955835</v>
      </c>
    </row>
    <row r="5" spans="1:17">
      <c r="A5" s="477" t="s">
        <v>155</v>
      </c>
      <c r="B5" s="478">
        <f ca="1">tertiair!B16</f>
        <v>89885.993553666689</v>
      </c>
      <c r="C5" s="478">
        <f ca="1">tertiair!C16</f>
        <v>1583.1171171171172</v>
      </c>
      <c r="D5" s="478">
        <f ca="1">tertiair!D16</f>
        <v>123914.61685020918</v>
      </c>
      <c r="E5" s="478">
        <f>tertiair!E16</f>
        <v>1263.0136413379466</v>
      </c>
      <c r="F5" s="478">
        <f ca="1">tertiair!F16</f>
        <v>9435.9910307435621</v>
      </c>
      <c r="G5" s="478">
        <f>tertiair!G16</f>
        <v>0</v>
      </c>
      <c r="H5" s="478">
        <f>tertiair!H16</f>
        <v>0</v>
      </c>
      <c r="I5" s="478">
        <f>tertiair!I16</f>
        <v>0</v>
      </c>
      <c r="J5" s="478">
        <f>tertiair!J16</f>
        <v>9.1641985865328623E-2</v>
      </c>
      <c r="K5" s="478">
        <f>tertiair!K16</f>
        <v>0</v>
      </c>
      <c r="L5" s="478">
        <f ca="1">tertiair!L16</f>
        <v>0</v>
      </c>
      <c r="M5" s="478">
        <f>tertiair!M16</f>
        <v>0</v>
      </c>
      <c r="N5" s="478">
        <f ca="1">tertiair!N16</f>
        <v>0</v>
      </c>
      <c r="O5" s="478">
        <f>tertiair!O16</f>
        <v>19.589043063364617</v>
      </c>
      <c r="P5" s="479">
        <f>tertiair!P16</f>
        <v>420.31310645196015</v>
      </c>
      <c r="Q5" s="477">
        <f t="shared" ref="Q5:Q14" ca="1" si="0">SUM(B5:P5)</f>
        <v>226522.72598457569</v>
      </c>
    </row>
    <row r="6" spans="1:17">
      <c r="A6" s="477" t="s">
        <v>193</v>
      </c>
      <c r="B6" s="478">
        <f>'openbare verlichting'!B8</f>
        <v>2632.5810000000001</v>
      </c>
      <c r="C6" s="478"/>
      <c r="D6" s="478"/>
      <c r="E6" s="478"/>
      <c r="F6" s="478"/>
      <c r="G6" s="478"/>
      <c r="H6" s="478"/>
      <c r="I6" s="478"/>
      <c r="J6" s="478"/>
      <c r="K6" s="478"/>
      <c r="L6" s="478"/>
      <c r="M6" s="478"/>
      <c r="N6" s="478"/>
      <c r="O6" s="478"/>
      <c r="P6" s="479"/>
      <c r="Q6" s="477">
        <f t="shared" si="0"/>
        <v>2632.5810000000001</v>
      </c>
    </row>
    <row r="7" spans="1:17">
      <c r="A7" s="477" t="s">
        <v>111</v>
      </c>
      <c r="B7" s="478">
        <f>landbouw!B8</f>
        <v>1406.6268279999999</v>
      </c>
      <c r="C7" s="478">
        <f>landbouw!C8</f>
        <v>0</v>
      </c>
      <c r="D7" s="478">
        <f>landbouw!D8</f>
        <v>2368.5850373240005</v>
      </c>
      <c r="E7" s="478">
        <f>landbouw!E8</f>
        <v>43.900359453576101</v>
      </c>
      <c r="F7" s="478">
        <f>landbouw!F8</f>
        <v>4971.1750320685542</v>
      </c>
      <c r="G7" s="478">
        <f>landbouw!G8</f>
        <v>0</v>
      </c>
      <c r="H7" s="478">
        <f>landbouw!H8</f>
        <v>0</v>
      </c>
      <c r="I7" s="478">
        <f>landbouw!I8</f>
        <v>0</v>
      </c>
      <c r="J7" s="478">
        <f>landbouw!J8</f>
        <v>387.53544598556101</v>
      </c>
      <c r="K7" s="478">
        <f>landbouw!K8</f>
        <v>0</v>
      </c>
      <c r="L7" s="478">
        <f>landbouw!L8</f>
        <v>0</v>
      </c>
      <c r="M7" s="478">
        <f>landbouw!M8</f>
        <v>0</v>
      </c>
      <c r="N7" s="478">
        <f>landbouw!N8</f>
        <v>0</v>
      </c>
      <c r="O7" s="478">
        <f>landbouw!O8</f>
        <v>0</v>
      </c>
      <c r="P7" s="479">
        <f>landbouw!P8</f>
        <v>0</v>
      </c>
      <c r="Q7" s="477">
        <f t="shared" si="0"/>
        <v>9177.8227028316924</v>
      </c>
    </row>
    <row r="8" spans="1:17">
      <c r="A8" s="477" t="s">
        <v>629</v>
      </c>
      <c r="B8" s="478">
        <f>industrie!B18</f>
        <v>170601.68523100001</v>
      </c>
      <c r="C8" s="478">
        <f>industrie!C18</f>
        <v>4082.1428571428573</v>
      </c>
      <c r="D8" s="478">
        <f>industrie!D18</f>
        <v>139288.6635426243</v>
      </c>
      <c r="E8" s="478">
        <f>industrie!E18</f>
        <v>7439.6112368757849</v>
      </c>
      <c r="F8" s="478">
        <f>industrie!F18</f>
        <v>26882.61324849791</v>
      </c>
      <c r="G8" s="478">
        <f>industrie!G18</f>
        <v>0</v>
      </c>
      <c r="H8" s="478">
        <f>industrie!H18</f>
        <v>0</v>
      </c>
      <c r="I8" s="478">
        <f>industrie!I18</f>
        <v>0</v>
      </c>
      <c r="J8" s="478">
        <f>industrie!J18</f>
        <v>3633.7837437127705</v>
      </c>
      <c r="K8" s="478">
        <f>industrie!K18</f>
        <v>0</v>
      </c>
      <c r="L8" s="478">
        <f>industrie!L18</f>
        <v>0</v>
      </c>
      <c r="M8" s="478">
        <f>industrie!M18</f>
        <v>0</v>
      </c>
      <c r="N8" s="478">
        <f>industrie!N18</f>
        <v>5260.87613751762</v>
      </c>
      <c r="O8" s="478">
        <f>industrie!O18</f>
        <v>0</v>
      </c>
      <c r="P8" s="479">
        <f>industrie!P18</f>
        <v>0</v>
      </c>
      <c r="Q8" s="477">
        <f t="shared" si="0"/>
        <v>357189.37599737121</v>
      </c>
    </row>
    <row r="9" spans="1:17" s="483" customFormat="1">
      <c r="A9" s="481" t="s">
        <v>555</v>
      </c>
      <c r="B9" s="482">
        <f>transport!B14</f>
        <v>136.16165264583333</v>
      </c>
      <c r="C9" s="482">
        <f>transport!C14</f>
        <v>0</v>
      </c>
      <c r="D9" s="482">
        <f>transport!D14</f>
        <v>522.60573122955554</v>
      </c>
      <c r="E9" s="482">
        <f>transport!E14</f>
        <v>430.86276244614584</v>
      </c>
      <c r="F9" s="482">
        <f>transport!F14</f>
        <v>0</v>
      </c>
      <c r="G9" s="482">
        <f>transport!G14</f>
        <v>196752.21160722958</v>
      </c>
      <c r="H9" s="482">
        <f>transport!H14</f>
        <v>39453.548443681168</v>
      </c>
      <c r="I9" s="482">
        <f>transport!I14</f>
        <v>0</v>
      </c>
      <c r="J9" s="482">
        <f>transport!J14</f>
        <v>0</v>
      </c>
      <c r="K9" s="482">
        <f>transport!K14</f>
        <v>0</v>
      </c>
      <c r="L9" s="482">
        <f>transport!L14</f>
        <v>0</v>
      </c>
      <c r="M9" s="482">
        <f>transport!M14</f>
        <v>13937.54761048456</v>
      </c>
      <c r="N9" s="482">
        <f>transport!N14</f>
        <v>0</v>
      </c>
      <c r="O9" s="482">
        <f>transport!O14</f>
        <v>0</v>
      </c>
      <c r="P9" s="482">
        <f>transport!P14</f>
        <v>0</v>
      </c>
      <c r="Q9" s="481">
        <f>SUM(B9:P9)</f>
        <v>251232.93780771681</v>
      </c>
    </row>
    <row r="10" spans="1:17">
      <c r="A10" s="477" t="s">
        <v>545</v>
      </c>
      <c r="B10" s="478">
        <f>transport!B54</f>
        <v>0</v>
      </c>
      <c r="C10" s="478">
        <f>transport!C54</f>
        <v>0</v>
      </c>
      <c r="D10" s="478">
        <f>transport!D54</f>
        <v>0</v>
      </c>
      <c r="E10" s="478">
        <f>transport!E54</f>
        <v>0</v>
      </c>
      <c r="F10" s="478">
        <f>transport!F54</f>
        <v>0</v>
      </c>
      <c r="G10" s="478">
        <f>transport!G54</f>
        <v>4734.6896967777529</v>
      </c>
      <c r="H10" s="478">
        <f>transport!H54</f>
        <v>0</v>
      </c>
      <c r="I10" s="478">
        <f>transport!I54</f>
        <v>0</v>
      </c>
      <c r="J10" s="478">
        <f>transport!J54</f>
        <v>0</v>
      </c>
      <c r="K10" s="478">
        <f>transport!K54</f>
        <v>0</v>
      </c>
      <c r="L10" s="478">
        <f>transport!L54</f>
        <v>0</v>
      </c>
      <c r="M10" s="478">
        <f>transport!M54</f>
        <v>263.15457721154388</v>
      </c>
      <c r="N10" s="478">
        <f>transport!N54</f>
        <v>0</v>
      </c>
      <c r="O10" s="478">
        <f>transport!O54</f>
        <v>0</v>
      </c>
      <c r="P10" s="479">
        <f>transport!P54</f>
        <v>0</v>
      </c>
      <c r="Q10" s="477">
        <f t="shared" si="0"/>
        <v>4997.8442739892971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2602.3689089999998</v>
      </c>
      <c r="C14" s="485"/>
      <c r="D14" s="485">
        <f>'SEAP template'!E25</f>
        <v>7305.4381880000001</v>
      </c>
      <c r="E14" s="485"/>
      <c r="F14" s="485"/>
      <c r="G14" s="485"/>
      <c r="H14" s="485"/>
      <c r="I14" s="485"/>
      <c r="J14" s="485"/>
      <c r="K14" s="485"/>
      <c r="L14" s="485"/>
      <c r="M14" s="485"/>
      <c r="N14" s="485"/>
      <c r="O14" s="485"/>
      <c r="P14" s="486"/>
      <c r="Q14" s="477">
        <f t="shared" si="0"/>
        <v>9907.8070970000008</v>
      </c>
    </row>
    <row r="15" spans="1:17" s="489" customFormat="1">
      <c r="A15" s="487" t="s">
        <v>549</v>
      </c>
      <c r="B15" s="488">
        <f ca="1">SUM(B4:B14)</f>
        <v>325997.61177035887</v>
      </c>
      <c r="C15" s="488">
        <f t="shared" ref="C15:Q15" ca="1" si="1">SUM(C4:C14)</f>
        <v>5665.2599742599741</v>
      </c>
      <c r="D15" s="488">
        <f t="shared" ca="1" si="1"/>
        <v>495791.22128118703</v>
      </c>
      <c r="E15" s="488">
        <f t="shared" si="1"/>
        <v>16278.959475949376</v>
      </c>
      <c r="F15" s="488">
        <f t="shared" ca="1" si="1"/>
        <v>41289.779311310027</v>
      </c>
      <c r="G15" s="488">
        <f t="shared" si="1"/>
        <v>201486.90130400733</v>
      </c>
      <c r="H15" s="488">
        <f t="shared" si="1"/>
        <v>39453.548443681168</v>
      </c>
      <c r="I15" s="488">
        <f t="shared" si="1"/>
        <v>0</v>
      </c>
      <c r="J15" s="488">
        <f t="shared" si="1"/>
        <v>4021.4108316841966</v>
      </c>
      <c r="K15" s="488">
        <f t="shared" si="1"/>
        <v>0</v>
      </c>
      <c r="L15" s="488">
        <f t="shared" ca="1" si="1"/>
        <v>0</v>
      </c>
      <c r="M15" s="488">
        <f t="shared" si="1"/>
        <v>14200.702187696104</v>
      </c>
      <c r="N15" s="488">
        <f t="shared" ca="1" si="1"/>
        <v>30230.066158185793</v>
      </c>
      <c r="O15" s="488">
        <f t="shared" si="1"/>
        <v>519.54651434889672</v>
      </c>
      <c r="P15" s="488">
        <f t="shared" si="1"/>
        <v>1273.5638103744468</v>
      </c>
      <c r="Q15" s="488">
        <f t="shared" ca="1" si="1"/>
        <v>1176208.5710630433</v>
      </c>
    </row>
    <row r="17" spans="1:17">
      <c r="A17" s="490" t="s">
        <v>550</v>
      </c>
      <c r="B17" s="807">
        <f ca="1">huishoudens!B10</f>
        <v>0.20469944676832497</v>
      </c>
      <c r="C17" s="807">
        <f ca="1">huishoudens!C10</f>
        <v>0.23454247114010113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12022.447741300279</v>
      </c>
      <c r="C22" s="478">
        <f t="shared" ref="C22:C32" ca="1" si="3">C4*$C$17</f>
        <v>0</v>
      </c>
      <c r="D22" s="478">
        <f t="shared" ref="D22:D32" si="4">D4*$D$17</f>
        <v>44923.045010223606</v>
      </c>
      <c r="E22" s="478">
        <f t="shared" ref="E22:E32" si="5">E4*$E$17</f>
        <v>1612.0567250147544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58557.549476538639</v>
      </c>
    </row>
    <row r="23" spans="1:17">
      <c r="A23" s="477" t="s">
        <v>155</v>
      </c>
      <c r="B23" s="478">
        <f t="shared" ca="1" si="2"/>
        <v>18399.613152656795</v>
      </c>
      <c r="C23" s="478">
        <f t="shared" ca="1" si="3"/>
        <v>371.30820075284157</v>
      </c>
      <c r="D23" s="478">
        <f t="shared" ca="1" si="4"/>
        <v>25030.752603742254</v>
      </c>
      <c r="E23" s="478">
        <f t="shared" si="5"/>
        <v>286.70409658371392</v>
      </c>
      <c r="F23" s="478">
        <f t="shared" ca="1" si="6"/>
        <v>2519.409605208531</v>
      </c>
      <c r="G23" s="478">
        <f t="shared" si="7"/>
        <v>0</v>
      </c>
      <c r="H23" s="478">
        <f t="shared" si="8"/>
        <v>0</v>
      </c>
      <c r="I23" s="478">
        <f t="shared" si="9"/>
        <v>0</v>
      </c>
      <c r="J23" s="478">
        <f t="shared" si="10"/>
        <v>3.2441262996326332E-2</v>
      </c>
      <c r="K23" s="478">
        <f t="shared" si="11"/>
        <v>0</v>
      </c>
      <c r="L23" s="478">
        <f t="shared" ca="1" si="12"/>
        <v>0</v>
      </c>
      <c r="M23" s="478">
        <f t="shared" si="13"/>
        <v>0</v>
      </c>
      <c r="N23" s="478">
        <f t="shared" ca="1" si="14"/>
        <v>0</v>
      </c>
      <c r="O23" s="478">
        <f t="shared" si="15"/>
        <v>0</v>
      </c>
      <c r="P23" s="479">
        <f t="shared" si="16"/>
        <v>0</v>
      </c>
      <c r="Q23" s="477">
        <f t="shared" ref="Q23:Q31" ca="1" si="17">SUM(B23:P23)</f>
        <v>46607.820100207136</v>
      </c>
    </row>
    <row r="24" spans="1:17">
      <c r="A24" s="477" t="s">
        <v>193</v>
      </c>
      <c r="B24" s="478">
        <f t="shared" ca="1" si="2"/>
        <v>538.88787427280374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538.88787427280374</v>
      </c>
    </row>
    <row r="25" spans="1:17">
      <c r="A25" s="477" t="s">
        <v>111</v>
      </c>
      <c r="B25" s="478">
        <f t="shared" ca="1" si="2"/>
        <v>287.9357335010838</v>
      </c>
      <c r="C25" s="478">
        <f t="shared" ca="1" si="3"/>
        <v>0</v>
      </c>
      <c r="D25" s="478">
        <f t="shared" si="4"/>
        <v>478.45417753944815</v>
      </c>
      <c r="E25" s="478">
        <f t="shared" si="5"/>
        <v>9.9653815959617749</v>
      </c>
      <c r="F25" s="478">
        <f t="shared" si="6"/>
        <v>1327.3037335623039</v>
      </c>
      <c r="G25" s="478">
        <f t="shared" si="7"/>
        <v>0</v>
      </c>
      <c r="H25" s="478">
        <f t="shared" si="8"/>
        <v>0</v>
      </c>
      <c r="I25" s="478">
        <f t="shared" si="9"/>
        <v>0</v>
      </c>
      <c r="J25" s="478">
        <f t="shared" si="10"/>
        <v>137.18754787888858</v>
      </c>
      <c r="K25" s="478">
        <f t="shared" si="11"/>
        <v>0</v>
      </c>
      <c r="L25" s="478">
        <f t="shared" si="12"/>
        <v>0</v>
      </c>
      <c r="M25" s="478">
        <f t="shared" si="13"/>
        <v>0</v>
      </c>
      <c r="N25" s="478">
        <f t="shared" si="14"/>
        <v>0</v>
      </c>
      <c r="O25" s="478">
        <f t="shared" si="15"/>
        <v>0</v>
      </c>
      <c r="P25" s="479">
        <f t="shared" si="16"/>
        <v>0</v>
      </c>
      <c r="Q25" s="477">
        <f t="shared" ca="1" si="17"/>
        <v>2240.846574077686</v>
      </c>
    </row>
    <row r="26" spans="1:17">
      <c r="A26" s="477" t="s">
        <v>629</v>
      </c>
      <c r="B26" s="478">
        <f t="shared" ca="1" si="2"/>
        <v>34922.070584529618</v>
      </c>
      <c r="C26" s="478">
        <f t="shared" ca="1" si="3"/>
        <v>957.43587326119859</v>
      </c>
      <c r="D26" s="478">
        <f t="shared" si="4"/>
        <v>28136.310035610109</v>
      </c>
      <c r="E26" s="478">
        <f t="shared" si="5"/>
        <v>1688.7917507708032</v>
      </c>
      <c r="F26" s="478">
        <f t="shared" si="6"/>
        <v>7177.6577373489426</v>
      </c>
      <c r="G26" s="478">
        <f t="shared" si="7"/>
        <v>0</v>
      </c>
      <c r="H26" s="478">
        <f t="shared" si="8"/>
        <v>0</v>
      </c>
      <c r="I26" s="478">
        <f t="shared" si="9"/>
        <v>0</v>
      </c>
      <c r="J26" s="478">
        <f t="shared" si="10"/>
        <v>1286.3594452743207</v>
      </c>
      <c r="K26" s="478">
        <f t="shared" si="11"/>
        <v>0</v>
      </c>
      <c r="L26" s="478">
        <f t="shared" si="12"/>
        <v>0</v>
      </c>
      <c r="M26" s="478">
        <f t="shared" si="13"/>
        <v>0</v>
      </c>
      <c r="N26" s="478">
        <f t="shared" si="14"/>
        <v>0</v>
      </c>
      <c r="O26" s="478">
        <f t="shared" si="15"/>
        <v>0</v>
      </c>
      <c r="P26" s="479">
        <f t="shared" si="16"/>
        <v>0</v>
      </c>
      <c r="Q26" s="477">
        <f t="shared" ca="1" si="17"/>
        <v>74168.625426794999</v>
      </c>
    </row>
    <row r="27" spans="1:17" s="483" customFormat="1">
      <c r="A27" s="481" t="s">
        <v>555</v>
      </c>
      <c r="B27" s="801">
        <f t="shared" ca="1" si="2"/>
        <v>27.872214967662913</v>
      </c>
      <c r="C27" s="482">
        <f t="shared" ca="1" si="3"/>
        <v>0</v>
      </c>
      <c r="D27" s="482">
        <f t="shared" si="4"/>
        <v>105.56635770837023</v>
      </c>
      <c r="E27" s="482">
        <f t="shared" si="5"/>
        <v>97.805847075275111</v>
      </c>
      <c r="F27" s="482">
        <f t="shared" si="6"/>
        <v>0</v>
      </c>
      <c r="G27" s="482">
        <f t="shared" si="7"/>
        <v>52532.840499130303</v>
      </c>
      <c r="H27" s="482">
        <f t="shared" si="8"/>
        <v>9823.9335624766099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62588.018481358224</v>
      </c>
    </row>
    <row r="28" spans="1:17" ht="16.5" customHeight="1">
      <c r="A28" s="477" t="s">
        <v>545</v>
      </c>
      <c r="B28" s="478">
        <f t="shared" ca="1" si="2"/>
        <v>0</v>
      </c>
      <c r="C28" s="478">
        <f t="shared" ca="1" si="3"/>
        <v>0</v>
      </c>
      <c r="D28" s="478">
        <f t="shared" si="4"/>
        <v>0</v>
      </c>
      <c r="E28" s="478">
        <f t="shared" si="5"/>
        <v>0</v>
      </c>
      <c r="F28" s="478">
        <f t="shared" si="6"/>
        <v>0</v>
      </c>
      <c r="G28" s="478">
        <f t="shared" si="7"/>
        <v>1264.1621490396601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1264.1621490396601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532.70347595938938</v>
      </c>
      <c r="C32" s="478">
        <f t="shared" ca="1" si="3"/>
        <v>0</v>
      </c>
      <c r="D32" s="478">
        <f t="shared" si="4"/>
        <v>1475.6985139760002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2008.4019899353896</v>
      </c>
    </row>
    <row r="33" spans="1:17" s="489" customFormat="1">
      <c r="A33" s="487" t="s">
        <v>549</v>
      </c>
      <c r="B33" s="488">
        <f ca="1">SUM(B22:B32)</f>
        <v>66731.53077718764</v>
      </c>
      <c r="C33" s="488">
        <f t="shared" ref="C33:Q33" ca="1" si="19">SUM(C22:C32)</f>
        <v>1328.7440740140401</v>
      </c>
      <c r="D33" s="488">
        <f t="shared" ca="1" si="19"/>
        <v>100149.82669879979</v>
      </c>
      <c r="E33" s="488">
        <f t="shared" si="19"/>
        <v>3695.3238010405089</v>
      </c>
      <c r="F33" s="488">
        <f t="shared" ca="1" si="19"/>
        <v>11024.371076119778</v>
      </c>
      <c r="G33" s="488">
        <f t="shared" si="19"/>
        <v>53797.002648169961</v>
      </c>
      <c r="H33" s="488">
        <f t="shared" si="19"/>
        <v>9823.9335624766099</v>
      </c>
      <c r="I33" s="488">
        <f t="shared" si="19"/>
        <v>0</v>
      </c>
      <c r="J33" s="488">
        <f t="shared" si="19"/>
        <v>1423.5794344162057</v>
      </c>
      <c r="K33" s="488">
        <f t="shared" si="19"/>
        <v>0</v>
      </c>
      <c r="L33" s="488">
        <f t="shared" ca="1" si="19"/>
        <v>0</v>
      </c>
      <c r="M33" s="488">
        <f t="shared" si="19"/>
        <v>0</v>
      </c>
      <c r="N33" s="488">
        <f t="shared" ca="1" si="19"/>
        <v>0</v>
      </c>
      <c r="O33" s="488">
        <f t="shared" si="19"/>
        <v>0</v>
      </c>
      <c r="P33" s="488">
        <f t="shared" si="19"/>
        <v>0</v>
      </c>
      <c r="Q33" s="488">
        <f t="shared" ca="1" si="19"/>
        <v>247974.31207222454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7721.336208620296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15177.399784245898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3178.1666666666665</v>
      </c>
      <c r="D8" s="1062">
        <f>'SEAP template'!D76</f>
        <v>3690.1735826489994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745.41506369509796</v>
      </c>
    </row>
    <row r="9" spans="1:16">
      <c r="A9" s="1068" t="s">
        <v>802</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24239.735992866194</v>
      </c>
      <c r="C10" s="1064">
        <f>SUM(C4:C9)</f>
        <v>3178.1666666666665</v>
      </c>
      <c r="D10" s="1064">
        <f t="shared" ref="D10:H10" si="0">SUM(D8:D9)</f>
        <v>3690.1735826489994</v>
      </c>
      <c r="E10" s="1064">
        <f t="shared" si="0"/>
        <v>0</v>
      </c>
      <c r="F10" s="1064">
        <f t="shared" si="0"/>
        <v>0</v>
      </c>
      <c r="G10" s="1064">
        <f t="shared" si="0"/>
        <v>0</v>
      </c>
      <c r="H10" s="1064">
        <f t="shared" si="0"/>
        <v>0</v>
      </c>
      <c r="I10" s="1064">
        <f>SUM(I8:I9)</f>
        <v>0</v>
      </c>
      <c r="J10" s="1064">
        <f>SUM(J8:J9)</f>
        <v>3831.4285714285716</v>
      </c>
      <c r="K10" s="1064">
        <f t="shared" ref="K10:L10" si="1">SUM(K8:K9)</f>
        <v>0</v>
      </c>
      <c r="L10" s="1064">
        <f t="shared" si="1"/>
        <v>0</v>
      </c>
      <c r="M10" s="1064">
        <f>SUM(M8:M9)</f>
        <v>0</v>
      </c>
      <c r="N10" s="1064">
        <f>SUM(N8:N9)</f>
        <v>0</v>
      </c>
      <c r="O10" s="1064">
        <f>SUM(O8:O9)</f>
        <v>0</v>
      </c>
      <c r="P10" s="1064">
        <f>SUM(P8:P9)</f>
        <v>745.41506369509796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0.20469944676832497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5665.259974259975</v>
      </c>
      <c r="D17" s="1063">
        <f>'SEAP template'!D87</f>
        <v>6577.9409604655448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1328.7440740140401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5665.259974259975</v>
      </c>
      <c r="D20" s="1064">
        <f t="shared" ref="D20:H20" si="2">SUM(D17:D19)</f>
        <v>6577.9409604655448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1328.7440740140401</v>
      </c>
    </row>
    <row r="21" spans="1:16">
      <c r="B21" s="913"/>
    </row>
    <row r="22" spans="1:16">
      <c r="A22" s="490" t="s">
        <v>814</v>
      </c>
      <c r="B22" s="807" t="s">
        <v>812</v>
      </c>
      <c r="C22" s="807">
        <f ca="1">'EF ele_warmte'!B22</f>
        <v>0.23454247114010113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0.20469944676832497</v>
      </c>
      <c r="C17" s="527">
        <f ca="1">'EF ele_warmte'!B22</f>
        <v>0.23454247114010113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2019-08-12T08:38:27Z</dcterms:modified>
</cp:coreProperties>
</file>