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G20"/>
  <c r="E20"/>
  <c r="B13" i="15"/>
  <c r="F6" i="17"/>
  <c r="N20" i="59"/>
  <c r="F16" i="16"/>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E78" i="14"/>
  <c r="E9" i="59"/>
  <c r="E10" s="1"/>
  <c r="G78" i="14"/>
  <c r="G9" i="59"/>
  <c r="G10" s="1"/>
  <c r="H90" i="14"/>
  <c r="H18" i="59"/>
  <c r="H20" s="1"/>
  <c r="K15" i="48"/>
  <c r="I33"/>
  <c r="J16" i="14"/>
  <c r="J27" s="1"/>
  <c r="I20" i="15"/>
  <c r="J40" i="14" s="1"/>
  <c r="J46" s="1"/>
  <c r="J61" s="1"/>
  <c r="J7" i="48"/>
  <c r="J25" s="1"/>
  <c r="K33"/>
  <c r="H78" i="14"/>
  <c r="H9" i="59"/>
  <c r="H10" s="1"/>
  <c r="M24" i="48"/>
  <c r="M32"/>
  <c r="O78" i="14"/>
  <c r="O9" i="59"/>
  <c r="O10" s="1"/>
  <c r="I15" i="48"/>
  <c r="P22"/>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20" i="15"/>
  <c r="K40" i="14" s="1"/>
  <c r="E16"/>
  <c r="E27" s="1"/>
  <c r="C10" i="18"/>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16" i="22"/>
  <c r="C17" i="19"/>
  <c r="C19" s="1"/>
  <c r="D39" i="14" s="1"/>
  <c r="C56" i="22"/>
  <c r="C58" s="1"/>
  <c r="D49" i="14" s="1"/>
  <c r="D52"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56" i="22" s="1"/>
  <c r="B58" s="1"/>
  <c r="B4" i="6"/>
  <c r="C33" i="48"/>
  <c r="B10" i="17"/>
  <c r="B12" s="1"/>
  <c r="B16" i="22"/>
  <c r="B18" s="1"/>
  <c r="B18" i="15"/>
  <c r="B20" s="1"/>
  <c r="B17" i="49"/>
  <c r="B19" s="1"/>
  <c r="B20" i="16" l="1"/>
  <c r="B22" s="1"/>
  <c r="B17" i="19"/>
  <c r="B19" s="1"/>
  <c r="C39" i="14" s="1"/>
  <c r="R39" s="1"/>
  <c r="C12" i="59"/>
  <c r="B29" i="20"/>
  <c r="B31" s="1"/>
  <c r="C48" i="14" s="1"/>
  <c r="R48" s="1"/>
  <c r="B10" i="9"/>
  <c r="B12" s="1"/>
  <c r="C40" i="14" s="1"/>
  <c r="R40" s="1"/>
  <c r="C55"/>
  <c r="R55" s="1"/>
  <c r="B10" i="13"/>
  <c r="B12" s="1"/>
  <c r="C54" i="14"/>
  <c r="R54" s="1"/>
  <c r="C43"/>
  <c r="R43" s="1"/>
  <c r="C49"/>
  <c r="R49" s="1"/>
  <c r="C42"/>
  <c r="R42" s="1"/>
  <c r="C50"/>
  <c r="R50" s="1"/>
  <c r="B17" i="48" l="1"/>
  <c r="B32" s="1"/>
  <c r="Q32" s="1"/>
  <c r="R56" i="14"/>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<sst xmlns="http://schemas.openxmlformats.org/spreadsheetml/2006/main" count="2429" uniqueCount="904">
  <si>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</si>
  <si>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</si>
  <si>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</si>
  <si>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</si>
  <si>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</si>
  <si>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</si>
  <si>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</si>
  <si>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</si>
  <si>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</si>
  <si>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</si>
  <si>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</si>
  <si>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</si>
  <si>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</si>
  <si>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</si>
  <si>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</si>
  <si>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</si>
  <si>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</si>
  <si>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</si>
  <si>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</si>
  <si>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</si>
  <si>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</si>
  <si>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</si>
  <si>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</si>
  <si>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</si>
  <si>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</si>
  <si>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</si>
  <si>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</si>
  <si>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</si>
  <si>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</si>
  <si>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</si>
  <si>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</si>
  <si>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</si>
  <si>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</si>
  <si>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</si>
  <si>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</si>
  <si>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</si>
  <si>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</si>
  <si>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</si>
  <si>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</si>
  <si>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</si>
  <si>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</si>
  <si>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</si>
  <si>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</si>
  <si>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</si>
  <si>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</si>
  <si>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</si>
  <si>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</si>
  <si>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</si>
  <si>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</si>
  <si>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</si>
  <si>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</si>
  <si>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</si>
  <si>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</si>
  <si>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</si>
  <si>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</si>
  <si>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</si>
  <si>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</si>
  <si>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</si>
  <si>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</si>
  <si>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</si>
  <si>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</si>
  <si>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</si>
  <si>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</si>
  <si>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</si>
  <si>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</si>
  <si>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</si>
  <si>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</si>
  <si>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</si>
  <si>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</si>
  <si>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</si>
  <si>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</si>
  <si>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</si>
  <si>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</si>
  <si>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</si>
  <si>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</si>
  <si>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</si>
  <si>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</si>
  <si>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</si>
  <si>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</si>
  <si>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</si>
  <si>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</si>
  <si>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</si>
  <si>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</si>
  <si>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</si>
  <si>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</si>
  <si>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</si>
  <si>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</si>
  <si>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</si>
  <si>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</si>
  <si>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</si>
  <si>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</si>
  <si>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</si>
  <si>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</si>
  <si>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</si>
  <si>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</si>
  <si>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</si>
  <si>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</si>
  <si>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</si>
  <si>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</si>
  <si>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</si>
  <si>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</si>
  <si>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</si>
  <si>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</si>
  <si>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</si>
  <si>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</si>
  <si>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</si>
  <si>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</si>
  <si>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</si>
  <si>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</si>
  <si>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</si>
  <si>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</si>
  <si>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</si>
  <si>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</si>
  <si>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</si>
  <si>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</si>
  <si>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</si>
  <si>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</si>
  <si>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</si>
  <si>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</si>
  <si>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</si>
  <si>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</si>
  <si>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</si>
  <si>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</si>
  <si>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</si>
  <si>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</si>
  <si>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</si>
  <si>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</si>
  <si>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</si>
  <si>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</si>
  <si>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</si>
  <si>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</si>
  <si>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</si>
  <si>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</si>
  <si>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</si>
  <si>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</si>
  <si>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</si>
  <si>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</si>
  <si>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</si>
  <si>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</si>
  <si>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</si>
  <si>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</si>
  <si>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</si>
  <si>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</si>
  <si>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</si>
  <si>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</si>
  <si>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</si>
  <si>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</si>
  <si>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</si>
  <si>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</si>
  <si>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</si>
  <si>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</si>
  <si>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</si>
  <si>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</si>
  <si>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</si>
  <si>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</si>
  <si>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</si>
  <si>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</si>
  <si>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</si>
  <si>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</si>
  <si>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</si>
  <si>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</si>
  <si>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</si>
  <si>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</si>
  <si>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</si>
  <si>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</si>
  <si>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</si>
  <si>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</si>
  <si>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</si>
  <si>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</si>
  <si>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</si>
  <si>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</si>
  <si>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</si>
  <si>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</si>
  <si>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</si>
  <si>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</si>
  <si>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</si>
  <si>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</si>
  <si>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</si>
  <si>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</si>
  <si>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</si>
  <si>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</si>
  <si>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</si>
  <si>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</si>
  <si>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</si>
  <si>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</si>
  <si>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</si>
  <si>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</si>
  <si>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</si>
  <si>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</si>
  <si>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</si>
  <si>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</si>
  <si>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</si>
  <si>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</si>
  <si>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</si>
  <si>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</si>
  <si>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</si>
  <si>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</si>
  <si>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</si>
  <si>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</si>
  <si>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</si>
  <si>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</si>
  <si>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</si>
  <si>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</si>
  <si>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</si>
  <si>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</si>
  <si>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</si>
  <si>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</si>
  <si>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</si>
  <si>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</si>
  <si>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</si>
  <si>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</si>
  <si>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</si>
  <si>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</si>
  <si>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</si>
  <si>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</si>
  <si>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</si>
  <si>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</si>
  <si>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</si>
  <si>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</si>
  <si>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</si>
  <si>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</si>
  <si>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</si>
  <si>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</si>
  <si>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</si>
  <si>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</si>
  <si>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</si>
  <si>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</si>
  <si>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</si>
  <si>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</si>
  <si>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</si>
  <si>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</si>
  <si>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</si>
  <si>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</si>
  <si>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</si>
  <si>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</si>
  <si>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</si>
  <si>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</si>
  <si>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</si>
  <si>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</si>
  <si>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</si>
  <si>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</si>
  <si>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</si>
  <si>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</si>
  <si>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</si>
  <si>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</si>
  <si>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</si>
  <si>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</si>
  <si>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</si>
  <si>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</si>
  <si>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</si>
  <si>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</si>
  <si>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</si>
  <si>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</si>
  <si>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</si>
  <si>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</si>
  <si>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</si>
  <si>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</si>
  <si>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</si>
  <si>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</si>
  <si>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</si>
  <si>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</si>
  <si>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</si>
  <si>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</si>
  <si>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</si>
  <si>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</si>
  <si>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</si>
  <si>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</si>
  <si>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</si>
  <si>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</si>
  <si>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</si>
  <si>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</si>
  <si>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</si>
  <si>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</si>
  <si>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</si>
  <si>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</si>
  <si>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</si>
  <si>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</si>
  <si>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</si>
  <si>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</si>
  <si>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</si>
  <si>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</si>
  <si>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</si>
  <si>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</si>
  <si>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</si>
  <si>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</si>
  <si>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</si>
  <si>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</si>
  <si>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</si>
  <si>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</si>
  <si>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</si>
  <si>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</si>
  <si>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</si>
  <si>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</si>
  <si>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</si>
  <si>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</si>
  <si>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</si>
  <si>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</si>
  <si>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</si>
  <si>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</si>
  <si>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</si>
  <si>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</si>
  <si>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</si>
  <si>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</si>
  <si>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</si>
  <si>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</si>
  <si>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</si>
  <si>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</si>
  <si>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</si>
  <si>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</si>
  <si>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</si>
  <si>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</si>
  <si>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</si>
  <si>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</si>
  <si>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</si>
  <si>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</si>
  <si>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</si>
  <si>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</si>
  <si>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</si>
  <si>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</si>
  <si>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</si>
  <si>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</si>
  <si>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</si>
  <si>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</si>
  <si>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</si>
  <si>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</si>
  <si>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</si>
  <si>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</si>
  <si>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</si>
  <si>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</si>
  <si>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</si>
  <si>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</si>
  <si>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</si>
  <si>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</si>
  <si>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</si>
  <si>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</si>
  <si>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</si>
  <si>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</si>
  <si>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</si>
  <si>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</si>
  <si>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</si>
  <si>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</si>
  <si>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</si>
  <si>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</si>
  <si>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</si>
  <si>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</si>
  <si>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</si>
  <si>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</si>
  <si>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</si>
  <si>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</si>
  <si>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</si>
  <si>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</si>
  <si>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</si>
  <si>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</si>
  <si>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</si>
  <si>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</si>
  <si>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</si>
  <si>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</si>
  <si>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</si>
  <si>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</si>
  <si>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</si>
  <si>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</si>
  <si>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</si>
  <si>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</si>
  <si>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</si>
  <si>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</si>
  <si>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</si>
  <si>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</si>
  <si>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</si>
  <si>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</si>
  <si>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</si>
  <si>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</si>
  <si>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</si>
  <si>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</si>
  <si>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</si>
  <si>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</si>
  <si>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</si>
  <si>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</si>
  <si>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</si>
  <si>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</si>
  <si>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</si>
  <si>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</si>
  <si>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</si>
  <si>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</si>
  <si>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</si>
  <si>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</si>
  <si>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</si>
  <si>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</si>
  <si>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</si>
  <si>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</si>
  <si>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</si>
  <si>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</si>
  <si>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</si>
  <si>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</si>
  <si>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</si>
  <si>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</si>
  <si>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</si>
  <si>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</si>
  <si>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</si>
  <si>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</si>
  <si>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</si>
  <si>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</si>
  <si>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</si>
  <si>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</si>
  <si>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</si>
  <si>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</si>
  <si>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</si>
  <si>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</si>
  <si>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</si>
  <si>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</si>
  <si>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</si>
  <si>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</si>
  <si>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</si>
  <si>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</si>
  <si>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</si>
  <si>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</si>
  <si>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</si>
  <si>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</si>
  <si>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</si>
  <si>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</si>
  <si>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</si>
  <si>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</si>
  <si>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</si>
  <si>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</si>
  <si>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</si>
  <si>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</si>
  <si>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</si>
  <si>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</si>
  <si>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</si>
  <si>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</si>
  <si>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</si>
  <si>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</si>
  <si>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</si>
  <si>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</si>
  <si>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</si>
  <si>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</si>
  <si>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</si>
  <si>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</si>
  <si>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</si>
  <si>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</si>
  <si>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</si>
  <si>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</si>
  <si>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</si>
  <si>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</si>
  <si>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</si>
  <si>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</si>
  <si>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</si>
  <si>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</si>
  <si>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</si>
  <si>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</si>
  <si>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</si>
  <si>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</si>
  <si>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</si>
  <si>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</si>
  <si>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</si>
  <si>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</si>
  <si>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</si>
  <si>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</si>
  <si>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</si>
  <si>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</si>
  <si>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</si>
  <si>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</si>
  <si>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</si>
  <si>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</si>
  <si>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</si>
  <si>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</si>
  <si>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</si>
  <si>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</si>
  <si>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</si>
  <si>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</si>
  <si>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</si>
  <si>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</si>
  <si>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</si>
  <si>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</si>
  <si>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</si>
  <si>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</si>
  <si>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</si>
  <si>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</si>
  <si>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</si>
  <si>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</si>
  <si>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</si>
  <si>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</si>
  <si>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</si>
  <si>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</si>
  <si>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</si>
  <si>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</si>
  <si>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</si>
  <si>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</si>
  <si>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</si>
  <si>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</si>
  <si>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</si>
  <si>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</si>
  <si>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</si>
  <si>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</si>
  <si>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</si>
  <si>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</si>
  <si>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</si>
  <si>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</si>
  <si>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</si>
  <si>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</si>
  <si>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</si>
  <si>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</si>
  <si>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</si>
  <si>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</si>
  <si>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</si>
  <si>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</si>
  <si>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</si>
  <si>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</si>
  <si>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</si>
  <si>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</si>
  <si>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</si>
  <si>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</si>
  <si>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</si>
  <si>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</si>
  <si>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</si>
  <si>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</si>
  <si>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</si>
  <si>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</si>
  <si>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</si>
  <si>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</si>
  <si>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</si>
  <si>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</si>
  <si>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</si>
  <si>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</si>
  <si>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</si>
  <si>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</si>
  <si>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</si>
  <si>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</si>
  <si>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</si>
  <si>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</si>
  <si>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</si>
  <si>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</si>
  <si>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</si>
  <si>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</si>
  <si>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</si>
  <si>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</si>
  <si>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</si>
  <si>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</si>
  <si>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</si>
  <si>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</si>
  <si>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</si>
  <si>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</si>
  <si>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</si>
  <si>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</si>
  <si>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</si>
  <si>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</si>
  <si>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</si>
  <si>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</si>
  <si>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</si>
  <si>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</si>
  <si>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</si>
  <si>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</si>
  <si>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</si>
  <si>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</si>
  <si>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</si>
  <si>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</si>
  <si>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</si>
  <si>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</si>
  <si>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</si>
  <si>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</si>
  <si>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</si>
  <si>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</si>
  <si>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</si>
  <si>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</si>
  <si>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</si>
  <si>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</si>
  <si>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</si>
  <si>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</si>
  <si>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</si>
  <si>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</si>
  <si>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</si>
  <si>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</si>
  <si>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</si>
  <si>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</si>
  <si>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</si>
  <si>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</si>
  <si>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</si>
  <si>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</si>
  <si>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</si>
  <si>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</si>
  <si>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</si>
  <si>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</si>
  <si>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</si>
  <si>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</si>
  <si>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</si>
  <si>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</si>
  <si>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</si>
  <si>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</si>
  <si>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</si>
  <si>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</si>
  <si>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</si>
  <si>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</si>
  <si>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</si>
  <si>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</si>
  <si>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</si>
  <si>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</si>
  <si>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</si>
  <si>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</si>
  <si>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</si>
  <si>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</si>
  <si>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</si>
  <si>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</si>
  <si>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</si>
  <si>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</si>
  <si>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</si>
  <si>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</si>
  <si>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</si>
  <si>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</si>
  <si>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</si>
  <si>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</si>
  <si>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</si>
  <si>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</si>
  <si>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</si>
  <si>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</si>
  <si>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</si>
  <si>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</si>
  <si>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</si>
  <si>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</si>
  <si>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</si>
  <si>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</si>
  <si>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</si>
  <si>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</si>
  <si>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</si>
  <si>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</si>
  <si>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</si>
  <si>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</si>
  <si>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</si>
  <si>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</si>
  <si>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</si>
  <si>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</si>
  <si>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</si>
  <si>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</si>
  <si>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</si>
  <si>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</si>
  <si>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</si>
  <si>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</si>
  <si>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</si>
  <si>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</si>
  <si>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</si>
  <si>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</si>
  <si>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</si>
  <si>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</si>
  <si>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</si>
  <si>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</si>
  <si>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</si>
  <si>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</si>
  <si>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</si>
  <si>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</si>
  <si>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</si>
  <si>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</si>
  <si>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</si>
  <si>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</si>
  <si>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</si>
  <si>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</si>
  <si>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</si>
  <si>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</si>
  <si>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</si>
  <si>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</si>
  <si>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</si>
  <si>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</si>
  <si>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</si>
  <si>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</si>
  <si>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</si>
  <si>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</si>
  <si>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</si>
  <si>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</si>
  <si>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</si>
  <si>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</si>
  <si>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</si>
  <si>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</si>
  <si>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</si>
  <si>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</si>
  <si>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</si>
  <si>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</si>
  <si>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</si>
  <si>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</si>
  <si>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</si>
  <si>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</si>
  <si>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</si>
  <si>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</si>
  <si>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</si>
  <si>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</si>
  <si>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</si>
  <si>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</si>
  <si>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</si>
  <si>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</si>
  <si>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</si>
  <si>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</si>
  <si>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</si>
  <si>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</si>
  <si>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</si>
  <si>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</si>
  <si>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</si>
  <si>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</si>
  <si>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</si>
  <si>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</si>
  <si>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</si>
  <si>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</si>
  <si>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</si>
  <si>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</si>
  <si>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</si>
  <si>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</si>
  <si>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</si>
  <si>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</si>
  <si>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</si>
  <si>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</si>
  <si>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</si>
  <si>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</si>
  <si>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</si>
  <si>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</si>
  <si>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</si>
  <si>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</si>
  <si>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</si>
  <si>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</si>
  <si>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</si>
  <si>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</si>
  <si>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</si>
  <si>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</si>
  <si>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</si>
  <si>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</si>
  <si>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</si>
  <si>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</si>
  <si>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</si>
  <si>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</si>
  <si>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</si>
  <si>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</si>
  <si>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</si>
  <si>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</si>
  <si>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</si>
  <si>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</si>
  <si>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</si>
  <si>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</si>
  <si>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</si>
  <si>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</si>
  <si>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</si>
  <si>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</si>
  <si>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</si>
  <si>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</si>
  <si>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</si>
  <si>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</si>
  <si>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</si>
  <si>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</si>
  <si>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</si>
  <si>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</si>
  <si>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</si>
  <si>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</si>
  <si>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</si>
  <si>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</si>
  <si>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</si>
  <si>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</si>
  <si>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</si>
  <si>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</si>
  <si>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</si>
  <si>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</si>
  <si>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</si>
  <si>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</si>
  <si>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</si>
  <si>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</si>
  <si>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</si>
  <si>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</si>
  <si>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</si>
  <si>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</si>
  <si>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</si>
  <si>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</si>
  <si>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</si>
  <si>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</si>
  <si>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</si>
  <si>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</si>
  <si>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</si>
  <si>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</si>
  <si>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</si>
  <si>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</si>
  <si>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</si>
  <si>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</si>
  <si>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</si>
  <si>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</si>
  <si>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</si>
  <si>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</si>
  <si>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</si>
  <si>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</si>
  <si>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</si>
  <si>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</si>
  <si>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</si>
  <si>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</si>
  <si>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</si>
  <si>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</si>
  <si>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</si>
  <si>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</si>
  <si>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</si>
  <si>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</si>
  <si>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</si>
  <si>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</si>
  <si>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</si>
  <si>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</si>
  <si>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</si>
  <si>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</si>
  <si>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</si>
  <si>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</si>
  <si>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</si>
  <si>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</si>
  <si>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</si>
  <si>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</si>
  <si>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</si>
  <si>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</si>
  <si>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</si>
  <si>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</si>
  <si>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</si>
  <si>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</si>
  <si>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</si>
  <si>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</si>
  <si>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</si>
  <si>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</si>
  <si>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</si>
  <si>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</si>
  <si>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</si>
  <si>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</si>
  <si>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</si>
  <si>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</si>
  <si>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</si>
  <si>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</si>
  <si>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</si>
  <si>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</si>
  <si>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</si>
  <si>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</si>
  <si>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</si>
  <si>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</si>
  <si>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</si>
  <si>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</si>
  <si>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</si>
  <si>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</si>
  <si>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</si>
  <si>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</si>
  <si>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</si>
  <si>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</si>
  <si>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</si>
  <si>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</si>
  <si>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</si>
  <si>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</si>
  <si>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</si>
  <si>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</si>
  <si>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</si>
  <si>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</si>
  <si>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</si>
  <si>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</si>
  <si>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</si>
  <si>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</si>
  <si>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</si>
  <si>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</si>
  <si>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</si>
  <si>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</si>
  <si>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</si>
  <si>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</si>
  <si>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</si>
  <si>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</si>
  <si>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</si>
  <si>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</si>
  <si>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</si>
  <si>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</si>
  <si>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</si>
  <si>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</si>
  <si>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</si>
  <si>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</si>
  <si>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</si>
  <si>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</si>
  <si>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</si>
  <si>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</si>
  <si>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</si>
  <si>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</si>
  <si>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</si>
  <si>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</si>
  <si>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</si>
  <si>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</si>
  <si>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</si>
  <si>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</si>
  <si>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</si>
  <si>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</si>
  <si>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</si>
  <si>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</si>
  <si>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</si>
  <si>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13035</t>
  </si>
  <si>
    <t>RAVELS</t>
  </si>
  <si>
    <t>Mestbank (maart 2019)</t>
  </si>
  <si>
    <t>Fluvius (februari 2019)</t>
  </si>
  <si>
    <t>referentietaak LNE (2017); Jaarverslag De Lijn (2018)</t>
  </si>
  <si>
    <t>VEA (30 april 2019)</t>
  </si>
  <si>
    <t>VEA (mei 2018)</t>
  </si>
  <si>
    <t>VEA (mei 2019)</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</si>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</sst>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159538.5155674032</c:v>
                </c:pt>
                <c:pt idx="1">
                  <c:v>27755.92419011988</c:v>
                </c:pt>
                <c:pt idx="2">
                  <c:v>1009.5069999999999</c:v>
                </c:pt>
                <c:pt idx="3">
                  <c:v>135971.00085474944</c:v>
                </c:pt>
                <c:pt idx="4">
                  <c:v>59640.982372924744</c:v>
                </c:pt>
                <c:pt idx="5">
                  <c:v>67904.100125372977</c:v>
                </c:pt>
                <c:pt idx="6">
                  <c:v>1356.780646281368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159538.5155674032</c:v>
                </c:pt>
                <c:pt idx="1">
                  <c:v>27755.92419011988</c:v>
                </c:pt>
                <c:pt idx="2">
                  <c:v>1009.5069999999999</c:v>
                </c:pt>
                <c:pt idx="3">
                  <c:v>135971.00085474944</c:v>
                </c:pt>
                <c:pt idx="4">
                  <c:v>59640.982372924744</c:v>
                </c:pt>
                <c:pt idx="5">
                  <c:v>67904.100125372977</c:v>
                </c:pt>
                <c:pt idx="6">
                  <c:v>1356.780646281368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26474.513654526498</c:v>
                </c:pt>
                <c:pt idx="1">
                  <c:v>5589.6267370799569</c:v>
                </c:pt>
                <c:pt idx="2">
                  <c:v>211.02281712862654</c:v>
                </c:pt>
                <c:pt idx="3">
                  <c:v>33467.899932604494</c:v>
                </c:pt>
                <c:pt idx="4">
                  <c:v>12246.715136210521</c:v>
                </c:pt>
                <c:pt idx="5">
                  <c:v>16876.08660206385</c:v>
                </c:pt>
                <c:pt idx="6">
                  <c:v>343.18611056070415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26474.513654526498</c:v>
                </c:pt>
                <c:pt idx="1">
                  <c:v>5589.6267370799569</c:v>
                </c:pt>
                <c:pt idx="2">
                  <c:v>211.02281712862654</c:v>
                </c:pt>
                <c:pt idx="3">
                  <c:v>33467.899932604494</c:v>
                </c:pt>
                <c:pt idx="4">
                  <c:v>12246.715136210521</c:v>
                </c:pt>
                <c:pt idx="5">
                  <c:v>16876.08660206385</c:v>
                </c:pt>
                <c:pt idx="6">
                  <c:v>343.18611056070415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13035</v>
      </c>
      <c r="B6" s="415"/>
      <c r="C6" s="416"/>
    </row>
    <row r="7" spans="1:7" s="413" customFormat="1" ht="15.75" customHeight="1">
      <c r="A7" s="417" t="str">
        <f>txtMunicipality</f>
        <v>RAVELS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0.20903551647351287</v>
      </c>
      <c r="C17" s="527">
        <f ca="1">'EF ele_warmte'!B22</f>
        <v>0.23746760760868027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0.20903551647351287</v>
      </c>
      <c r="C29" s="528">
        <f ca="1">'EF ele_warmte'!B22</f>
        <v>0.23746760760868027</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6020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4979.91</v>
      </c>
    </row>
    <row r="15" spans="1:6">
      <c r="A15" s="348" t="s">
        <v>183</v>
      </c>
      <c r="B15" s="334">
        <v>21781</v>
      </c>
    </row>
    <row r="16" spans="1:6">
      <c r="A16" s="348" t="s">
        <v>6</v>
      </c>
      <c r="B16" s="334">
        <v>4108</v>
      </c>
    </row>
    <row r="17" spans="1:6">
      <c r="A17" s="348" t="s">
        <v>7</v>
      </c>
      <c r="B17" s="334">
        <v>515</v>
      </c>
    </row>
    <row r="18" spans="1:6">
      <c r="A18" s="348" t="s">
        <v>8</v>
      </c>
      <c r="B18" s="334">
        <v>2386</v>
      </c>
    </row>
    <row r="19" spans="1:6">
      <c r="A19" s="348" t="s">
        <v>9</v>
      </c>
      <c r="B19" s="334">
        <v>2144</v>
      </c>
    </row>
    <row r="20" spans="1:6">
      <c r="A20" s="348" t="s">
        <v>10</v>
      </c>
      <c r="B20" s="334">
        <v>2017</v>
      </c>
    </row>
    <row r="21" spans="1:6">
      <c r="A21" s="348" t="s">
        <v>11</v>
      </c>
      <c r="B21" s="334">
        <v>22024</v>
      </c>
    </row>
    <row r="22" spans="1:6">
      <c r="A22" s="348" t="s">
        <v>12</v>
      </c>
      <c r="B22" s="334">
        <v>62898</v>
      </c>
    </row>
    <row r="23" spans="1:6">
      <c r="A23" s="348" t="s">
        <v>13</v>
      </c>
      <c r="B23" s="334">
        <v>1636</v>
      </c>
    </row>
    <row r="24" spans="1:6">
      <c r="A24" s="348" t="s">
        <v>14</v>
      </c>
      <c r="B24" s="334">
        <v>76</v>
      </c>
    </row>
    <row r="25" spans="1:6">
      <c r="A25" s="348" t="s">
        <v>15</v>
      </c>
      <c r="B25" s="334">
        <v>3484</v>
      </c>
    </row>
    <row r="26" spans="1:6">
      <c r="A26" s="348" t="s">
        <v>16</v>
      </c>
      <c r="B26" s="334">
        <v>105</v>
      </c>
    </row>
    <row r="27" spans="1:6">
      <c r="A27" s="348" t="s">
        <v>17</v>
      </c>
      <c r="B27" s="334">
        <v>3574</v>
      </c>
    </row>
    <row r="28" spans="1:6" s="356" customFormat="1">
      <c r="A28" s="355" t="s">
        <v>18</v>
      </c>
      <c r="B28" s="355">
        <v>1727344</v>
      </c>
    </row>
    <row r="29" spans="1:6">
      <c r="A29" s="355" t="s">
        <v>713</v>
      </c>
      <c r="B29" s="355">
        <v>150</v>
      </c>
      <c r="C29" s="356"/>
      <c r="D29" s="356"/>
      <c r="E29" s="356"/>
      <c r="F29" s="356"/>
    </row>
    <row r="30" spans="1:6">
      <c r="A30" s="341" t="s">
        <v>714</v>
      </c>
      <c r="B30" s="341">
        <v>21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208999.63200000001</v>
      </c>
      <c r="E38" s="334">
        <v>4</v>
      </c>
      <c r="F38" s="334">
        <v>1045950.273</v>
      </c>
    </row>
    <row r="39" spans="1:6">
      <c r="A39" s="348" t="s">
        <v>29</v>
      </c>
      <c r="B39" s="348" t="s">
        <v>30</v>
      </c>
      <c r="C39" s="334">
        <v>3836</v>
      </c>
      <c r="D39" s="334">
        <v>70026860.209999993</v>
      </c>
      <c r="E39" s="334">
        <v>5625</v>
      </c>
      <c r="F39" s="334">
        <v>22351393.66</v>
      </c>
    </row>
    <row r="40" spans="1:6">
      <c r="A40" s="348" t="s">
        <v>29</v>
      </c>
      <c r="B40" s="348" t="s">
        <v>28</v>
      </c>
      <c r="C40" s="334">
        <v>0</v>
      </c>
      <c r="D40" s="334">
        <v>0</v>
      </c>
      <c r="E40" s="334">
        <v>0</v>
      </c>
      <c r="F40" s="334">
        <v>0</v>
      </c>
    </row>
    <row r="41" spans="1:6">
      <c r="A41" s="348" t="s">
        <v>31</v>
      </c>
      <c r="B41" s="348" t="s">
        <v>32</v>
      </c>
      <c r="C41" s="334">
        <v>43</v>
      </c>
      <c r="D41" s="334">
        <v>848582.32799999998</v>
      </c>
      <c r="E41" s="334">
        <v>117</v>
      </c>
      <c r="F41" s="334">
        <v>847106.54200000002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106651.072</v>
      </c>
      <c r="E44" s="334">
        <v>18</v>
      </c>
      <c r="F44" s="334">
        <v>1624344.2069999999</v>
      </c>
    </row>
    <row r="45" spans="1:6">
      <c r="A45" s="348" t="s">
        <v>31</v>
      </c>
      <c r="B45" s="348" t="s">
        <v>36</v>
      </c>
      <c r="C45" s="334">
        <v>0</v>
      </c>
      <c r="D45" s="334">
        <v>0</v>
      </c>
      <c r="E45" s="334">
        <v>3</v>
      </c>
      <c r="F45" s="334">
        <v>1243876.835</v>
      </c>
    </row>
    <row r="46" spans="1:6">
      <c r="A46" s="348" t="s">
        <v>31</v>
      </c>
      <c r="B46" s="348" t="s">
        <v>37</v>
      </c>
      <c r="C46" s="334">
        <v>0</v>
      </c>
      <c r="D46" s="334">
        <v>0</v>
      </c>
      <c r="E46" s="334">
        <v>0</v>
      </c>
      <c r="F46" s="334">
        <v>0</v>
      </c>
    </row>
    <row r="47" spans="1:6">
      <c r="A47" s="348" t="s">
        <v>31</v>
      </c>
      <c r="B47" s="348" t="s">
        <v>38</v>
      </c>
      <c r="C47" s="334">
        <v>0</v>
      </c>
      <c r="D47" s="334">
        <v>0</v>
      </c>
      <c r="E47" s="334">
        <v>3</v>
      </c>
      <c r="F47" s="334">
        <v>55794.625</v>
      </c>
    </row>
    <row r="48" spans="1:6">
      <c r="A48" s="348" t="s">
        <v>31</v>
      </c>
      <c r="B48" s="348" t="s">
        <v>28</v>
      </c>
      <c r="C48" s="334">
        <v>55</v>
      </c>
      <c r="D48" s="334">
        <v>19916225.530000001</v>
      </c>
      <c r="E48" s="334">
        <v>68</v>
      </c>
      <c r="F48" s="334">
        <v>12699876.279999999</v>
      </c>
    </row>
    <row r="49" spans="1:6">
      <c r="A49" s="348" t="s">
        <v>31</v>
      </c>
      <c r="B49" s="348" t="s">
        <v>39</v>
      </c>
      <c r="C49" s="334">
        <v>0</v>
      </c>
      <c r="D49" s="334">
        <v>0</v>
      </c>
      <c r="E49" s="334">
        <v>0</v>
      </c>
      <c r="F49" s="334">
        <v>0</v>
      </c>
    </row>
    <row r="50" spans="1:6">
      <c r="A50" s="348" t="s">
        <v>31</v>
      </c>
      <c r="B50" s="348" t="s">
        <v>40</v>
      </c>
      <c r="C50" s="334">
        <v>3</v>
      </c>
      <c r="D50" s="334">
        <v>8040390.7829999998</v>
      </c>
      <c r="E50" s="334">
        <v>11</v>
      </c>
      <c r="F50" s="334">
        <v>10407548.949999999</v>
      </c>
    </row>
    <row r="51" spans="1:6">
      <c r="A51" s="348" t="s">
        <v>41</v>
      </c>
      <c r="B51" s="348" t="s">
        <v>42</v>
      </c>
      <c r="C51" s="334">
        <v>13</v>
      </c>
      <c r="D51" s="334">
        <v>568836.15800000005</v>
      </c>
      <c r="E51" s="334">
        <v>231</v>
      </c>
      <c r="F51" s="334">
        <v>10586708.17</v>
      </c>
    </row>
    <row r="52" spans="1:6">
      <c r="A52" s="348" t="s">
        <v>41</v>
      </c>
      <c r="B52" s="348" t="s">
        <v>28</v>
      </c>
      <c r="C52" s="334">
        <v>20</v>
      </c>
      <c r="D52" s="334">
        <v>182566353.69999999</v>
      </c>
      <c r="E52" s="334">
        <v>22</v>
      </c>
      <c r="F52" s="334">
        <v>410966.63099999999</v>
      </c>
    </row>
    <row r="53" spans="1:6">
      <c r="A53" s="348" t="s">
        <v>43</v>
      </c>
      <c r="B53" s="348" t="s">
        <v>44</v>
      </c>
      <c r="C53" s="334">
        <v>76</v>
      </c>
      <c r="D53" s="334">
        <v>1684594.324</v>
      </c>
      <c r="E53" s="334">
        <v>197</v>
      </c>
      <c r="F53" s="334">
        <v>761194.24199999997</v>
      </c>
    </row>
    <row r="54" spans="1:6">
      <c r="A54" s="348" t="s">
        <v>45</v>
      </c>
      <c r="B54" s="348" t="s">
        <v>46</v>
      </c>
      <c r="C54" s="334">
        <v>0</v>
      </c>
      <c r="D54" s="334">
        <v>0</v>
      </c>
      <c r="E54" s="334">
        <v>1</v>
      </c>
      <c r="F54" s="334">
        <v>1009507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v>
      </c>
      <c r="D57" s="334">
        <v>246312.01500000001</v>
      </c>
      <c r="E57" s="334">
        <v>59</v>
      </c>
      <c r="F57" s="334">
        <v>1010327.347</v>
      </c>
    </row>
    <row r="58" spans="1:6">
      <c r="A58" s="348" t="s">
        <v>48</v>
      </c>
      <c r="B58" s="348" t="s">
        <v>50</v>
      </c>
      <c r="C58" s="334">
        <v>0</v>
      </c>
      <c r="D58" s="334">
        <v>0</v>
      </c>
      <c r="E58" s="334">
        <v>6</v>
      </c>
      <c r="F58" s="334">
        <v>357472.17300000001</v>
      </c>
    </row>
    <row r="59" spans="1:6">
      <c r="A59" s="348" t="s">
        <v>48</v>
      </c>
      <c r="B59" s="348" t="s">
        <v>51</v>
      </c>
      <c r="C59" s="334">
        <v>22</v>
      </c>
      <c r="D59" s="334">
        <v>511492.99800000002</v>
      </c>
      <c r="E59" s="334">
        <v>102</v>
      </c>
      <c r="F59" s="334">
        <v>1802615.578</v>
      </c>
    </row>
    <row r="60" spans="1:6">
      <c r="A60" s="348" t="s">
        <v>48</v>
      </c>
      <c r="B60" s="348" t="s">
        <v>52</v>
      </c>
      <c r="C60" s="334">
        <v>37</v>
      </c>
      <c r="D60" s="334">
        <v>1697839.588</v>
      </c>
      <c r="E60" s="334">
        <v>47</v>
      </c>
      <c r="F60" s="334">
        <v>1222924.6680000001</v>
      </c>
    </row>
    <row r="61" spans="1:6">
      <c r="A61" s="348" t="s">
        <v>48</v>
      </c>
      <c r="B61" s="348" t="s">
        <v>53</v>
      </c>
      <c r="C61" s="334">
        <v>35</v>
      </c>
      <c r="D61" s="334">
        <v>652953.99199999997</v>
      </c>
      <c r="E61" s="334">
        <v>152</v>
      </c>
      <c r="F61" s="334">
        <v>2762777.415</v>
      </c>
    </row>
    <row r="62" spans="1:6">
      <c r="A62" s="348" t="s">
        <v>48</v>
      </c>
      <c r="B62" s="348" t="s">
        <v>54</v>
      </c>
      <c r="C62" s="334">
        <v>36</v>
      </c>
      <c r="D62" s="334">
        <v>3962920.983</v>
      </c>
      <c r="E62" s="334">
        <v>74</v>
      </c>
      <c r="F62" s="334">
        <v>1115904.2660000001</v>
      </c>
    </row>
    <row r="63" spans="1:6">
      <c r="A63" s="348" t="s">
        <v>48</v>
      </c>
      <c r="B63" s="348" t="s">
        <v>28</v>
      </c>
      <c r="C63" s="334">
        <v>168</v>
      </c>
      <c r="D63" s="334">
        <v>6492859.6260000002</v>
      </c>
      <c r="E63" s="334">
        <v>218</v>
      </c>
      <c r="F63" s="334">
        <v>4541965.9249999998</v>
      </c>
    </row>
    <row r="64" spans="1:6">
      <c r="A64" s="348" t="s">
        <v>55</v>
      </c>
      <c r="B64" s="348" t="s">
        <v>56</v>
      </c>
      <c r="C64" s="334">
        <v>0</v>
      </c>
      <c r="D64" s="334">
        <v>0</v>
      </c>
      <c r="E64" s="334">
        <v>0</v>
      </c>
      <c r="F64" s="334">
        <v>0</v>
      </c>
    </row>
    <row r="65" spans="1:6">
      <c r="A65" s="348" t="s">
        <v>55</v>
      </c>
      <c r="B65" s="348" t="s">
        <v>28</v>
      </c>
      <c r="C65" s="334">
        <v>4</v>
      </c>
      <c r="D65" s="334">
        <v>112438.42200000001</v>
      </c>
      <c r="E65" s="334">
        <v>4</v>
      </c>
      <c r="F65" s="334">
        <v>274448.05499999999</v>
      </c>
    </row>
    <row r="66" spans="1:6">
      <c r="A66" s="348" t="s">
        <v>55</v>
      </c>
      <c r="B66" s="348" t="s">
        <v>57</v>
      </c>
      <c r="C66" s="334">
        <v>0</v>
      </c>
      <c r="D66" s="334">
        <v>0</v>
      </c>
      <c r="E66" s="334">
        <v>6</v>
      </c>
      <c r="F66" s="334">
        <v>26907.626</v>
      </c>
    </row>
    <row r="67" spans="1:6">
      <c r="A67" s="355" t="s">
        <v>55</v>
      </c>
      <c r="B67" s="355" t="s">
        <v>58</v>
      </c>
      <c r="C67" s="334">
        <v>0</v>
      </c>
      <c r="D67" s="334">
        <v>0</v>
      </c>
      <c r="E67" s="334">
        <v>0</v>
      </c>
      <c r="F67" s="334">
        <v>0</v>
      </c>
    </row>
    <row r="68" spans="1:6">
      <c r="A68" s="341" t="s">
        <v>55</v>
      </c>
      <c r="B68" s="341" t="s">
        <v>59</v>
      </c>
      <c r="C68" s="334">
        <v>3</v>
      </c>
      <c r="D68" s="334">
        <v>63586.195</v>
      </c>
      <c r="E68" s="334">
        <v>13</v>
      </c>
      <c r="F68" s="334">
        <v>342103.96799999999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59287555</v>
      </c>
      <c r="E73" s="476"/>
    </row>
    <row r="74" spans="1:6">
      <c r="A74" s="348" t="s">
        <v>63</v>
      </c>
      <c r="B74" s="348" t="s">
        <v>651</v>
      </c>
      <c r="C74" s="1307" t="s">
        <v>653</v>
      </c>
      <c r="D74" s="476">
        <v>5547448.5</v>
      </c>
      <c r="E74" s="476"/>
    </row>
    <row r="75" spans="1:6">
      <c r="A75" s="348" t="s">
        <v>64</v>
      </c>
      <c r="B75" s="348" t="s">
        <v>650</v>
      </c>
      <c r="C75" s="1307" t="s">
        <v>654</v>
      </c>
      <c r="D75" s="476">
        <v>17120267</v>
      </c>
      <c r="E75" s="476"/>
    </row>
    <row r="76" spans="1:6">
      <c r="A76" s="348" t="s">
        <v>64</v>
      </c>
      <c r="B76" s="348" t="s">
        <v>651</v>
      </c>
      <c r="C76" s="1307" t="s">
        <v>655</v>
      </c>
      <c r="D76" s="476">
        <v>610498.5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376931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4272.6006429428053</v>
      </c>
    </row>
    <row r="92" spans="1:6">
      <c r="A92" s="341" t="s">
        <v>68</v>
      </c>
      <c r="B92" s="342">
        <v>4318.4729195269892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1899</v>
      </c>
    </row>
    <row r="98" spans="1:6">
      <c r="A98" s="348" t="s">
        <v>71</v>
      </c>
      <c r="B98" s="334">
        <v>15</v>
      </c>
    </row>
    <row r="99" spans="1:6">
      <c r="A99" s="348" t="s">
        <v>72</v>
      </c>
      <c r="B99" s="334">
        <v>217</v>
      </c>
    </row>
    <row r="100" spans="1:6">
      <c r="A100" s="348" t="s">
        <v>73</v>
      </c>
      <c r="B100" s="334">
        <v>180</v>
      </c>
    </row>
    <row r="101" spans="1:6">
      <c r="A101" s="348" t="s">
        <v>74</v>
      </c>
      <c r="B101" s="334">
        <v>177</v>
      </c>
    </row>
    <row r="102" spans="1:6">
      <c r="A102" s="348" t="s">
        <v>75</v>
      </c>
      <c r="B102" s="334">
        <v>45</v>
      </c>
    </row>
    <row r="103" spans="1:6">
      <c r="A103" s="348" t="s">
        <v>76</v>
      </c>
      <c r="B103" s="334">
        <v>73</v>
      </c>
    </row>
    <row r="104" spans="1:6">
      <c r="A104" s="348" t="s">
        <v>77</v>
      </c>
      <c r="B104" s="334">
        <v>2212</v>
      </c>
    </row>
    <row r="105" spans="1:6">
      <c r="A105" s="341" t="s">
        <v>78</v>
      </c>
      <c r="B105" s="341">
        <v>10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39</v>
      </c>
      <c r="C123" s="334">
        <v>38</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153</v>
      </c>
    </row>
    <row r="130" spans="1:6">
      <c r="A130" s="348" t="s">
        <v>294</v>
      </c>
      <c r="B130" s="334">
        <v>3</v>
      </c>
    </row>
    <row r="131" spans="1:6">
      <c r="A131" s="348" t="s">
        <v>295</v>
      </c>
      <c r="B131" s="334">
        <v>0</v>
      </c>
    </row>
    <row r="132" spans="1:6">
      <c r="A132" s="341" t="s">
        <v>296</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79126.398849167803</v>
      </c>
      <c r="C3" s="43" t="s">
        <v>169</v>
      </c>
      <c r="D3" s="43"/>
      <c r="E3" s="154"/>
      <c r="F3" s="43"/>
      <c r="G3" s="43"/>
      <c r="H3" s="43"/>
      <c r="I3" s="43"/>
      <c r="J3" s="43"/>
      <c r="K3" s="96"/>
    </row>
    <row r="4" spans="1:11">
      <c r="A4" s="383" t="s">
        <v>170</v>
      </c>
      <c r="B4" s="49">
        <f>IF(ISERROR('SEAP template'!B78+'SEAP template'!C78),0,'SEAP template'!B78+'SEAP template'!C78)</f>
        <v>66396.723562469793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13726.969411764707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0.20903551647351287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19609.956302521012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82579.5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0.23746760760868027</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1009.5069999999999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1009.5069999999999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0.20903551647351287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211.02281712862654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22351.393660000002</v>
      </c>
      <c r="C5" s="17">
        <f>IF(ISERROR('Eigen informatie GS &amp; warmtenet'!B59),0,'Eigen informatie GS &amp; warmtenet'!B59)</f>
        <v>0</v>
      </c>
      <c r="D5" s="30">
        <f>(SUM(HH_hh_gas_kWh,HH_rest_gas_kWh)/1000)*0.902</f>
        <v>63164.227909419998</v>
      </c>
      <c r="E5" s="17">
        <f>B46*B57</f>
        <v>24440.554528374054</v>
      </c>
      <c r="F5" s="17">
        <f>B51*B62</f>
        <v>9745.2184987986202</v>
      </c>
      <c r="G5" s="18"/>
      <c r="H5" s="17"/>
      <c r="I5" s="17"/>
      <c r="J5" s="17">
        <f>B50*B61+C50*C61</f>
        <v>0</v>
      </c>
      <c r="K5" s="17"/>
      <c r="L5" s="17"/>
      <c r="M5" s="17"/>
      <c r="N5" s="17">
        <f>B48*B59+C48*C59</f>
        <v>34498.892994745882</v>
      </c>
      <c r="O5" s="17">
        <f>B69*B70*B71</f>
        <v>380.91997812231011</v>
      </c>
      <c r="P5" s="17">
        <f>B77*B78*B79/1000-B77*B78*B79/1000/B80</f>
        <v>684.70735499952639</v>
      </c>
    </row>
    <row r="6" spans="1:16">
      <c r="A6" s="16" t="s">
        <v>615</v>
      </c>
      <c r="B6" s="809">
        <f>kWh_PV_kleiner_dan_10kW</f>
        <v>4272.6006429428053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26623.994302942807</v>
      </c>
      <c r="C8" s="21">
        <f>C5</f>
        <v>0</v>
      </c>
      <c r="D8" s="21">
        <f>D5</f>
        <v>63164.227909419998</v>
      </c>
      <c r="E8" s="21">
        <f>E5</f>
        <v>24440.554528374054</v>
      </c>
      <c r="F8" s="21">
        <f>F5</f>
        <v>9745.2184987986202</v>
      </c>
      <c r="G8" s="21"/>
      <c r="H8" s="21"/>
      <c r="I8" s="21"/>
      <c r="J8" s="21">
        <f>J5</f>
        <v>0</v>
      </c>
      <c r="K8" s="21"/>
      <c r="L8" s="21">
        <f>L5</f>
        <v>0</v>
      </c>
      <c r="M8" s="21">
        <f>M5</f>
        <v>0</v>
      </c>
      <c r="N8" s="21">
        <f>N5</f>
        <v>34498.892994745882</v>
      </c>
      <c r="O8" s="21">
        <f>O5</f>
        <v>380.91997812231011</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0.20903551647351287</v>
      </c>
      <c r="C10" s="25">
        <f ca="1">'EF ele_warmte'!B22</f>
        <v>0.23746760760868027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5565.3603997035143</v>
      </c>
      <c r="C12" s="23">
        <f ca="1">C10*C8</f>
        <v>0</v>
      </c>
      <c r="D12" s="23">
        <f>D8*D10</f>
        <v>12759.17403770284</v>
      </c>
      <c r="E12" s="23">
        <f>E10*E8</f>
        <v>5548.0058779409101</v>
      </c>
      <c r="F12" s="23">
        <f>F10*F8</f>
        <v>2601.9733391792315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1899</v>
      </c>
      <c r="C18" s="166" t="s">
        <v>110</v>
      </c>
      <c r="D18" s="228"/>
      <c r="E18" s="15"/>
    </row>
    <row r="19" spans="1:7">
      <c r="A19" s="171" t="s">
        <v>71</v>
      </c>
      <c r="B19" s="37">
        <f>aantalw2001_ander</f>
        <v>15</v>
      </c>
      <c r="C19" s="166" t="s">
        <v>110</v>
      </c>
      <c r="D19" s="229"/>
      <c r="E19" s="15"/>
    </row>
    <row r="20" spans="1:7">
      <c r="A20" s="171" t="s">
        <v>72</v>
      </c>
      <c r="B20" s="37">
        <f>aantalw2001_propaan</f>
        <v>217</v>
      </c>
      <c r="C20" s="167">
        <f>IF(ISERROR(B20/SUM($B$20,$B$21,$B$22)*100),0,B20/SUM($B$20,$B$21,$B$22)*100)</f>
        <v>37.804878048780488</v>
      </c>
      <c r="D20" s="229"/>
      <c r="E20" s="15"/>
    </row>
    <row r="21" spans="1:7">
      <c r="A21" s="171" t="s">
        <v>73</v>
      </c>
      <c r="B21" s="37">
        <f>aantalw2001_elektriciteit</f>
        <v>180</v>
      </c>
      <c r="C21" s="167">
        <f>IF(ISERROR(B21/SUM($B$20,$B$21,$B$22)*100),0,B21/SUM($B$20,$B$21,$B$22)*100)</f>
        <v>31.358885017421599</v>
      </c>
      <c r="D21" s="229"/>
      <c r="E21" s="15"/>
    </row>
    <row r="22" spans="1:7">
      <c r="A22" s="171" t="s">
        <v>74</v>
      </c>
      <c r="B22" s="37">
        <f>aantalw2001_hout</f>
        <v>177</v>
      </c>
      <c r="C22" s="167">
        <f>IF(ISERROR(B22/SUM($B$20,$B$21,$B$22)*100),0,B22/SUM($B$20,$B$21,$B$22)*100)</f>
        <v>30.836236933797913</v>
      </c>
      <c r="D22" s="229"/>
      <c r="E22" s="15"/>
    </row>
    <row r="23" spans="1:7">
      <c r="A23" s="171" t="s">
        <v>75</v>
      </c>
      <c r="B23" s="37">
        <f>aantalw2001_niet_gespec</f>
        <v>45</v>
      </c>
      <c r="C23" s="166" t="s">
        <v>110</v>
      </c>
      <c r="D23" s="228"/>
      <c r="E23" s="15"/>
    </row>
    <row r="24" spans="1:7">
      <c r="A24" s="171" t="s">
        <v>76</v>
      </c>
      <c r="B24" s="37">
        <f>aantalw2001_steenkool</f>
        <v>73</v>
      </c>
      <c r="C24" s="166" t="s">
        <v>110</v>
      </c>
      <c r="D24" s="229"/>
      <c r="E24" s="15"/>
    </row>
    <row r="25" spans="1:7">
      <c r="A25" s="171" t="s">
        <v>77</v>
      </c>
      <c r="B25" s="37">
        <f>aantalw2001_stookolie</f>
        <v>2212</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836</v>
      </c>
      <c r="B28" s="37">
        <f>aantalHuishoudens2011</f>
        <v>6020</v>
      </c>
      <c r="C28" s="36"/>
      <c r="D28" s="228"/>
    </row>
    <row r="29" spans="1:7" s="15" customFormat="1">
      <c r="A29" s="230" t="s">
        <v>837</v>
      </c>
      <c r="B29" s="37">
        <f>SUM(HH_hh_gas_aantal,HH_rest_gas_aantal)</f>
        <v>3836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3836</v>
      </c>
      <c r="C32" s="167">
        <f>IF(ISERROR(B32/SUM($B$32,$B$34,$B$35,$B$36,$B$38,$B$39)*100),0,B32/SUM($B$32,$B$34,$B$35,$B$36,$B$38,$B$39)*100)</f>
        <v>64.416456759026033</v>
      </c>
      <c r="D32" s="233"/>
      <c r="G32" s="15"/>
    </row>
    <row r="33" spans="1:7">
      <c r="A33" s="171" t="s">
        <v>71</v>
      </c>
      <c r="B33" s="34" t="s">
        <v>110</v>
      </c>
      <c r="C33" s="167"/>
      <c r="D33" s="233"/>
      <c r="G33" s="15"/>
    </row>
    <row r="34" spans="1:7">
      <c r="A34" s="171" t="s">
        <v>72</v>
      </c>
      <c r="B34" s="33">
        <f>IF((($B$28-$B$32-$B$39-$B$77-$B$38)*C20/100)&lt;0,0,($B$28-$B$32-$B$39-$B$77-$B$38)*C20/100)</f>
        <v>623.89390243902437</v>
      </c>
      <c r="C34" s="167">
        <f>IF(ISERROR(B34/SUM($B$32,$B$34,$B$35,$B$36,$B$38,$B$39)*100),0,B34/SUM($B$32,$B$34,$B$35,$B$36,$B$38,$B$39)*100)</f>
        <v>10.476807765558764</v>
      </c>
      <c r="D34" s="233"/>
      <c r="G34" s="15"/>
    </row>
    <row r="35" spans="1:7">
      <c r="A35" s="171" t="s">
        <v>73</v>
      </c>
      <c r="B35" s="33">
        <f>IF((($B$28-$B$32-$B$39-$B$77-$B$38)*C21/100)&lt;0,0,($B$28-$B$32-$B$39-$B$77-$B$38)*C21/100)</f>
        <v>517.5156794425086</v>
      </c>
      <c r="C35" s="167">
        <f>IF(ISERROR(B35/SUM($B$32,$B$34,$B$35,$B$36,$B$38,$B$39)*100),0,B35/SUM($B$32,$B$34,$B$35,$B$36,$B$38,$B$39)*100)</f>
        <v>8.6904396212008148</v>
      </c>
      <c r="D35" s="233"/>
      <c r="G35" s="15"/>
    </row>
    <row r="36" spans="1:7">
      <c r="A36" s="171" t="s">
        <v>74</v>
      </c>
      <c r="B36" s="33">
        <f>IF((($B$28-$B$32-$B$39-$B$77-$B$38)*C22/100)&lt;0,0,($B$28-$B$32-$B$39-$B$77-$B$38)*C22/100)</f>
        <v>508.89041811846693</v>
      </c>
      <c r="C36" s="167">
        <f>IF(ISERROR(B36/SUM($B$32,$B$34,$B$35,$B$36,$B$38,$B$39)*100),0,B36/SUM($B$32,$B$34,$B$35,$B$36,$B$38,$B$39)*100)</f>
        <v>8.5455989608474709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468.70000000000005</v>
      </c>
      <c r="C39" s="167">
        <f>IF(ISERROR(B39/SUM($B$32,$B$34,$B$35,$B$36,$B$38,$B$39)*100),0,B39/SUM($B$32,$B$34,$B$35,$B$36,$B$38,$B$39)*100)</f>
        <v>7.8706968933669197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3836</v>
      </c>
      <c r="C44" s="34" t="s">
        <v>110</v>
      </c>
      <c r="D44" s="174"/>
    </row>
    <row r="45" spans="1:7">
      <c r="A45" s="171" t="s">
        <v>71</v>
      </c>
      <c r="B45" s="33" t="str">
        <f t="shared" si="0"/>
        <v>-</v>
      </c>
      <c r="C45" s="34" t="s">
        <v>110</v>
      </c>
      <c r="D45" s="174"/>
    </row>
    <row r="46" spans="1:7">
      <c r="A46" s="171" t="s">
        <v>72</v>
      </c>
      <c r="B46" s="33">
        <f t="shared" si="0"/>
        <v>623.89390243902437</v>
      </c>
      <c r="C46" s="34" t="s">
        <v>110</v>
      </c>
      <c r="D46" s="174"/>
    </row>
    <row r="47" spans="1:7">
      <c r="A47" s="171" t="s">
        <v>73</v>
      </c>
      <c r="B47" s="33">
        <f t="shared" si="0"/>
        <v>517.5156794425086</v>
      </c>
      <c r="C47" s="34" t="s">
        <v>110</v>
      </c>
      <c r="D47" s="174"/>
    </row>
    <row r="48" spans="1:7">
      <c r="A48" s="171" t="s">
        <v>74</v>
      </c>
      <c r="B48" s="33">
        <f t="shared" si="0"/>
        <v>508.89041811846693</v>
      </c>
      <c r="C48" s="33">
        <f>B48*10</f>
        <v>5088.9041811846691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468.70000000000005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12813.987372</v>
      </c>
      <c r="C5" s="17">
        <f>IF(ISERROR('Eigen informatie GS &amp; warmtenet'!B60),0,'Eigen informatie GS &amp; warmtenet'!B60)</f>
        <v>0</v>
      </c>
      <c r="D5" s="30">
        <f>SUM(D6:D12)</f>
        <v>12235.070040204002</v>
      </c>
      <c r="E5" s="17">
        <f>SUM(E6:E12)</f>
        <v>173.05916247076584</v>
      </c>
      <c r="F5" s="17">
        <f>SUM(F6:F12)</f>
        <v>1499.1405907497654</v>
      </c>
      <c r="G5" s="18"/>
      <c r="H5" s="17"/>
      <c r="I5" s="17"/>
      <c r="J5" s="17">
        <f>SUM(J6:J12)</f>
        <v>2.5855809618599124E-2</v>
      </c>
      <c r="K5" s="17"/>
      <c r="L5" s="17"/>
      <c r="M5" s="17"/>
      <c r="N5" s="17">
        <f>SUM(N6:N12)</f>
        <v>1019.9493865882051</v>
      </c>
      <c r="O5" s="17">
        <f>B38*B39*B40</f>
        <v>14.691782297523464</v>
      </c>
      <c r="P5" s="17">
        <f>B46*B47*B48/1000-B46*B47*B48/1000/B49</f>
        <v>0</v>
      </c>
      <c r="R5" s="32"/>
    </row>
    <row r="6" spans="1:18">
      <c r="A6" s="32" t="s">
        <v>53</v>
      </c>
      <c r="B6" s="37">
        <f>B26</f>
        <v>2762.777415</v>
      </c>
      <c r="C6" s="33"/>
      <c r="D6" s="37">
        <f>IF(ISERROR(TER_kantoor_gas_kWh/1000),0,TER_kantoor_gas_kWh/1000)*0.902</f>
        <v>588.96450078399994</v>
      </c>
      <c r="E6" s="33">
        <f>$C$26*'E Balans VL '!I12/100/3.6*1000000</f>
        <v>22.231184042279025</v>
      </c>
      <c r="F6" s="33">
        <f>$C$26*('E Balans VL '!L12+'E Balans VL '!N12)/100/3.6*1000000</f>
        <v>337.7786024716691</v>
      </c>
      <c r="G6" s="34"/>
      <c r="H6" s="33"/>
      <c r="I6" s="33"/>
      <c r="J6" s="33">
        <f>$C$26*('E Balans VL '!D12+'E Balans VL '!E12)/100/3.6*1000000</f>
        <v>0</v>
      </c>
      <c r="K6" s="33"/>
      <c r="L6" s="33"/>
      <c r="M6" s="33"/>
      <c r="N6" s="33">
        <f>$C$26*'E Balans VL '!Y12/100/3.6*1000000</f>
        <v>1.4848568085003377</v>
      </c>
      <c r="O6" s="33"/>
      <c r="P6" s="33"/>
      <c r="R6" s="32"/>
    </row>
    <row r="7" spans="1:18">
      <c r="A7" s="32" t="s">
        <v>52</v>
      </c>
      <c r="B7" s="37">
        <f t="shared" ref="B7:B12" si="0">B27</f>
        <v>1222.9246680000001</v>
      </c>
      <c r="C7" s="33"/>
      <c r="D7" s="37">
        <f>IF(ISERROR(TER_horeca_gas_kWh/1000),0,TER_horeca_gas_kWh/1000)*0.902</f>
        <v>1531.451308376</v>
      </c>
      <c r="E7" s="33">
        <f>$C$27*'E Balans VL '!I9/100/3.6*1000000</f>
        <v>13.13120795634083</v>
      </c>
      <c r="F7" s="33">
        <f>$C$27*('E Balans VL '!L9+'E Balans VL '!N9)/100/3.6*1000000</f>
        <v>147.08818323592376</v>
      </c>
      <c r="G7" s="34"/>
      <c r="H7" s="33"/>
      <c r="I7" s="33"/>
      <c r="J7" s="33">
        <f>$C$27*('E Balans VL '!D9+'E Balans VL '!E9)/100/3.6*1000000</f>
        <v>0</v>
      </c>
      <c r="K7" s="33"/>
      <c r="L7" s="33"/>
      <c r="M7" s="33"/>
      <c r="N7" s="33">
        <f>$C$27*'E Balans VL '!Y9/100/3.6*1000000</f>
        <v>0.18334119353862469</v>
      </c>
      <c r="O7" s="33"/>
      <c r="P7" s="33"/>
      <c r="R7" s="32"/>
    </row>
    <row r="8" spans="1:18">
      <c r="A8" s="6" t="s">
        <v>51</v>
      </c>
      <c r="B8" s="37">
        <f t="shared" si="0"/>
        <v>1802.6155779999999</v>
      </c>
      <c r="C8" s="33"/>
      <c r="D8" s="37">
        <f>IF(ISERROR(TER_handel_gas_kWh/1000),0,TER_handel_gas_kWh/1000)*0.902</f>
        <v>461.36668419599999</v>
      </c>
      <c r="E8" s="33">
        <f>$C$28*'E Balans VL '!I13/100/3.6*1000000</f>
        <v>48.376683459463273</v>
      </c>
      <c r="F8" s="33">
        <f>$C$28*('E Balans VL '!L13+'E Balans VL '!N13)/100/3.6*1000000</f>
        <v>172.02508418586447</v>
      </c>
      <c r="G8" s="34"/>
      <c r="H8" s="33"/>
      <c r="I8" s="33"/>
      <c r="J8" s="33">
        <f>$C$28*('E Balans VL '!D13+'E Balans VL '!E13)/100/3.6*1000000</f>
        <v>0</v>
      </c>
      <c r="K8" s="33"/>
      <c r="L8" s="33"/>
      <c r="M8" s="33"/>
      <c r="N8" s="33">
        <f>$C$28*'E Balans VL '!Y13/100/3.6*1000000</f>
        <v>0.71457731155319537</v>
      </c>
      <c r="O8" s="33"/>
      <c r="P8" s="33"/>
      <c r="R8" s="32"/>
    </row>
    <row r="9" spans="1:18">
      <c r="A9" s="32" t="s">
        <v>50</v>
      </c>
      <c r="B9" s="37">
        <f t="shared" si="0"/>
        <v>357.472173</v>
      </c>
      <c r="C9" s="33"/>
      <c r="D9" s="37">
        <f>IF(ISERROR(TER_gezond_gas_kWh/1000),0,TER_gezond_gas_kWh/1000)*0.902</f>
        <v>0</v>
      </c>
      <c r="E9" s="33">
        <f>$C$29*'E Balans VL '!I10/100/3.6*1000000</f>
        <v>0.67001925019597186</v>
      </c>
      <c r="F9" s="33">
        <f>$C$29*('E Balans VL '!L10+'E Balans VL '!N10)/100/3.6*1000000</f>
        <v>29.387474302855196</v>
      </c>
      <c r="G9" s="34"/>
      <c r="H9" s="33"/>
      <c r="I9" s="33"/>
      <c r="J9" s="33">
        <f>$C$29*('E Balans VL '!D10+'E Balans VL '!E10)/100/3.6*1000000</f>
        <v>0</v>
      </c>
      <c r="K9" s="33"/>
      <c r="L9" s="33"/>
      <c r="M9" s="33"/>
      <c r="N9" s="33">
        <f>$C$29*'E Balans VL '!Y10/100/3.6*1000000</f>
        <v>2.781400218504174</v>
      </c>
      <c r="O9" s="33"/>
      <c r="P9" s="33"/>
      <c r="R9" s="32"/>
    </row>
    <row r="10" spans="1:18">
      <c r="A10" s="32" t="s">
        <v>49</v>
      </c>
      <c r="B10" s="37">
        <f t="shared" si="0"/>
        <v>1010.3273469999999</v>
      </c>
      <c r="C10" s="33"/>
      <c r="D10" s="37">
        <f>IF(ISERROR(TER_ander_gas_kWh/1000),0,TER_ander_gas_kWh/1000)*0.902</f>
        <v>222.17343753</v>
      </c>
      <c r="E10" s="33">
        <f>$C$30*'E Balans VL '!I14/100/3.6*1000000</f>
        <v>1.5574298428893245</v>
      </c>
      <c r="F10" s="33">
        <f>$C$30*('E Balans VL '!L14+'E Balans VL '!N14)/100/3.6*1000000</f>
        <v>156.85359953794861</v>
      </c>
      <c r="G10" s="34"/>
      <c r="H10" s="33"/>
      <c r="I10" s="33"/>
      <c r="J10" s="33">
        <f>$C$30*('E Balans VL '!D14+'E Balans VL '!E14)/100/3.6*1000000</f>
        <v>1.7151372231601091E-2</v>
      </c>
      <c r="K10" s="33"/>
      <c r="L10" s="33"/>
      <c r="M10" s="33"/>
      <c r="N10" s="33">
        <f>$C$30*'E Balans VL '!Y14/100/3.6*1000000</f>
        <v>668.40019202679048</v>
      </c>
      <c r="O10" s="33"/>
      <c r="P10" s="33"/>
      <c r="R10" s="32"/>
    </row>
    <row r="11" spans="1:18">
      <c r="A11" s="32" t="s">
        <v>54</v>
      </c>
      <c r="B11" s="37">
        <f t="shared" si="0"/>
        <v>1115.904266</v>
      </c>
      <c r="C11" s="33"/>
      <c r="D11" s="37">
        <f>IF(ISERROR(TER_onderwijs_gas_kWh/1000),0,TER_onderwijs_gas_kWh/1000)*0.902</f>
        <v>3574.5547266660001</v>
      </c>
      <c r="E11" s="33">
        <f>$C$31*'E Balans VL '!I11/100/3.6*1000000</f>
        <v>28.463180472110988</v>
      </c>
      <c r="F11" s="33">
        <f>$C$31*('E Balans VL '!L11+'E Balans VL '!N11)/100/3.6*1000000</f>
        <v>134.1979912774309</v>
      </c>
      <c r="G11" s="34"/>
      <c r="H11" s="33"/>
      <c r="I11" s="33"/>
      <c r="J11" s="33">
        <f>$C$31*('E Balans VL '!D11+'E Balans VL '!E11)/100/3.6*1000000</f>
        <v>0</v>
      </c>
      <c r="K11" s="33"/>
      <c r="L11" s="33"/>
      <c r="M11" s="33"/>
      <c r="N11" s="33">
        <f>$C$31*'E Balans VL '!Y11/100/3.6*1000000</f>
        <v>2.4817438592852916</v>
      </c>
      <c r="O11" s="33"/>
      <c r="P11" s="33"/>
      <c r="R11" s="32"/>
    </row>
    <row r="12" spans="1:18">
      <c r="A12" s="32" t="s">
        <v>259</v>
      </c>
      <c r="B12" s="37">
        <f t="shared" si="0"/>
        <v>4541.9659249999995</v>
      </c>
      <c r="C12" s="33"/>
      <c r="D12" s="37">
        <f>IF(ISERROR(TER_rest_gas_kWh/1000),0,TER_rest_gas_kWh/1000)*0.902</f>
        <v>5856.5593826520007</v>
      </c>
      <c r="E12" s="33">
        <f>$C$32*'E Balans VL '!I8/100/3.6*1000000</f>
        <v>58.629457447486431</v>
      </c>
      <c r="F12" s="33">
        <f>$C$32*('E Balans VL '!L8+'E Balans VL '!N8)/100/3.6*1000000</f>
        <v>521.80965573807339</v>
      </c>
      <c r="G12" s="34"/>
      <c r="H12" s="33"/>
      <c r="I12" s="33"/>
      <c r="J12" s="33">
        <f>$C$32*('E Balans VL '!D8+'E Balans VL '!E8)/100/3.6*1000000</f>
        <v>8.7044373869980349E-3</v>
      </c>
      <c r="K12" s="33"/>
      <c r="L12" s="33"/>
      <c r="M12" s="33"/>
      <c r="N12" s="33">
        <f>$C$32*'E Balans VL '!Y8/100/3.6*1000000</f>
        <v>343.903275170033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12813.987372</v>
      </c>
      <c r="C16" s="21">
        <f t="shared" ca="1" si="1"/>
        <v>0</v>
      </c>
      <c r="D16" s="21">
        <f t="shared" ca="1" si="1"/>
        <v>12235.070040204002</v>
      </c>
      <c r="E16" s="21">
        <f t="shared" si="1"/>
        <v>173.05916247076584</v>
      </c>
      <c r="F16" s="21">
        <f t="shared" ca="1" si="1"/>
        <v>1499.1405907497654</v>
      </c>
      <c r="G16" s="21">
        <f t="shared" si="1"/>
        <v>0</v>
      </c>
      <c r="H16" s="21">
        <f t="shared" si="1"/>
        <v>0</v>
      </c>
      <c r="I16" s="21">
        <f t="shared" si="1"/>
        <v>0</v>
      </c>
      <c r="J16" s="21">
        <f t="shared" si="1"/>
        <v>2.5855809618599124E-2</v>
      </c>
      <c r="K16" s="21">
        <f t="shared" si="1"/>
        <v>0</v>
      </c>
      <c r="L16" s="21">
        <f t="shared" ca="1" si="1"/>
        <v>0</v>
      </c>
      <c r="M16" s="21">
        <f t="shared" si="1"/>
        <v>0</v>
      </c>
      <c r="N16" s="21">
        <f t="shared" ca="1" si="1"/>
        <v>1019.9493865882051</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0.20903551647351287</v>
      </c>
      <c r="C18" s="25">
        <f ca="1">'EF ele_warmte'!B22</f>
        <v>0.23746760760868027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2678.578468391092</v>
      </c>
      <c r="C20" s="23">
        <f t="shared" ref="C20:P20" ca="1" si="2">C16*C18</f>
        <v>0</v>
      </c>
      <c r="D20" s="23">
        <f t="shared" ca="1" si="2"/>
        <v>2471.4841481212084</v>
      </c>
      <c r="E20" s="23">
        <f t="shared" si="2"/>
        <v>39.284429880863847</v>
      </c>
      <c r="F20" s="23">
        <f t="shared" ca="1" si="2"/>
        <v>400.27053773018736</v>
      </c>
      <c r="G20" s="23">
        <f t="shared" si="2"/>
        <v>0</v>
      </c>
      <c r="H20" s="23">
        <f t="shared" si="2"/>
        <v>0</v>
      </c>
      <c r="I20" s="23">
        <f t="shared" si="2"/>
        <v>0</v>
      </c>
      <c r="J20" s="23">
        <f t="shared" si="2"/>
        <v>9.1529566049840892E-3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2762.777415</v>
      </c>
      <c r="C26" s="39">
        <f>IF(ISERROR(B26*3.6/1000000/'E Balans VL '!Z12*100),0,B26*3.6/1000000/'E Balans VL '!Z12*100)</f>
        <v>5.8609795208149712E-2</v>
      </c>
      <c r="D26" s="237" t="s">
        <v>716</v>
      </c>
      <c r="F26" s="6"/>
    </row>
    <row r="27" spans="1:18">
      <c r="A27" s="231" t="s">
        <v>52</v>
      </c>
      <c r="B27" s="33">
        <f>IF(ISERROR(TER_horeca_ele_kWh/1000),0,TER_horeca_ele_kWh/1000)</f>
        <v>1222.9246680000001</v>
      </c>
      <c r="C27" s="39">
        <f>IF(ISERROR(B27*3.6/1000000/'E Balans VL '!Z9*100),0,B27*3.6/1000000/'E Balans VL '!Z9*100)</f>
        <v>9.2097060786590926E-2</v>
      </c>
      <c r="D27" s="237" t="s">
        <v>716</v>
      </c>
      <c r="F27" s="6"/>
    </row>
    <row r="28" spans="1:18">
      <c r="A28" s="171" t="s">
        <v>51</v>
      </c>
      <c r="B28" s="33">
        <f>IF(ISERROR(TER_handel_ele_kWh/1000),0,TER_handel_ele_kWh/1000)</f>
        <v>1802.6155779999999</v>
      </c>
      <c r="C28" s="39">
        <f>IF(ISERROR(B28*3.6/1000000/'E Balans VL '!Z13*100),0,B28*3.6/1000000/'E Balans VL '!Z13*100)</f>
        <v>5.2323543064008993E-2</v>
      </c>
      <c r="D28" s="237" t="s">
        <v>716</v>
      </c>
      <c r="F28" s="6"/>
    </row>
    <row r="29" spans="1:18">
      <c r="A29" s="231" t="s">
        <v>50</v>
      </c>
      <c r="B29" s="33">
        <f>IF(ISERROR(TER_gezond_ele_kWh/1000),0,TER_gezond_ele_kWh/1000)</f>
        <v>357.472173</v>
      </c>
      <c r="C29" s="39">
        <f>IF(ISERROR(B29*3.6/1000000/'E Balans VL '!Z10*100),0,B29*3.6/1000000/'E Balans VL '!Z10*100)</f>
        <v>3.6051494949979244E-2</v>
      </c>
      <c r="D29" s="237" t="s">
        <v>716</v>
      </c>
      <c r="F29" s="6"/>
    </row>
    <row r="30" spans="1:18">
      <c r="A30" s="231" t="s">
        <v>49</v>
      </c>
      <c r="B30" s="33">
        <f>IF(ISERROR(TER_ander_ele_kWh/1000),0,TER_ander_ele_kWh/1000)</f>
        <v>1010.3273469999999</v>
      </c>
      <c r="C30" s="39">
        <f>IF(ISERROR(B30*3.6/1000000/'E Balans VL '!Z14*100),0,B30*3.6/1000000/'E Balans VL '!Z14*100)</f>
        <v>7.3313032417118118E-2</v>
      </c>
      <c r="D30" s="237" t="s">
        <v>716</v>
      </c>
      <c r="F30" s="6"/>
    </row>
    <row r="31" spans="1:18">
      <c r="A31" s="231" t="s">
        <v>54</v>
      </c>
      <c r="B31" s="33">
        <f>IF(ISERROR(TER_onderwijs_ele_kWh/1000),0,TER_onderwijs_ele_kWh/1000)</f>
        <v>1115.904266</v>
      </c>
      <c r="C31" s="39">
        <f>IF(ISERROR(B31*3.6/1000000/'E Balans VL '!Z11*100),0,B31*3.6/1000000/'E Balans VL '!Z11*100)</f>
        <v>0.31807815754764357</v>
      </c>
      <c r="D31" s="237" t="s">
        <v>716</v>
      </c>
    </row>
    <row r="32" spans="1:18">
      <c r="A32" s="231" t="s">
        <v>259</v>
      </c>
      <c r="B32" s="33">
        <f>IF(ISERROR(TER_rest_ele_kWh/1000),0,TER_rest_ele_kWh/1000)</f>
        <v>4541.9659249999995</v>
      </c>
      <c r="C32" s="39">
        <f>IF(ISERROR(B32*3.6/1000000/'E Balans VL '!Z8*100),0,B32*3.6/1000000/'E Balans VL '!Z8*100)</f>
        <v>3.7206859702454853E-2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26878.547438999998</v>
      </c>
      <c r="C5" s="17">
        <f>IF(ISERROR('Eigen informatie GS &amp; warmtenet'!B61),0,'Eigen informatie GS &amp; warmtenet'!B61)</f>
        <v>0</v>
      </c>
      <c r="D5" s="30">
        <f>SUM(D6:D15)</f>
        <v>26078.488441126003</v>
      </c>
      <c r="E5" s="17">
        <f>SUM(E6:E15)</f>
        <v>919.94945628167852</v>
      </c>
      <c r="F5" s="17">
        <f>SUM(F6:F15)</f>
        <v>4162.7248582952961</v>
      </c>
      <c r="G5" s="18"/>
      <c r="H5" s="17"/>
      <c r="I5" s="17"/>
      <c r="J5" s="17">
        <f>SUM(J6:J15)</f>
        <v>113.0320943308014</v>
      </c>
      <c r="K5" s="17"/>
      <c r="L5" s="17"/>
      <c r="M5" s="17"/>
      <c r="N5" s="17">
        <f>SUM(N6:N15)</f>
        <v>1488.2400838909687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1624.3442069999999</v>
      </c>
      <c r="C8" s="33"/>
      <c r="D8" s="37">
        <f>IF( ISERROR(IND_metaal_Gas_kWH/1000),0,IND_metaal_Gas_kWH/1000)*0.902</f>
        <v>96.199266944000001</v>
      </c>
      <c r="E8" s="33">
        <f>C30*'E Balans VL '!I18/100/3.6*1000000</f>
        <v>11.718503382189958</v>
      </c>
      <c r="F8" s="33">
        <f>C30*'E Balans VL '!L18/100/3.6*1000000+C30*'E Balans VL '!N18/100/3.6*1000000</f>
        <v>153.63301117308345</v>
      </c>
      <c r="G8" s="34"/>
      <c r="H8" s="33"/>
      <c r="I8" s="33"/>
      <c r="J8" s="40">
        <f>C30*'E Balans VL '!D18/100/3.6*1000000+C30*'E Balans VL '!E18/100/3.6*1000000</f>
        <v>1.6337748427865968</v>
      </c>
      <c r="K8" s="33"/>
      <c r="L8" s="33"/>
      <c r="M8" s="33"/>
      <c r="N8" s="33">
        <f>C30*'E Balans VL '!Y18/100/3.6*1000000</f>
        <v>20.536008366965863</v>
      </c>
      <c r="O8" s="33"/>
      <c r="P8" s="33"/>
      <c r="R8" s="32"/>
    </row>
    <row r="9" spans="1:18">
      <c r="A9" s="6" t="s">
        <v>32</v>
      </c>
      <c r="B9" s="37">
        <f t="shared" si="0"/>
        <v>847.10654199999999</v>
      </c>
      <c r="C9" s="33"/>
      <c r="D9" s="37">
        <f>IF( ISERROR(IND_andere_gas_kWh/1000),0,IND_andere_gas_kWh/1000)*0.902</f>
        <v>765.42125985600001</v>
      </c>
      <c r="E9" s="33">
        <f>C31*'E Balans VL '!I19/100/3.6*1000000</f>
        <v>234.74455002176762</v>
      </c>
      <c r="F9" s="33">
        <f>C31*'E Balans VL '!L19/100/3.6*1000000+C31*'E Balans VL '!N19/100/3.6*1000000</f>
        <v>702.08373262094574</v>
      </c>
      <c r="G9" s="34"/>
      <c r="H9" s="33"/>
      <c r="I9" s="33"/>
      <c r="J9" s="40">
        <f>C31*'E Balans VL '!D19/100/3.6*1000000+C31*'E Balans VL '!E19/100/3.6*1000000</f>
        <v>0</v>
      </c>
      <c r="K9" s="33"/>
      <c r="L9" s="33"/>
      <c r="M9" s="33"/>
      <c r="N9" s="33">
        <f>C31*'E Balans VL '!Y19/100/3.6*1000000</f>
        <v>61.489573714502058</v>
      </c>
      <c r="O9" s="33"/>
      <c r="P9" s="33"/>
      <c r="R9" s="32"/>
    </row>
    <row r="10" spans="1:18">
      <c r="A10" s="6" t="s">
        <v>40</v>
      </c>
      <c r="B10" s="37">
        <f t="shared" si="0"/>
        <v>10407.548949999999</v>
      </c>
      <c r="C10" s="33"/>
      <c r="D10" s="37">
        <f>IF( ISERROR(IND_voed_gas_kWh/1000),0,IND_voed_gas_kWh/1000)*0.902</f>
        <v>7252.4324862659996</v>
      </c>
      <c r="E10" s="33">
        <f>C32*'E Balans VL '!I20/100/3.6*1000000</f>
        <v>18.42488690434406</v>
      </c>
      <c r="F10" s="33">
        <f>C32*'E Balans VL '!L20/100/3.6*1000000+C32*'E Balans VL '!N20/100/3.6*1000000</f>
        <v>562.09988457892575</v>
      </c>
      <c r="G10" s="34"/>
      <c r="H10" s="33"/>
      <c r="I10" s="33"/>
      <c r="J10" s="40">
        <f>C32*'E Balans VL '!D20/100/3.6*1000000+C32*'E Balans VL '!E20/100/3.6*1000000</f>
        <v>0</v>
      </c>
      <c r="K10" s="33"/>
      <c r="L10" s="33"/>
      <c r="M10" s="33"/>
      <c r="N10" s="33">
        <f>C32*'E Balans VL '!Y20/100/3.6*1000000</f>
        <v>604.75807743676535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1243.876835</v>
      </c>
      <c r="C12" s="33"/>
      <c r="D12" s="37">
        <f>IF( ISERROR(IND_min_gas_kWh/1000),0,IND_min_gas_kWh/1000)*0.902</f>
        <v>0</v>
      </c>
      <c r="E12" s="33">
        <f>C34*'E Balans VL '!I22/100/3.6*1000000</f>
        <v>54.775898862455875</v>
      </c>
      <c r="F12" s="33">
        <f>C34*'E Balans VL '!L22/100/3.6*1000000+C34*'E Balans VL '!N22/100/3.6*1000000</f>
        <v>486.40607714703202</v>
      </c>
      <c r="G12" s="34"/>
      <c r="H12" s="33"/>
      <c r="I12" s="33"/>
      <c r="J12" s="40">
        <f>C34*'E Balans VL '!D22/100/3.6*1000000+C34*'E Balans VL '!E22/100/3.6*1000000</f>
        <v>0.37768520946467576</v>
      </c>
      <c r="K12" s="33"/>
      <c r="L12" s="33"/>
      <c r="M12" s="33"/>
      <c r="N12" s="33">
        <f>C34*'E Balans VL '!Y22/100/3.6*1000000</f>
        <v>307.69743319201598</v>
      </c>
      <c r="O12" s="33"/>
      <c r="P12" s="33"/>
      <c r="R12" s="32"/>
    </row>
    <row r="13" spans="1:18">
      <c r="A13" s="6" t="s">
        <v>38</v>
      </c>
      <c r="B13" s="37">
        <f t="shared" si="0"/>
        <v>55.794625000000003</v>
      </c>
      <c r="C13" s="33"/>
      <c r="D13" s="37">
        <f>IF( ISERROR(IND_papier_gas_kWh/1000),0,IND_papier_gas_kWh/1000)*0.902</f>
        <v>0</v>
      </c>
      <c r="E13" s="33">
        <f>C35*'E Balans VL '!I23/100/3.6*1000000</f>
        <v>8.2093052143157055E-2</v>
      </c>
      <c r="F13" s="33">
        <f>C35*'E Balans VL '!L23/100/3.6*1000000+C35*'E Balans VL '!N23/100/3.6*1000000</f>
        <v>0.59741015246485962</v>
      </c>
      <c r="G13" s="34"/>
      <c r="H13" s="33"/>
      <c r="I13" s="33"/>
      <c r="J13" s="40">
        <f>C35*'E Balans VL '!D23/100/3.6*1000000+C35*'E Balans VL '!E23/100/3.6*1000000</f>
        <v>6.1042448548842589</v>
      </c>
      <c r="K13" s="33"/>
      <c r="L13" s="33"/>
      <c r="M13" s="33"/>
      <c r="N13" s="33">
        <f>C35*'E Balans VL '!Y23/100/3.6*1000000</f>
        <v>-0.50545149388903321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12699.876279999999</v>
      </c>
      <c r="C15" s="33"/>
      <c r="D15" s="37">
        <f>IF( ISERROR(IND_rest_gas_kWh/1000),0,IND_rest_gas_kWh/1000)*0.902</f>
        <v>17964.435428060002</v>
      </c>
      <c r="E15" s="33">
        <f>C37*'E Balans VL '!I15/100/3.6*1000000</f>
        <v>600.20352405877782</v>
      </c>
      <c r="F15" s="33">
        <f>C37*'E Balans VL '!L15/100/3.6*1000000+C37*'E Balans VL '!N15/100/3.6*1000000</f>
        <v>2257.904742622844</v>
      </c>
      <c r="G15" s="34"/>
      <c r="H15" s="33"/>
      <c r="I15" s="33"/>
      <c r="J15" s="40">
        <f>C37*'E Balans VL '!D15/100/3.6*1000000+C37*'E Balans VL '!E15/100/3.6*1000000</f>
        <v>104.91638942366586</v>
      </c>
      <c r="K15" s="33"/>
      <c r="L15" s="33"/>
      <c r="M15" s="33"/>
      <c r="N15" s="33">
        <f>C37*'E Balans VL '!Y15/100/3.6*1000000</f>
        <v>494.26444267460857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26878.547438999998</v>
      </c>
      <c r="C18" s="21">
        <f>C5+C16</f>
        <v>0</v>
      </c>
      <c r="D18" s="21">
        <f>MAX((D5+D16),0)</f>
        <v>26078.488441126003</v>
      </c>
      <c r="E18" s="21">
        <f>MAX((E5+E16),0)</f>
        <v>919.94945628167852</v>
      </c>
      <c r="F18" s="21">
        <f>MAX((F5+F16),0)</f>
        <v>4162.7248582952961</v>
      </c>
      <c r="G18" s="21"/>
      <c r="H18" s="21"/>
      <c r="I18" s="21"/>
      <c r="J18" s="21">
        <f>MAX((J5+J16),0)</f>
        <v>113.0320943308014</v>
      </c>
      <c r="K18" s="21"/>
      <c r="L18" s="21">
        <f>MAX((L5+L16),0)</f>
        <v>0</v>
      </c>
      <c r="M18" s="21"/>
      <c r="N18" s="21">
        <f>MAX((N5+N16),0)</f>
        <v>1488.2400838909687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0.20903551647351287</v>
      </c>
      <c r="C20" s="25">
        <f ca="1">'EF ele_warmte'!B22</f>
        <v>0.23746760760868027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5618.5710459691809</v>
      </c>
      <c r="C22" s="23">
        <f ca="1">C18*C20</f>
        <v>0</v>
      </c>
      <c r="D22" s="23">
        <f>D18*D20</f>
        <v>5267.854665107453</v>
      </c>
      <c r="E22" s="23">
        <f>E18*E20</f>
        <v>208.82852657594103</v>
      </c>
      <c r="F22" s="23">
        <f>F18*F20</f>
        <v>1111.4475371648441</v>
      </c>
      <c r="G22" s="23"/>
      <c r="H22" s="23"/>
      <c r="I22" s="23"/>
      <c r="J22" s="23">
        <f>J18*J20</f>
        <v>40.013361393103693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1624.3442069999999</v>
      </c>
      <c r="C30" s="39">
        <f>IF(ISERROR(B30*3.6/1000000/'E Balans VL '!Z18*100),0,B30*3.6/1000000/'E Balans VL '!Z18*100)</f>
        <v>9.3770856528414895E-2</v>
      </c>
      <c r="D30" s="237" t="s">
        <v>716</v>
      </c>
    </row>
    <row r="31" spans="1:18">
      <c r="A31" s="6" t="s">
        <v>32</v>
      </c>
      <c r="B31" s="37">
        <f>IF( ISERROR(IND_ander_ele_kWh/1000),0,IND_ander_ele_kWh/1000)</f>
        <v>847.10654199999999</v>
      </c>
      <c r="C31" s="39">
        <f>IF(ISERROR(B31*3.6/1000000/'E Balans VL '!Z19*100),0,B31*3.6/1000000/'E Balans VL '!Z19*100)</f>
        <v>4.2606713273063757E-2</v>
      </c>
      <c r="D31" s="237" t="s">
        <v>716</v>
      </c>
    </row>
    <row r="32" spans="1:18">
      <c r="A32" s="171" t="s">
        <v>40</v>
      </c>
      <c r="B32" s="37">
        <f>IF( ISERROR(IND_voed_ele_kWh/1000),0,IND_voed_ele_kWh/1000)</f>
        <v>10407.548949999999</v>
      </c>
      <c r="C32" s="39">
        <f>IF(ISERROR(B32*3.6/1000000/'E Balans VL '!Z20*100),0,B32*3.6/1000000/'E Balans VL '!Z20*100)</f>
        <v>0.34663318264262566</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1243.876835</v>
      </c>
      <c r="C34" s="39">
        <f>IF(ISERROR(B34*3.6/1000000/'E Balans VL '!Z22*100),0,B34*3.6/1000000/'E Balans VL '!Z22*100)</f>
        <v>0.23202504335712645</v>
      </c>
      <c r="D34" s="237" t="s">
        <v>716</v>
      </c>
    </row>
    <row r="35" spans="1:5">
      <c r="A35" s="171" t="s">
        <v>38</v>
      </c>
      <c r="B35" s="37">
        <f>IF( ISERROR(IND_papier_ele_kWh/1000),0,IND_papier_ele_kWh/1000)</f>
        <v>55.794625000000003</v>
      </c>
      <c r="C35" s="39">
        <f>IF(ISERROR(B35*3.6/1000000/'E Balans VL '!Z22*100),0,B35*3.6/1000000/'E Balans VL '!Z22*100)</f>
        <v>1.0407582101743708E-2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12699.876279999999</v>
      </c>
      <c r="C37" s="39">
        <f>IF(ISERROR(B37*3.6/1000000/'E Balans VL '!Z15*100),0,B37*3.6/1000000/'E Balans VL '!Z15*100)</f>
        <v>9.9093764461823927E-2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10997.674800999999</v>
      </c>
      <c r="C5" s="17">
        <f>'Eigen informatie GS &amp; warmtenet'!B62</f>
        <v>0</v>
      </c>
      <c r="D5" s="30">
        <f>IF(ISERROR(SUM(LB_lb_gas_kWh,LB_rest_gas_kWh)/1000),0,SUM(LB_lb_gas_kWh,LB_rest_gas_kWh)/1000)*0.902</f>
        <v>165187.94125191597</v>
      </c>
      <c r="E5" s="17">
        <f>B17*'E Balans VL '!I25/3.6*1000000/100</f>
        <v>343.23380395346481</v>
      </c>
      <c r="F5" s="17">
        <f>B17*('E Balans VL '!L25/3.6*1000000+'E Balans VL '!N25/3.6*1000000)/100</f>
        <v>38867.001036283873</v>
      </c>
      <c r="G5" s="18"/>
      <c r="H5" s="17"/>
      <c r="I5" s="17"/>
      <c r="J5" s="17">
        <f>('E Balans VL '!D25+'E Balans VL '!E25)/3.6*1000000*landbouw!B17/100</f>
        <v>3029.9356758818344</v>
      </c>
      <c r="K5" s="17"/>
      <c r="L5" s="17">
        <f>L6*(-1)</f>
        <v>0</v>
      </c>
      <c r="M5" s="17"/>
      <c r="N5" s="17">
        <f>N6*(-1)</f>
        <v>124.71428571428569</v>
      </c>
      <c r="O5" s="17"/>
      <c r="P5" s="17"/>
      <c r="R5" s="32"/>
    </row>
    <row r="6" spans="1:18">
      <c r="A6" s="16" t="s">
        <v>482</v>
      </c>
      <c r="B6" s="17" t="s">
        <v>210</v>
      </c>
      <c r="C6" s="17">
        <f>'lokale energieproductie'!O92+'lokale energieproductie'!O61</f>
        <v>82579.5</v>
      </c>
      <c r="D6" s="310">
        <f>('lokale energieproductie'!P61+'lokale energieproductie'!P92)*(-1)</f>
        <v>-165034.28571428571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10997.674800999999</v>
      </c>
      <c r="C8" s="21">
        <f>C5+C6</f>
        <v>82579.5</v>
      </c>
      <c r="D8" s="21">
        <f>MAX((D5+D6),0)</f>
        <v>153.65553763025673</v>
      </c>
      <c r="E8" s="21">
        <f>MAX((E5+E6),0)</f>
        <v>343.23380395346481</v>
      </c>
      <c r="F8" s="21">
        <f>MAX((F5+F6),0)</f>
        <v>38867.001036283873</v>
      </c>
      <c r="G8" s="21"/>
      <c r="H8" s="21"/>
      <c r="I8" s="21"/>
      <c r="J8" s="21">
        <f>MAX((J5+J6),0)</f>
        <v>3029.9356758818344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0.20903551647351287</v>
      </c>
      <c r="C10" s="31">
        <f ca="1">'EF ele_warmte'!B22</f>
        <v>0.23746760760868027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2298.9046320347729</v>
      </c>
      <c r="C12" s="23">
        <f ca="1">C8*C10</f>
        <v>19609.956302521012</v>
      </c>
      <c r="D12" s="23">
        <f>D8*D10</f>
        <v>31.038418601311861</v>
      </c>
      <c r="E12" s="23">
        <f>E8*E10</f>
        <v>77.914073497436519</v>
      </c>
      <c r="F12" s="23">
        <f>F8*F10</f>
        <v>10377.489276687795</v>
      </c>
      <c r="G12" s="23"/>
      <c r="H12" s="23"/>
      <c r="I12" s="23"/>
      <c r="J12" s="23">
        <f>J8*J10</f>
        <v>1072.5972292621693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1.6348831979694061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1205.954394047608</v>
      </c>
      <c r="C26" s="247">
        <f>B26*'GWP N2O_CH4'!B5</f>
        <v>25325.042274999771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706.7585324181797</v>
      </c>
      <c r="C27" s="247">
        <f>B27*'GWP N2O_CH4'!B5</f>
        <v>14841.929180781774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34.337364353784459</v>
      </c>
      <c r="C28" s="247">
        <f>B28*'GWP N2O_CH4'!B4</f>
        <v>10644.582949673182</v>
      </c>
      <c r="D28" s="50"/>
    </row>
    <row r="29" spans="1:4">
      <c r="A29" s="41" t="s">
        <v>276</v>
      </c>
      <c r="B29" s="247">
        <f>B34*'ha_N2O bodem landbouw'!B4</f>
        <v>33.623648311488985</v>
      </c>
      <c r="C29" s="247">
        <f>B29*'GWP N2O_CH4'!B4</f>
        <v>10423.330976561585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7.3730606945335477E-3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1.4937729200999996E-4</v>
      </c>
      <c r="C5" s="463" t="s">
        <v>210</v>
      </c>
      <c r="D5" s="448">
        <f>SUM(D6:D11)</f>
        <v>6.0899400267090003E-4</v>
      </c>
      <c r="E5" s="448">
        <f>SUM(E6:E11)</f>
        <v>4.6795150761357507E-4</v>
      </c>
      <c r="F5" s="461" t="s">
        <v>210</v>
      </c>
      <c r="G5" s="448">
        <f>SUM(G6:G11)</f>
        <v>0.18430063962489063</v>
      </c>
      <c r="H5" s="448">
        <f>SUM(H6:H11)</f>
        <v>4.5321984126231001E-2</v>
      </c>
      <c r="I5" s="463" t="s">
        <v>210</v>
      </c>
      <c r="J5" s="463" t="s">
        <v>210</v>
      </c>
      <c r="K5" s="463" t="s">
        <v>210</v>
      </c>
      <c r="L5" s="463" t="s">
        <v>210</v>
      </c>
      <c r="M5" s="448">
        <f>SUM(M6:M11)</f>
        <v>1.3605813897926641E-2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1.1590717002499998E-4</v>
      </c>
      <c r="C6" s="449"/>
      <c r="D6" s="917">
        <f>vkm_2011_GW_PW*SUMIFS(TableVerdeelsleutelVkm[CNG],TableVerdeelsleutelVkm[Voertuigtype],"Lichte voertuigen")*SUMIFS(TableECFTransport[EnergieConsumptieFactor (PJ per km)],TableECFTransport[Index],CONCATENATE($A6,"_CNG_CNG"))</f>
        <v>4.0302897293274006E-4</v>
      </c>
      <c r="E6" s="917">
        <f>vkm_2011_GW_PW*SUMIFS(TableVerdeelsleutelVkm[LPG],TableVerdeelsleutelVkm[Voertuigtype],"Lichte voertuigen")*SUMIFS(TableECFTransport[EnergieConsumptieFactor (PJ per km)],TableECFTransport[Index],CONCATENATE($A6,"_LPG_LPG"))</f>
        <v>3.1752042955800002E-4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8.6432752875679239E-2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3.0245722777958214E-2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6.9722722851407242E-3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5.2479701129569872E-2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1.3221327865455257E-5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3.026143525135016E-3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3.3470121984999999E-5</v>
      </c>
      <c r="C8" s="449"/>
      <c r="D8" s="451">
        <f>vkm_2011_NGW_PW*SUMIFS(TableVerdeelsleutelVkm[CNG],TableVerdeelsleutelVkm[Voertuigtype],"Lichte voertuigen")*SUMIFS(TableECFTransport[EnergieConsumptieFactor (PJ per km)],TableECFTransport[Index],CONCATENATE($A8,"_CNG_CNG"))</f>
        <v>2.0596502973816002E-4</v>
      </c>
      <c r="E8" s="451">
        <f>vkm_2011_NGW_PW*SUMIFS(TableVerdeelsleutelVkm[LPG],TableVerdeelsleutelVkm[Voertuigtype],"Lichte voertuigen")*SUMIFS(TableECFTransport[EnergieConsumptieFactor (PJ per km)],TableECFTransport[Index],CONCATENATE($A8,"_LPG_LPG"))</f>
        <v>1.5043107805557502E-4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3.7999506064587164E-2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1.5061283643799626E-2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3.1813506527109863E-3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7.3886795550543666E-3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1.7563766076985555E-6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4.2604743493991208E-4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41.493692224999997</v>
      </c>
      <c r="C14" s="21"/>
      <c r="D14" s="21">
        <f t="shared" ref="D14:M14" si="0">((D5)*10^9/3600)+D12</f>
        <v>169.16500074191669</v>
      </c>
      <c r="E14" s="21">
        <f t="shared" si="0"/>
        <v>129.98652989265975</v>
      </c>
      <c r="F14" s="21"/>
      <c r="G14" s="21">
        <f t="shared" si="0"/>
        <v>51194.622118025174</v>
      </c>
      <c r="H14" s="21">
        <f t="shared" si="0"/>
        <v>12589.440035064166</v>
      </c>
      <c r="I14" s="21"/>
      <c r="J14" s="21"/>
      <c r="K14" s="21"/>
      <c r="L14" s="21"/>
      <c r="M14" s="21">
        <f t="shared" si="0"/>
        <v>3779.3927494240666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0.20903551647351287</v>
      </c>
      <c r="C16" s="56">
        <f ca="1">'EF ele_warmte'!B22</f>
        <v>0.23746760760868027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8.6736553846458602</v>
      </c>
      <c r="C18" s="23"/>
      <c r="D18" s="23">
        <f t="shared" ref="D18:M18" si="1">D14*D16</f>
        <v>34.171330149867174</v>
      </c>
      <c r="E18" s="23">
        <f t="shared" si="1"/>
        <v>29.506942285633762</v>
      </c>
      <c r="F18" s="23"/>
      <c r="G18" s="23">
        <f t="shared" si="1"/>
        <v>13668.964105512723</v>
      </c>
      <c r="H18" s="23">
        <f t="shared" si="1"/>
        <v>3134.7705687309772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4.6272284569982575E-3</v>
      </c>
      <c r="H50" s="321">
        <f t="shared" si="2"/>
        <v>0</v>
      </c>
      <c r="I50" s="321">
        <f t="shared" si="2"/>
        <v>0</v>
      </c>
      <c r="J50" s="321">
        <f t="shared" si="2"/>
        <v>0</v>
      </c>
      <c r="K50" s="321">
        <f t="shared" si="2"/>
        <v>0</v>
      </c>
      <c r="L50" s="321">
        <f t="shared" si="2"/>
        <v>0</v>
      </c>
      <c r="M50" s="321">
        <f t="shared" si="2"/>
        <v>2.5718186961466656E-4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4.6272284569982575E-3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2.5718186961466656E-4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1285.3412380550717</v>
      </c>
      <c r="H54" s="21">
        <f t="shared" si="3"/>
        <v>0</v>
      </c>
      <c r="I54" s="21">
        <f t="shared" si="3"/>
        <v>0</v>
      </c>
      <c r="J54" s="21">
        <f t="shared" si="3"/>
        <v>0</v>
      </c>
      <c r="K54" s="21">
        <f t="shared" si="3"/>
        <v>0</v>
      </c>
      <c r="L54" s="21">
        <f t="shared" si="3"/>
        <v>0</v>
      </c>
      <c r="M54" s="21">
        <f t="shared" si="3"/>
        <v>71.439408226296266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0.20903551647351287</v>
      </c>
      <c r="C56" s="56">
        <f ca="1">'EF ele_warmte'!B22</f>
        <v>0.23746760760868027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343.18611056070415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13823.494371999999</v>
      </c>
      <c r="D10" s="712">
        <f ca="1">tertiair!C16</f>
        <v>0</v>
      </c>
      <c r="E10" s="712">
        <f ca="1">tertiair!D16</f>
        <v>12235.070040204002</v>
      </c>
      <c r="F10" s="712">
        <f>tertiair!E16</f>
        <v>173.05916247076584</v>
      </c>
      <c r="G10" s="712">
        <f ca="1">tertiair!F16</f>
        <v>1499.1405907497654</v>
      </c>
      <c r="H10" s="712">
        <f>tertiair!G16</f>
        <v>0</v>
      </c>
      <c r="I10" s="712">
        <f>tertiair!H16</f>
        <v>0</v>
      </c>
      <c r="J10" s="712">
        <f>tertiair!I16</f>
        <v>0</v>
      </c>
      <c r="K10" s="712">
        <f>tertiair!J16</f>
        <v>2.5855809618599124E-2</v>
      </c>
      <c r="L10" s="712">
        <f>tertiair!K16</f>
        <v>0</v>
      </c>
      <c r="M10" s="712">
        <f ca="1">tertiair!L16</f>
        <v>0</v>
      </c>
      <c r="N10" s="712">
        <f>tertiair!M16</f>
        <v>0</v>
      </c>
      <c r="O10" s="712">
        <f ca="1">tertiair!N16</f>
        <v>1019.9493865882051</v>
      </c>
      <c r="P10" s="712">
        <f>tertiair!O16</f>
        <v>14.691782297523464</v>
      </c>
      <c r="Q10" s="713">
        <f>tertiair!P16</f>
        <v>0</v>
      </c>
      <c r="R10" s="715">
        <f ca="1">SUM(C10:Q10)</f>
        <v>28765.431190119882</v>
      </c>
      <c r="S10" s="67"/>
    </row>
    <row r="11" spans="1:19" s="474" customFormat="1">
      <c r="A11" s="834" t="s">
        <v>224</v>
      </c>
      <c r="B11" s="839"/>
      <c r="C11" s="712">
        <f>huishoudens!B8</f>
        <v>26623.994302942807</v>
      </c>
      <c r="D11" s="712">
        <f>huishoudens!C8</f>
        <v>0</v>
      </c>
      <c r="E11" s="712">
        <f>huishoudens!D8</f>
        <v>63164.227909419998</v>
      </c>
      <c r="F11" s="712">
        <f>huishoudens!E8</f>
        <v>24440.554528374054</v>
      </c>
      <c r="G11" s="712">
        <f>huishoudens!F8</f>
        <v>9745.2184987986202</v>
      </c>
      <c r="H11" s="712">
        <f>huishoudens!G8</f>
        <v>0</v>
      </c>
      <c r="I11" s="712">
        <f>huishoudens!H8</f>
        <v>0</v>
      </c>
      <c r="J11" s="712">
        <f>huishoudens!I8</f>
        <v>0</v>
      </c>
      <c r="K11" s="712">
        <f>huishoudens!J8</f>
        <v>0</v>
      </c>
      <c r="L11" s="712">
        <f>huishoudens!K8</f>
        <v>0</v>
      </c>
      <c r="M11" s="712">
        <f>huishoudens!L8</f>
        <v>0</v>
      </c>
      <c r="N11" s="712">
        <f>huishoudens!M8</f>
        <v>0</v>
      </c>
      <c r="O11" s="712">
        <f>huishoudens!N8</f>
        <v>34498.892994745882</v>
      </c>
      <c r="P11" s="712">
        <f>huishoudens!O8</f>
        <v>380.91997812231011</v>
      </c>
      <c r="Q11" s="713">
        <f>huishoudens!P8</f>
        <v>684.70735499952639</v>
      </c>
      <c r="R11" s="715">
        <f>SUM(C11:Q11)</f>
        <v>159538.5155674032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26878.547438999998</v>
      </c>
      <c r="D13" s="712">
        <f>industrie!C18</f>
        <v>0</v>
      </c>
      <c r="E13" s="712">
        <f>industrie!D18</f>
        <v>26078.488441126003</v>
      </c>
      <c r="F13" s="712">
        <f>industrie!E18</f>
        <v>919.94945628167852</v>
      </c>
      <c r="G13" s="712">
        <f>industrie!F18</f>
        <v>4162.7248582952961</v>
      </c>
      <c r="H13" s="712">
        <f>industrie!G18</f>
        <v>0</v>
      </c>
      <c r="I13" s="712">
        <f>industrie!H18</f>
        <v>0</v>
      </c>
      <c r="J13" s="712">
        <f>industrie!I18</f>
        <v>0</v>
      </c>
      <c r="K13" s="712">
        <f>industrie!J18</f>
        <v>113.0320943308014</v>
      </c>
      <c r="L13" s="712">
        <f>industrie!K18</f>
        <v>0</v>
      </c>
      <c r="M13" s="712">
        <f>industrie!L18</f>
        <v>0</v>
      </c>
      <c r="N13" s="712">
        <f>industrie!M18</f>
        <v>0</v>
      </c>
      <c r="O13" s="712">
        <f>industrie!N18</f>
        <v>1488.2400838909687</v>
      </c>
      <c r="P13" s="712">
        <f>industrie!O18</f>
        <v>0</v>
      </c>
      <c r="Q13" s="713">
        <f>industrie!P18</f>
        <v>0</v>
      </c>
      <c r="R13" s="715">
        <f>SUM(C13:Q13)</f>
        <v>59640.982372924744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67326.036113942799</v>
      </c>
      <c r="D16" s="748">
        <f t="shared" ref="D16:R16" ca="1" si="0">SUM(D9:D15)</f>
        <v>0</v>
      </c>
      <c r="E16" s="748">
        <f t="shared" ca="1" si="0"/>
        <v>101477.78639075</v>
      </c>
      <c r="F16" s="748">
        <f t="shared" si="0"/>
        <v>25533.563147126501</v>
      </c>
      <c r="G16" s="748">
        <f t="shared" ca="1" si="0"/>
        <v>15407.083947843681</v>
      </c>
      <c r="H16" s="748">
        <f t="shared" si="0"/>
        <v>0</v>
      </c>
      <c r="I16" s="748">
        <f t="shared" si="0"/>
        <v>0</v>
      </c>
      <c r="J16" s="748">
        <f t="shared" si="0"/>
        <v>0</v>
      </c>
      <c r="K16" s="748">
        <f t="shared" si="0"/>
        <v>113.05795014042</v>
      </c>
      <c r="L16" s="748">
        <f t="shared" si="0"/>
        <v>0</v>
      </c>
      <c r="M16" s="748">
        <f t="shared" ca="1" si="0"/>
        <v>0</v>
      </c>
      <c r="N16" s="748">
        <f t="shared" si="0"/>
        <v>0</v>
      </c>
      <c r="O16" s="748">
        <f t="shared" ca="1" si="0"/>
        <v>37007.082465225052</v>
      </c>
      <c r="P16" s="748">
        <f t="shared" si="0"/>
        <v>395.61176041983356</v>
      </c>
      <c r="Q16" s="748">
        <f t="shared" si="0"/>
        <v>684.70735499952639</v>
      </c>
      <c r="R16" s="748">
        <f t="shared" ca="1" si="0"/>
        <v>247944.92913044782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1285.3412380550717</v>
      </c>
      <c r="I19" s="712">
        <f>transport!H54</f>
        <v>0</v>
      </c>
      <c r="J19" s="712">
        <f>transport!I54</f>
        <v>0</v>
      </c>
      <c r="K19" s="712">
        <f>transport!J54</f>
        <v>0</v>
      </c>
      <c r="L19" s="712">
        <f>transport!K54</f>
        <v>0</v>
      </c>
      <c r="M19" s="712">
        <f>transport!L54</f>
        <v>0</v>
      </c>
      <c r="N19" s="712">
        <f>transport!M54</f>
        <v>71.439408226296266</v>
      </c>
      <c r="O19" s="712">
        <f>transport!N54</f>
        <v>0</v>
      </c>
      <c r="P19" s="712">
        <f>transport!O54</f>
        <v>0</v>
      </c>
      <c r="Q19" s="713">
        <f>transport!P54</f>
        <v>0</v>
      </c>
      <c r="R19" s="715">
        <f>SUM(C19:Q19)</f>
        <v>1356.780646281368</v>
      </c>
      <c r="S19" s="67"/>
    </row>
    <row r="20" spans="1:19" s="474" customFormat="1">
      <c r="A20" s="834" t="s">
        <v>306</v>
      </c>
      <c r="B20" s="839"/>
      <c r="C20" s="712">
        <f>transport!B14</f>
        <v>41.493692224999997</v>
      </c>
      <c r="D20" s="712">
        <f>transport!C14</f>
        <v>0</v>
      </c>
      <c r="E20" s="712">
        <f>transport!D14</f>
        <v>169.16500074191669</v>
      </c>
      <c r="F20" s="712">
        <f>transport!E14</f>
        <v>129.98652989265975</v>
      </c>
      <c r="G20" s="712">
        <f>transport!F14</f>
        <v>0</v>
      </c>
      <c r="H20" s="712">
        <f>transport!G14</f>
        <v>51194.622118025174</v>
      </c>
      <c r="I20" s="712">
        <f>transport!H14</f>
        <v>12589.440035064166</v>
      </c>
      <c r="J20" s="712">
        <f>transport!I14</f>
        <v>0</v>
      </c>
      <c r="K20" s="712">
        <f>transport!J14</f>
        <v>0</v>
      </c>
      <c r="L20" s="712">
        <f>transport!K14</f>
        <v>0</v>
      </c>
      <c r="M20" s="712">
        <f>transport!L14</f>
        <v>0</v>
      </c>
      <c r="N20" s="712">
        <f>transport!M14</f>
        <v>3779.3927494240666</v>
      </c>
      <c r="O20" s="712">
        <f>transport!N14</f>
        <v>0</v>
      </c>
      <c r="P20" s="712">
        <f>transport!O14</f>
        <v>0</v>
      </c>
      <c r="Q20" s="713">
        <f>transport!P14</f>
        <v>0</v>
      </c>
      <c r="R20" s="715">
        <f>SUM(C20:Q20)</f>
        <v>67904.100125372977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41.493692224999997</v>
      </c>
      <c r="D22" s="837">
        <f t="shared" ref="D22:R22" si="1">SUM(D18:D21)</f>
        <v>0</v>
      </c>
      <c r="E22" s="837">
        <f t="shared" si="1"/>
        <v>169.16500074191669</v>
      </c>
      <c r="F22" s="837">
        <f t="shared" si="1"/>
        <v>129.98652989265975</v>
      </c>
      <c r="G22" s="837">
        <f t="shared" si="1"/>
        <v>0</v>
      </c>
      <c r="H22" s="837">
        <f t="shared" si="1"/>
        <v>52479.963356080247</v>
      </c>
      <c r="I22" s="837">
        <f t="shared" si="1"/>
        <v>12589.440035064166</v>
      </c>
      <c r="J22" s="837">
        <f t="shared" si="1"/>
        <v>0</v>
      </c>
      <c r="K22" s="837">
        <f t="shared" si="1"/>
        <v>0</v>
      </c>
      <c r="L22" s="837">
        <f t="shared" si="1"/>
        <v>0</v>
      </c>
      <c r="M22" s="837">
        <f t="shared" si="1"/>
        <v>0</v>
      </c>
      <c r="N22" s="837">
        <f t="shared" si="1"/>
        <v>3850.8321576503627</v>
      </c>
      <c r="O22" s="837">
        <f t="shared" si="1"/>
        <v>0</v>
      </c>
      <c r="P22" s="837">
        <f t="shared" si="1"/>
        <v>0</v>
      </c>
      <c r="Q22" s="837">
        <f t="shared" si="1"/>
        <v>0</v>
      </c>
      <c r="R22" s="837">
        <f t="shared" si="1"/>
        <v>69260.880771654352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10997.674800999999</v>
      </c>
      <c r="D24" s="712">
        <f>+landbouw!C8</f>
        <v>82579.5</v>
      </c>
      <c r="E24" s="712">
        <f>+landbouw!D8</f>
        <v>153.65553763025673</v>
      </c>
      <c r="F24" s="712">
        <f>+landbouw!E8</f>
        <v>343.23380395346481</v>
      </c>
      <c r="G24" s="712">
        <f>+landbouw!F8</f>
        <v>38867.001036283873</v>
      </c>
      <c r="H24" s="712">
        <f>+landbouw!G8</f>
        <v>0</v>
      </c>
      <c r="I24" s="712">
        <f>+landbouw!H8</f>
        <v>0</v>
      </c>
      <c r="J24" s="712">
        <f>+landbouw!I8</f>
        <v>0</v>
      </c>
      <c r="K24" s="712">
        <f>+landbouw!J8</f>
        <v>3029.9356758818344</v>
      </c>
      <c r="L24" s="712">
        <f>+landbouw!K8</f>
        <v>0</v>
      </c>
      <c r="M24" s="712">
        <f>+landbouw!L8</f>
        <v>0</v>
      </c>
      <c r="N24" s="712">
        <f>+landbouw!M8</f>
        <v>0</v>
      </c>
      <c r="O24" s="712">
        <f>+landbouw!N8</f>
        <v>0</v>
      </c>
      <c r="P24" s="712">
        <f>+landbouw!O8</f>
        <v>0</v>
      </c>
      <c r="Q24" s="713">
        <f>+landbouw!P8</f>
        <v>0</v>
      </c>
      <c r="R24" s="715">
        <f>SUM(C24:Q24)</f>
        <v>135971.00085474944</v>
      </c>
      <c r="S24" s="67"/>
    </row>
    <row r="25" spans="1:19" s="474" customFormat="1" ht="15" thickBot="1">
      <c r="A25" s="856" t="s">
        <v>734</v>
      </c>
      <c r="B25" s="982"/>
      <c r="C25" s="983">
        <f>IF(Onbekend_ele_kWh="---",0,Onbekend_ele_kWh)/1000+IF(REST_rest_ele_kWh="---",0,REST_rest_ele_kWh)/1000</f>
        <v>761.19424199999992</v>
      </c>
      <c r="D25" s="983"/>
      <c r="E25" s="983">
        <f>IF(onbekend_gas_kWh="---",0,onbekend_gas_kWh)/1000+IF(REST_rest_gas_kWh="---",0,REST_rest_gas_kWh)/1000</f>
        <v>1684.5943239999999</v>
      </c>
      <c r="F25" s="983"/>
      <c r="G25" s="983"/>
      <c r="H25" s="983"/>
      <c r="I25" s="983"/>
      <c r="J25" s="983"/>
      <c r="K25" s="983"/>
      <c r="L25" s="983"/>
      <c r="M25" s="983"/>
      <c r="N25" s="983"/>
      <c r="O25" s="983"/>
      <c r="P25" s="983"/>
      <c r="Q25" s="984"/>
      <c r="R25" s="715">
        <f>SUM(C25:Q25)</f>
        <v>2445.7885659999997</v>
      </c>
      <c r="S25" s="67"/>
    </row>
    <row r="26" spans="1:19" s="474" customFormat="1" ht="15.75" thickBot="1">
      <c r="A26" s="720" t="s">
        <v>735</v>
      </c>
      <c r="B26" s="842"/>
      <c r="C26" s="837">
        <f>SUM(C24:C25)</f>
        <v>11758.869042999999</v>
      </c>
      <c r="D26" s="837">
        <f t="shared" ref="D26:R26" si="2">SUM(D24:D25)</f>
        <v>82579.5</v>
      </c>
      <c r="E26" s="837">
        <f t="shared" si="2"/>
        <v>1838.2498616302566</v>
      </c>
      <c r="F26" s="837">
        <f t="shared" si="2"/>
        <v>343.23380395346481</v>
      </c>
      <c r="G26" s="837">
        <f t="shared" si="2"/>
        <v>38867.001036283873</v>
      </c>
      <c r="H26" s="837">
        <f t="shared" si="2"/>
        <v>0</v>
      </c>
      <c r="I26" s="837">
        <f t="shared" si="2"/>
        <v>0</v>
      </c>
      <c r="J26" s="837">
        <f t="shared" si="2"/>
        <v>0</v>
      </c>
      <c r="K26" s="837">
        <f t="shared" si="2"/>
        <v>3029.9356758818344</v>
      </c>
      <c r="L26" s="837">
        <f t="shared" si="2"/>
        <v>0</v>
      </c>
      <c r="M26" s="837">
        <f t="shared" si="2"/>
        <v>0</v>
      </c>
      <c r="N26" s="837">
        <f t="shared" si="2"/>
        <v>0</v>
      </c>
      <c r="O26" s="837">
        <f t="shared" si="2"/>
        <v>0</v>
      </c>
      <c r="P26" s="837">
        <f t="shared" si="2"/>
        <v>0</v>
      </c>
      <c r="Q26" s="837">
        <f t="shared" si="2"/>
        <v>0</v>
      </c>
      <c r="R26" s="837">
        <f t="shared" si="2"/>
        <v>138416.78942074944</v>
      </c>
      <c r="S26" s="67"/>
    </row>
    <row r="27" spans="1:19" s="474" customFormat="1" ht="17.25" thickTop="1" thickBot="1">
      <c r="A27" s="721" t="s">
        <v>115</v>
      </c>
      <c r="B27" s="829"/>
      <c r="C27" s="722">
        <f ca="1">C22+C16+C26</f>
        <v>79126.398849167803</v>
      </c>
      <c r="D27" s="722">
        <f t="shared" ref="D27:R27" ca="1" si="3">D22+D16+D26</f>
        <v>82579.5</v>
      </c>
      <c r="E27" s="722">
        <f t="shared" ca="1" si="3"/>
        <v>103485.20125312218</v>
      </c>
      <c r="F27" s="722">
        <f t="shared" si="3"/>
        <v>26006.783480972626</v>
      </c>
      <c r="G27" s="722">
        <f t="shared" ca="1" si="3"/>
        <v>54274.084984127556</v>
      </c>
      <c r="H27" s="722">
        <f t="shared" si="3"/>
        <v>52479.963356080247</v>
      </c>
      <c r="I27" s="722">
        <f t="shared" si="3"/>
        <v>12589.440035064166</v>
      </c>
      <c r="J27" s="722">
        <f t="shared" si="3"/>
        <v>0</v>
      </c>
      <c r="K27" s="722">
        <f t="shared" si="3"/>
        <v>3142.9936260222544</v>
      </c>
      <c r="L27" s="722">
        <f t="shared" si="3"/>
        <v>0</v>
      </c>
      <c r="M27" s="722">
        <f t="shared" ca="1" si="3"/>
        <v>0</v>
      </c>
      <c r="N27" s="722">
        <f t="shared" si="3"/>
        <v>3850.8321576503627</v>
      </c>
      <c r="O27" s="722">
        <f t="shared" ca="1" si="3"/>
        <v>37007.082465225052</v>
      </c>
      <c r="P27" s="722">
        <f t="shared" si="3"/>
        <v>395.61176041983356</v>
      </c>
      <c r="Q27" s="722">
        <f t="shared" si="3"/>
        <v>684.70735499952639</v>
      </c>
      <c r="R27" s="722">
        <f t="shared" ca="1" si="3"/>
        <v>455622.59932285163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2889.6012855197187</v>
      </c>
      <c r="D40" s="712">
        <f ca="1">tertiair!C20</f>
        <v>0</v>
      </c>
      <c r="E40" s="712">
        <f ca="1">tertiair!D20</f>
        <v>2471.4841481212084</v>
      </c>
      <c r="F40" s="712">
        <f>tertiair!E20</f>
        <v>39.284429880863847</v>
      </c>
      <c r="G40" s="712">
        <f ca="1">tertiair!F20</f>
        <v>400.27053773018736</v>
      </c>
      <c r="H40" s="712">
        <f>tertiair!G20</f>
        <v>0</v>
      </c>
      <c r="I40" s="712">
        <f>tertiair!H20</f>
        <v>0</v>
      </c>
      <c r="J40" s="712">
        <f>tertiair!I20</f>
        <v>0</v>
      </c>
      <c r="K40" s="712">
        <f>tertiair!J20</f>
        <v>9.1529566049840892E-3</v>
      </c>
      <c r="L40" s="712">
        <f>tertiair!K20</f>
        <v>0</v>
      </c>
      <c r="M40" s="712">
        <f ca="1">tertiair!L20</f>
        <v>0</v>
      </c>
      <c r="N40" s="712">
        <f>tertiair!M20</f>
        <v>0</v>
      </c>
      <c r="O40" s="712">
        <f ca="1">tertiair!N20</f>
        <v>0</v>
      </c>
      <c r="P40" s="712">
        <f>tertiair!O20</f>
        <v>0</v>
      </c>
      <c r="Q40" s="795">
        <f>tertiair!P20</f>
        <v>0</v>
      </c>
      <c r="R40" s="875">
        <f t="shared" ca="1" si="4"/>
        <v>5800.6495542085831</v>
      </c>
    </row>
    <row r="41" spans="1:18">
      <c r="A41" s="847" t="s">
        <v>224</v>
      </c>
      <c r="B41" s="854"/>
      <c r="C41" s="712">
        <f ca="1">huishoudens!B12</f>
        <v>5565.3603997035143</v>
      </c>
      <c r="D41" s="712">
        <f ca="1">huishoudens!C12</f>
        <v>0</v>
      </c>
      <c r="E41" s="712">
        <f>huishoudens!D12</f>
        <v>12759.17403770284</v>
      </c>
      <c r="F41" s="712">
        <f>huishoudens!E12</f>
        <v>5548.0058779409101</v>
      </c>
      <c r="G41" s="712">
        <f>huishoudens!F12</f>
        <v>2601.9733391792315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26474.513654526498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5618.5710459691809</v>
      </c>
      <c r="D43" s="712">
        <f ca="1">industrie!C22</f>
        <v>0</v>
      </c>
      <c r="E43" s="712">
        <f>industrie!D22</f>
        <v>5267.854665107453</v>
      </c>
      <c r="F43" s="712">
        <f>industrie!E22</f>
        <v>208.82852657594103</v>
      </c>
      <c r="G43" s="712">
        <f>industrie!F22</f>
        <v>1111.4475371648441</v>
      </c>
      <c r="H43" s="712">
        <f>industrie!G22</f>
        <v>0</v>
      </c>
      <c r="I43" s="712">
        <f>industrie!H22</f>
        <v>0</v>
      </c>
      <c r="J43" s="712">
        <f>industrie!I22</f>
        <v>0</v>
      </c>
      <c r="K43" s="712">
        <f>industrie!J22</f>
        <v>40.013361393103693</v>
      </c>
      <c r="L43" s="712">
        <f>industrie!K22</f>
        <v>0</v>
      </c>
      <c r="M43" s="712">
        <f>industrie!L22</f>
        <v>0</v>
      </c>
      <c r="N43" s="712">
        <f>industrie!M22</f>
        <v>0</v>
      </c>
      <c r="O43" s="712">
        <f>industrie!N22</f>
        <v>0</v>
      </c>
      <c r="P43" s="712">
        <f>industrie!O22</f>
        <v>0</v>
      </c>
      <c r="Q43" s="795">
        <f>industrie!P22</f>
        <v>0</v>
      </c>
      <c r="R43" s="874">
        <f t="shared" ca="1" si="4"/>
        <v>12246.715136210521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14073.532731192412</v>
      </c>
      <c r="D46" s="748">
        <f t="shared" ref="D46:Q46" ca="1" si="5">SUM(D39:D45)</f>
        <v>0</v>
      </c>
      <c r="E46" s="748">
        <f t="shared" ca="1" si="5"/>
        <v>20498.5128509315</v>
      </c>
      <c r="F46" s="748">
        <f t="shared" si="5"/>
        <v>5796.1188343977155</v>
      </c>
      <c r="G46" s="748">
        <f t="shared" ca="1" si="5"/>
        <v>4113.6914140742629</v>
      </c>
      <c r="H46" s="748">
        <f t="shared" si="5"/>
        <v>0</v>
      </c>
      <c r="I46" s="748">
        <f t="shared" si="5"/>
        <v>0</v>
      </c>
      <c r="J46" s="748">
        <f t="shared" si="5"/>
        <v>0</v>
      </c>
      <c r="K46" s="748">
        <f t="shared" si="5"/>
        <v>40.022514349708679</v>
      </c>
      <c r="L46" s="748">
        <f t="shared" si="5"/>
        <v>0</v>
      </c>
      <c r="M46" s="748">
        <f t="shared" ca="1" si="5"/>
        <v>0</v>
      </c>
      <c r="N46" s="748">
        <f t="shared" si="5"/>
        <v>0</v>
      </c>
      <c r="O46" s="748">
        <f t="shared" ca="1" si="5"/>
        <v>0</v>
      </c>
      <c r="P46" s="748">
        <f t="shared" si="5"/>
        <v>0</v>
      </c>
      <c r="Q46" s="748">
        <f t="shared" si="5"/>
        <v>0</v>
      </c>
      <c r="R46" s="748">
        <f ca="1">SUM(R39:R45)</f>
        <v>44521.878344945602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343.18611056070415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343.18611056070415</v>
      </c>
    </row>
    <row r="50" spans="1:18">
      <c r="A50" s="850" t="s">
        <v>306</v>
      </c>
      <c r="B50" s="860"/>
      <c r="C50" s="718">
        <f ca="1">transport!B18</f>
        <v>8.6736553846458602</v>
      </c>
      <c r="D50" s="718">
        <f>transport!C18</f>
        <v>0</v>
      </c>
      <c r="E50" s="718">
        <f>transport!D18</f>
        <v>34.171330149867174</v>
      </c>
      <c r="F50" s="718">
        <f>transport!E18</f>
        <v>29.506942285633762</v>
      </c>
      <c r="G50" s="718">
        <f>transport!F18</f>
        <v>0</v>
      </c>
      <c r="H50" s="718">
        <f>transport!G18</f>
        <v>13668.964105512723</v>
      </c>
      <c r="I50" s="718">
        <f>transport!H18</f>
        <v>3134.7705687309772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16876.08660206385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8.6736553846458602</v>
      </c>
      <c r="D52" s="748">
        <f t="shared" ref="D52:Q52" ca="1" si="6">SUM(D48:D51)</f>
        <v>0</v>
      </c>
      <c r="E52" s="748">
        <f t="shared" si="6"/>
        <v>34.171330149867174</v>
      </c>
      <c r="F52" s="748">
        <f t="shared" si="6"/>
        <v>29.506942285633762</v>
      </c>
      <c r="G52" s="748">
        <f t="shared" si="6"/>
        <v>0</v>
      </c>
      <c r="H52" s="748">
        <f t="shared" si="6"/>
        <v>14012.150216073427</v>
      </c>
      <c r="I52" s="748">
        <f t="shared" si="6"/>
        <v>3134.7705687309772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17219.272712624555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2298.9046320347729</v>
      </c>
      <c r="D54" s="718">
        <f ca="1">+landbouw!C12</f>
        <v>19609.956302521012</v>
      </c>
      <c r="E54" s="718">
        <f>+landbouw!D12</f>
        <v>31.038418601311861</v>
      </c>
      <c r="F54" s="718">
        <f>+landbouw!E12</f>
        <v>77.914073497436519</v>
      </c>
      <c r="G54" s="718">
        <f>+landbouw!F12</f>
        <v>10377.489276687795</v>
      </c>
      <c r="H54" s="718">
        <f>+landbouw!G12</f>
        <v>0</v>
      </c>
      <c r="I54" s="718">
        <f>+landbouw!H12</f>
        <v>0</v>
      </c>
      <c r="J54" s="718">
        <f>+landbouw!I12</f>
        <v>0</v>
      </c>
      <c r="K54" s="718">
        <f>+landbouw!J12</f>
        <v>1072.5972292621693</v>
      </c>
      <c r="L54" s="718">
        <f>+landbouw!K12</f>
        <v>0</v>
      </c>
      <c r="M54" s="718">
        <f>+landbouw!L12</f>
        <v>0</v>
      </c>
      <c r="N54" s="718">
        <f>+landbouw!M12</f>
        <v>0</v>
      </c>
      <c r="O54" s="718">
        <f>+landbouw!N12</f>
        <v>0</v>
      </c>
      <c r="P54" s="718">
        <f>+landbouw!O12</f>
        <v>0</v>
      </c>
      <c r="Q54" s="719">
        <f>+landbouw!P12</f>
        <v>0</v>
      </c>
      <c r="R54" s="747">
        <f ca="1">SUM(C54:Q54)</f>
        <v>33467.899932604494</v>
      </c>
    </row>
    <row r="55" spans="1:18" ht="15" thickBot="1">
      <c r="A55" s="850" t="s">
        <v>734</v>
      </c>
      <c r="B55" s="860"/>
      <c r="C55" s="718">
        <f ca="1">C25*'EF ele_warmte'!B12</f>
        <v>159.11663151313414</v>
      </c>
      <c r="D55" s="718"/>
      <c r="E55" s="718">
        <f>E25*EF_CO2_aardgas</f>
        <v>340.28805344800003</v>
      </c>
      <c r="F55" s="718"/>
      <c r="G55" s="718"/>
      <c r="H55" s="718"/>
      <c r="I55" s="718"/>
      <c r="J55" s="718"/>
      <c r="K55" s="718"/>
      <c r="L55" s="718"/>
      <c r="M55" s="718"/>
      <c r="N55" s="718"/>
      <c r="O55" s="718"/>
      <c r="P55" s="718"/>
      <c r="Q55" s="719"/>
      <c r="R55" s="747">
        <f ca="1">SUM(C55:Q55)</f>
        <v>499.40468496113419</v>
      </c>
    </row>
    <row r="56" spans="1:18" ht="15.75" thickBot="1">
      <c r="A56" s="848" t="s">
        <v>735</v>
      </c>
      <c r="B56" s="861"/>
      <c r="C56" s="748">
        <f ca="1">SUM(C54:C55)</f>
        <v>2458.021263547907</v>
      </c>
      <c r="D56" s="748">
        <f t="shared" ref="D56:Q56" ca="1" si="7">SUM(D54:D55)</f>
        <v>19609.956302521012</v>
      </c>
      <c r="E56" s="748">
        <f t="shared" si="7"/>
        <v>371.32647204931186</v>
      </c>
      <c r="F56" s="748">
        <f t="shared" si="7"/>
        <v>77.914073497436519</v>
      </c>
      <c r="G56" s="748">
        <f t="shared" si="7"/>
        <v>10377.489276687795</v>
      </c>
      <c r="H56" s="748">
        <f t="shared" si="7"/>
        <v>0</v>
      </c>
      <c r="I56" s="748">
        <f t="shared" si="7"/>
        <v>0</v>
      </c>
      <c r="J56" s="748">
        <f t="shared" si="7"/>
        <v>0</v>
      </c>
      <c r="K56" s="748">
        <f t="shared" si="7"/>
        <v>1072.5972292621693</v>
      </c>
      <c r="L56" s="748">
        <f t="shared" si="7"/>
        <v>0</v>
      </c>
      <c r="M56" s="748">
        <f t="shared" si="7"/>
        <v>0</v>
      </c>
      <c r="N56" s="748">
        <f t="shared" si="7"/>
        <v>0</v>
      </c>
      <c r="O56" s="748">
        <f t="shared" si="7"/>
        <v>0</v>
      </c>
      <c r="P56" s="748">
        <f t="shared" si="7"/>
        <v>0</v>
      </c>
      <c r="Q56" s="749">
        <f t="shared" si="7"/>
        <v>0</v>
      </c>
      <c r="R56" s="750">
        <f ca="1">SUM(R54:R55)</f>
        <v>33967.304617565627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16540.227650124965</v>
      </c>
      <c r="D61" s="756">
        <f t="shared" ref="D61:Q61" ca="1" si="8">D46+D52+D56</f>
        <v>19609.956302521012</v>
      </c>
      <c r="E61" s="756">
        <f t="shared" ca="1" si="8"/>
        <v>20904.010653130681</v>
      </c>
      <c r="F61" s="756">
        <f t="shared" si="8"/>
        <v>5903.5398501807858</v>
      </c>
      <c r="G61" s="756">
        <f t="shared" ca="1" si="8"/>
        <v>14491.180690762058</v>
      </c>
      <c r="H61" s="756">
        <f t="shared" si="8"/>
        <v>14012.150216073427</v>
      </c>
      <c r="I61" s="756">
        <f t="shared" si="8"/>
        <v>3134.7705687309772</v>
      </c>
      <c r="J61" s="756">
        <f t="shared" si="8"/>
        <v>0</v>
      </c>
      <c r="K61" s="756">
        <f t="shared" si="8"/>
        <v>1112.619743611878</v>
      </c>
      <c r="L61" s="756">
        <f t="shared" si="8"/>
        <v>0</v>
      </c>
      <c r="M61" s="756">
        <f t="shared" ca="1" si="8"/>
        <v>0</v>
      </c>
      <c r="N61" s="756">
        <f t="shared" si="8"/>
        <v>0</v>
      </c>
      <c r="O61" s="756">
        <f t="shared" ca="1" si="8"/>
        <v>0</v>
      </c>
      <c r="P61" s="756">
        <f t="shared" si="8"/>
        <v>0</v>
      </c>
      <c r="Q61" s="756">
        <f t="shared" si="8"/>
        <v>0</v>
      </c>
      <c r="R61" s="756">
        <f ca="1">R46+R52+R56</f>
        <v>95708.455675135774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0.20903551647351287</v>
      </c>
      <c r="D63" s="802">
        <f t="shared" ca="1" si="9"/>
        <v>0.23746760760868027</v>
      </c>
      <c r="E63" s="1008">
        <f t="shared" ca="1" si="9"/>
        <v>0.20199999999999999</v>
      </c>
      <c r="F63" s="802">
        <f t="shared" si="9"/>
        <v>0.22699999999999998</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8591.0735624697954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43.65</v>
      </c>
      <c r="C76" s="769">
        <f>'lokale energieproductie'!B8*IFERROR(SUM(D76:H76)/SUM(D76:O76),0)</f>
        <v>57761.999999999993</v>
      </c>
      <c r="D76" s="991">
        <f>'lokale energieproductie'!C8</f>
        <v>67955.294117647063</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13726.969411764707</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8634.7235624697951</v>
      </c>
      <c r="C78" s="774">
        <f>SUM(C72:C77)</f>
        <v>57761.999999999993</v>
      </c>
      <c r="D78" s="775">
        <f t="shared" ref="D78:H78" si="10">SUM(D76:D77)</f>
        <v>67955.294117647063</v>
      </c>
      <c r="E78" s="775">
        <f t="shared" si="10"/>
        <v>0</v>
      </c>
      <c r="F78" s="775">
        <f t="shared" si="10"/>
        <v>0</v>
      </c>
      <c r="G78" s="775">
        <f t="shared" si="10"/>
        <v>0</v>
      </c>
      <c r="H78" s="775">
        <f t="shared" si="10"/>
        <v>0</v>
      </c>
      <c r="I78" s="775">
        <f>SUM(I76:I77)</f>
        <v>0</v>
      </c>
      <c r="J78" s="775">
        <f>SUM(J76:J77)</f>
        <v>51.352941176470587</v>
      </c>
      <c r="K78" s="775">
        <f t="shared" ref="K78:L78" si="11">SUM(K76:K77)</f>
        <v>0</v>
      </c>
      <c r="L78" s="775">
        <f t="shared" si="11"/>
        <v>0</v>
      </c>
      <c r="M78" s="775">
        <f>SUM(M76:M77)</f>
        <v>0</v>
      </c>
      <c r="N78" s="775">
        <f>SUM(N76:N77)</f>
        <v>0</v>
      </c>
      <c r="O78" s="885">
        <f>SUM(O76:O77)</f>
        <v>0</v>
      </c>
      <c r="P78" s="776">
        <v>0</v>
      </c>
      <c r="Q78" s="776">
        <f>SUM(Q76:Q77)</f>
        <v>13726.969411764707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v>
      </c>
      <c r="C87" s="787">
        <f>'lokale energieproductie'!B17*IFERROR(SUM(D87:H87)/SUM(D87:O87),0)</f>
        <v>82517.142857142855</v>
      </c>
      <c r="D87" s="798">
        <f>'lokale energieproductie'!C17</f>
        <v>97078.991596638662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19609.956302521012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v>
      </c>
      <c r="C90" s="774">
        <f>SUM(C87:C89)</f>
        <v>82517.142857142855</v>
      </c>
      <c r="D90" s="774">
        <f t="shared" ref="D90:H90" si="12">SUM(D87:D89)</f>
        <v>97078.991596638662</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19609.956302521012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8591.0735624697954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57805.65</v>
      </c>
      <c r="C8" s="574">
        <f>B101</f>
        <v>67955.294117647063</v>
      </c>
      <c r="D8" s="575"/>
      <c r="E8" s="575">
        <f>E101</f>
        <v>0</v>
      </c>
      <c r="F8" s="576"/>
      <c r="G8" s="577"/>
      <c r="H8" s="575">
        <f>I101</f>
        <v>0</v>
      </c>
      <c r="I8" s="575">
        <f>G101+F101</f>
        <v>0</v>
      </c>
      <c r="J8" s="575">
        <f>H101+D101+C101</f>
        <v>51.352941176470587</v>
      </c>
      <c r="K8" s="575"/>
      <c r="L8" s="575"/>
      <c r="M8" s="575"/>
      <c r="N8" s="578"/>
      <c r="O8" s="579">
        <f>C8*$C$12+D8*$D$12+E8*$E$12+F8*$F$12+G8*$G$12+H8*$H$12+I8*$I$12+J8*$J$12</f>
        <v>13726.969411764707</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66396.723562469793</v>
      </c>
      <c r="C10" s="589">
        <f t="shared" ref="C10:L10" si="0">SUM(C8:C9)</f>
        <v>67955.294117647063</v>
      </c>
      <c r="D10" s="589">
        <f t="shared" si="0"/>
        <v>0</v>
      </c>
      <c r="E10" s="589">
        <f t="shared" si="0"/>
        <v>0</v>
      </c>
      <c r="F10" s="589">
        <f t="shared" si="0"/>
        <v>0</v>
      </c>
      <c r="G10" s="589">
        <f t="shared" si="0"/>
        <v>0</v>
      </c>
      <c r="H10" s="589">
        <f t="shared" si="0"/>
        <v>0</v>
      </c>
      <c r="I10" s="589">
        <f t="shared" si="0"/>
        <v>0</v>
      </c>
      <c r="J10" s="589">
        <f t="shared" si="0"/>
        <v>51.352941176470587</v>
      </c>
      <c r="K10" s="589">
        <f t="shared" si="0"/>
        <v>0</v>
      </c>
      <c r="L10" s="589">
        <f t="shared" si="0"/>
        <v>0</v>
      </c>
      <c r="M10" s="1004"/>
      <c r="N10" s="1004"/>
      <c r="O10" s="590">
        <f>SUM(O4:O9)</f>
        <v>13726.969411764707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82579.5</v>
      </c>
      <c r="C17" s="605">
        <f>B102</f>
        <v>97078.991596638662</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19609.956302521012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82579.5</v>
      </c>
      <c r="C20" s="588">
        <f>SUM(C17:C19)</f>
        <v>97078.991596638662</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19609.956302521012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13035</v>
      </c>
      <c r="C28" s="817">
        <v>2381</v>
      </c>
      <c r="D28" s="666" t="s">
        <v>886</v>
      </c>
      <c r="E28" s="665" t="s">
        <v>887</v>
      </c>
      <c r="F28" s="665" t="s">
        <v>888</v>
      </c>
      <c r="G28" s="665" t="s">
        <v>889</v>
      </c>
      <c r="H28" s="665" t="s">
        <v>890</v>
      </c>
      <c r="I28" s="665" t="s">
        <v>887</v>
      </c>
      <c r="J28" s="816">
        <v>40388</v>
      </c>
      <c r="K28" s="816">
        <v>39083</v>
      </c>
      <c r="L28" s="665" t="s">
        <v>891</v>
      </c>
      <c r="M28" s="665">
        <v>5024</v>
      </c>
      <c r="N28" s="665">
        <v>22608</v>
      </c>
      <c r="O28" s="665">
        <v>32297.142857142859</v>
      </c>
      <c r="P28" s="665">
        <v>64594.285714285717</v>
      </c>
      <c r="Q28" s="665">
        <v>0</v>
      </c>
      <c r="R28" s="665">
        <v>0</v>
      </c>
      <c r="S28" s="665">
        <v>0</v>
      </c>
      <c r="T28" s="665">
        <v>0</v>
      </c>
      <c r="U28" s="665">
        <v>0</v>
      </c>
      <c r="V28" s="665">
        <v>0</v>
      </c>
      <c r="W28" s="665">
        <v>0</v>
      </c>
      <c r="X28" s="665">
        <v>10</v>
      </c>
      <c r="Y28" s="665" t="s">
        <v>111</v>
      </c>
      <c r="Z28" s="667" t="s">
        <v>111</v>
      </c>
    </row>
    <row r="29" spans="1:26" s="619" customFormat="1" ht="25.5">
      <c r="A29" s="618"/>
      <c r="B29" s="817">
        <v>13035</v>
      </c>
      <c r="C29" s="817">
        <v>2382</v>
      </c>
      <c r="D29" s="666" t="s">
        <v>892</v>
      </c>
      <c r="E29" s="665" t="s">
        <v>893</v>
      </c>
      <c r="F29" s="665" t="s">
        <v>894</v>
      </c>
      <c r="G29" s="665" t="s">
        <v>889</v>
      </c>
      <c r="H29" s="665" t="s">
        <v>890</v>
      </c>
      <c r="I29" s="665" t="s">
        <v>893</v>
      </c>
      <c r="J29" s="816">
        <v>40162</v>
      </c>
      <c r="K29" s="816">
        <v>40163</v>
      </c>
      <c r="L29" s="665" t="s">
        <v>891</v>
      </c>
      <c r="M29" s="665">
        <v>2014</v>
      </c>
      <c r="N29" s="665">
        <v>9062.9999999999982</v>
      </c>
      <c r="O29" s="665">
        <v>12947.142857142855</v>
      </c>
      <c r="P29" s="665">
        <v>25894.28571428571</v>
      </c>
      <c r="Q29" s="665">
        <v>0</v>
      </c>
      <c r="R29" s="665">
        <v>0</v>
      </c>
      <c r="S29" s="665">
        <v>0</v>
      </c>
      <c r="T29" s="665">
        <v>0</v>
      </c>
      <c r="U29" s="665">
        <v>0</v>
      </c>
      <c r="V29" s="665">
        <v>0</v>
      </c>
      <c r="W29" s="665">
        <v>0</v>
      </c>
      <c r="X29" s="665">
        <v>10</v>
      </c>
      <c r="Y29" s="665" t="s">
        <v>111</v>
      </c>
      <c r="Z29" s="667" t="s">
        <v>111</v>
      </c>
    </row>
    <row r="30" spans="1:26" s="619" customFormat="1" ht="25.5">
      <c r="A30" s="618"/>
      <c r="B30" s="817">
        <v>13035</v>
      </c>
      <c r="C30" s="817">
        <v>2380</v>
      </c>
      <c r="D30" s="666" t="s">
        <v>895</v>
      </c>
      <c r="E30" s="665" t="s">
        <v>896</v>
      </c>
      <c r="F30" s="665" t="s">
        <v>897</v>
      </c>
      <c r="G30" s="665" t="s">
        <v>889</v>
      </c>
      <c r="H30" s="665" t="s">
        <v>890</v>
      </c>
      <c r="I30" s="665" t="s">
        <v>898</v>
      </c>
      <c r="J30" s="816">
        <v>41292</v>
      </c>
      <c r="K30" s="816">
        <v>41292</v>
      </c>
      <c r="L30" s="665" t="s">
        <v>891</v>
      </c>
      <c r="M30" s="665">
        <v>9.6999999999999993</v>
      </c>
      <c r="N30" s="665">
        <v>43.649999999999991</v>
      </c>
      <c r="O30" s="665">
        <v>62.357142857142847</v>
      </c>
      <c r="P30" s="665">
        <v>0</v>
      </c>
      <c r="Q30" s="665">
        <v>124.71428571428569</v>
      </c>
      <c r="R30" s="665">
        <v>0</v>
      </c>
      <c r="S30" s="665">
        <v>0</v>
      </c>
      <c r="T30" s="665">
        <v>0</v>
      </c>
      <c r="U30" s="665">
        <v>0</v>
      </c>
      <c r="V30" s="665">
        <v>0</v>
      </c>
      <c r="W30" s="665">
        <v>0</v>
      </c>
      <c r="X30" s="665">
        <v>10</v>
      </c>
      <c r="Y30" s="665" t="s">
        <v>111</v>
      </c>
      <c r="Z30" s="667" t="s">
        <v>111</v>
      </c>
    </row>
    <row r="31" spans="1:26" s="619" customFormat="1" ht="25.5">
      <c r="A31" s="618"/>
      <c r="B31" s="817">
        <v>13035</v>
      </c>
      <c r="C31" s="817">
        <v>2381</v>
      </c>
      <c r="D31" s="666" t="s">
        <v>886</v>
      </c>
      <c r="E31" s="665" t="s">
        <v>887</v>
      </c>
      <c r="F31" s="665" t="s">
        <v>899</v>
      </c>
      <c r="G31" s="665" t="s">
        <v>889</v>
      </c>
      <c r="H31" s="665" t="s">
        <v>890</v>
      </c>
      <c r="I31" s="665" t="s">
        <v>900</v>
      </c>
      <c r="J31" s="816">
        <v>41953</v>
      </c>
      <c r="K31" s="816">
        <v>41953</v>
      </c>
      <c r="L31" s="665" t="s">
        <v>891</v>
      </c>
      <c r="M31" s="665">
        <v>2678</v>
      </c>
      <c r="N31" s="665">
        <v>12051</v>
      </c>
      <c r="O31" s="665">
        <v>17215.714285714286</v>
      </c>
      <c r="P31" s="665">
        <v>34431.428571428572</v>
      </c>
      <c r="Q31" s="665">
        <v>0</v>
      </c>
      <c r="R31" s="665">
        <v>0</v>
      </c>
      <c r="S31" s="665">
        <v>0</v>
      </c>
      <c r="T31" s="665">
        <v>0</v>
      </c>
      <c r="U31" s="665">
        <v>0</v>
      </c>
      <c r="V31" s="665">
        <v>0</v>
      </c>
      <c r="W31" s="665">
        <v>0</v>
      </c>
      <c r="X31" s="665">
        <v>10</v>
      </c>
      <c r="Y31" s="665" t="s">
        <v>111</v>
      </c>
      <c r="Z31" s="667" t="s">
        <v>111</v>
      </c>
    </row>
    <row r="32" spans="1:26" s="619" customFormat="1" ht="25.5">
      <c r="A32" s="618"/>
      <c r="B32" s="817">
        <v>13035</v>
      </c>
      <c r="C32" s="817">
        <v>2381</v>
      </c>
      <c r="D32" s="666" t="s">
        <v>901</v>
      </c>
      <c r="E32" s="665" t="s">
        <v>902</v>
      </c>
      <c r="F32" s="665" t="s">
        <v>903</v>
      </c>
      <c r="G32" s="665" t="s">
        <v>889</v>
      </c>
      <c r="H32" s="665" t="s">
        <v>890</v>
      </c>
      <c r="I32" s="665" t="s">
        <v>902</v>
      </c>
      <c r="J32" s="816">
        <v>41981</v>
      </c>
      <c r="K32" s="816">
        <v>41981</v>
      </c>
      <c r="L32" s="665" t="s">
        <v>891</v>
      </c>
      <c r="M32" s="665">
        <v>3120</v>
      </c>
      <c r="N32" s="665">
        <v>14040</v>
      </c>
      <c r="O32" s="665">
        <v>20057.142857142859</v>
      </c>
      <c r="P32" s="665">
        <v>40114.285714285717</v>
      </c>
      <c r="Q32" s="665">
        <v>0</v>
      </c>
      <c r="R32" s="665">
        <v>0</v>
      </c>
      <c r="S32" s="665">
        <v>0</v>
      </c>
      <c r="T32" s="665">
        <v>0</v>
      </c>
      <c r="U32" s="665">
        <v>0</v>
      </c>
      <c r="V32" s="665">
        <v>0</v>
      </c>
      <c r="W32" s="665">
        <v>0</v>
      </c>
      <c r="X32" s="665">
        <v>10</v>
      </c>
      <c r="Y32" s="665" t="s">
        <v>111</v>
      </c>
      <c r="Z32" s="667" t="s">
        <v>111</v>
      </c>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12845.7</v>
      </c>
      <c r="N58" s="623">
        <f>SUM(N28:N57)</f>
        <v>57805.65</v>
      </c>
      <c r="O58" s="623">
        <f t="shared" ref="O58:W58" si="2">SUM(O28:O57)</f>
        <v>82579.5</v>
      </c>
      <c r="P58" s="623">
        <f t="shared" si="2"/>
        <v>165034.28571428571</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12845.7</v>
      </c>
      <c r="N61" s="628">
        <f t="shared" si="4"/>
        <v>57805.65</v>
      </c>
      <c r="O61" s="628">
        <f t="shared" si="4"/>
        <v>82579.5</v>
      </c>
      <c r="P61" s="628">
        <f t="shared" si="4"/>
        <v>165034.28571428571</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67955.294117647063</v>
      </c>
      <c r="C101" s="657">
        <f t="shared" si="9"/>
        <v>51.352941176470587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97078.991596638662</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26623.994302942807</v>
      </c>
      <c r="C4" s="478">
        <f>huishoudens!C8</f>
        <v>0</v>
      </c>
      <c r="D4" s="478">
        <f>huishoudens!D8</f>
        <v>63164.227909419998</v>
      </c>
      <c r="E4" s="478">
        <f>huishoudens!E8</f>
        <v>24440.554528374054</v>
      </c>
      <c r="F4" s="478">
        <f>huishoudens!F8</f>
        <v>9745.2184987986202</v>
      </c>
      <c r="G4" s="478">
        <f>huishoudens!G8</f>
        <v>0</v>
      </c>
      <c r="H4" s="478">
        <f>huishoudens!H8</f>
        <v>0</v>
      </c>
      <c r="I4" s="478">
        <f>huishoudens!I8</f>
        <v>0</v>
      </c>
      <c r="J4" s="478">
        <f>huishoudens!J8</f>
        <v>0</v>
      </c>
      <c r="K4" s="478">
        <f>huishoudens!K8</f>
        <v>0</v>
      </c>
      <c r="L4" s="478">
        <f>huishoudens!L8</f>
        <v>0</v>
      </c>
      <c r="M4" s="478">
        <f>huishoudens!M8</f>
        <v>0</v>
      </c>
      <c r="N4" s="478">
        <f>huishoudens!N8</f>
        <v>34498.892994745882</v>
      </c>
      <c r="O4" s="478">
        <f>huishoudens!O8</f>
        <v>380.91997812231011</v>
      </c>
      <c r="P4" s="479">
        <f>huishoudens!P8</f>
        <v>684.70735499952639</v>
      </c>
      <c r="Q4" s="480">
        <f>SUM(B4:P4)</f>
        <v>159538.5155674032</v>
      </c>
    </row>
    <row r="5" spans="1:17">
      <c r="A5" s="477" t="s">
        <v>155</v>
      </c>
      <c r="B5" s="478">
        <f ca="1">tertiair!B16</f>
        <v>12813.987372</v>
      </c>
      <c r="C5" s="478">
        <f ca="1">tertiair!C16</f>
        <v>0</v>
      </c>
      <c r="D5" s="478">
        <f ca="1">tertiair!D16</f>
        <v>12235.070040204002</v>
      </c>
      <c r="E5" s="478">
        <f>tertiair!E16</f>
        <v>173.05916247076584</v>
      </c>
      <c r="F5" s="478">
        <f ca="1">tertiair!F16</f>
        <v>1499.1405907497654</v>
      </c>
      <c r="G5" s="478">
        <f>tertiair!G16</f>
        <v>0</v>
      </c>
      <c r="H5" s="478">
        <f>tertiair!H16</f>
        <v>0</v>
      </c>
      <c r="I5" s="478">
        <f>tertiair!I16</f>
        <v>0</v>
      </c>
      <c r="J5" s="478">
        <f>tertiair!J16</f>
        <v>2.5855809618599124E-2</v>
      </c>
      <c r="K5" s="478">
        <f>tertiair!K16</f>
        <v>0</v>
      </c>
      <c r="L5" s="478">
        <f ca="1">tertiair!L16</f>
        <v>0</v>
      </c>
      <c r="M5" s="478">
        <f>tertiair!M16</f>
        <v>0</v>
      </c>
      <c r="N5" s="478">
        <f ca="1">tertiair!N16</f>
        <v>1019.9493865882051</v>
      </c>
      <c r="O5" s="478">
        <f>tertiair!O16</f>
        <v>14.691782297523464</v>
      </c>
      <c r="P5" s="479">
        <f>tertiair!P16</f>
        <v>0</v>
      </c>
      <c r="Q5" s="477">
        <f t="shared" ref="Q5:Q14" ca="1" si="0">SUM(B5:P5)</f>
        <v>27755.92419011988</v>
      </c>
    </row>
    <row r="6" spans="1:17">
      <c r="A6" s="477" t="s">
        <v>193</v>
      </c>
      <c r="B6" s="478">
        <f>'openbare verlichting'!B8</f>
        <v>1009.5069999999999</v>
      </c>
      <c r="C6" s="478"/>
      <c r="D6" s="478"/>
      <c r="E6" s="478"/>
      <c r="F6" s="478"/>
      <c r="G6" s="478"/>
      <c r="H6" s="478"/>
      <c r="I6" s="478"/>
      <c r="J6" s="478"/>
      <c r="K6" s="478"/>
      <c r="L6" s="478"/>
      <c r="M6" s="478"/>
      <c r="N6" s="478"/>
      <c r="O6" s="478"/>
      <c r="P6" s="479"/>
      <c r="Q6" s="477">
        <f t="shared" si="0"/>
        <v>1009.5069999999999</v>
      </c>
    </row>
    <row r="7" spans="1:17">
      <c r="A7" s="477" t="s">
        <v>111</v>
      </c>
      <c r="B7" s="478">
        <f>landbouw!B8</f>
        <v>10997.674800999999</v>
      </c>
      <c r="C7" s="478">
        <f>landbouw!C8</f>
        <v>82579.5</v>
      </c>
      <c r="D7" s="478">
        <f>landbouw!D8</f>
        <v>153.65553763025673</v>
      </c>
      <c r="E7" s="478">
        <f>landbouw!E8</f>
        <v>343.23380395346481</v>
      </c>
      <c r="F7" s="478">
        <f>landbouw!F8</f>
        <v>38867.001036283873</v>
      </c>
      <c r="G7" s="478">
        <f>landbouw!G8</f>
        <v>0</v>
      </c>
      <c r="H7" s="478">
        <f>landbouw!H8</f>
        <v>0</v>
      </c>
      <c r="I7" s="478">
        <f>landbouw!I8</f>
        <v>0</v>
      </c>
      <c r="J7" s="478">
        <f>landbouw!J8</f>
        <v>3029.9356758818344</v>
      </c>
      <c r="K7" s="478">
        <f>landbouw!K8</f>
        <v>0</v>
      </c>
      <c r="L7" s="478">
        <f>landbouw!L8</f>
        <v>0</v>
      </c>
      <c r="M7" s="478">
        <f>landbouw!M8</f>
        <v>0</v>
      </c>
      <c r="N7" s="478">
        <f>landbouw!N8</f>
        <v>0</v>
      </c>
      <c r="O7" s="478">
        <f>landbouw!O8</f>
        <v>0</v>
      </c>
      <c r="P7" s="479">
        <f>landbouw!P8</f>
        <v>0</v>
      </c>
      <c r="Q7" s="477">
        <f t="shared" si="0"/>
        <v>135971.00085474944</v>
      </c>
    </row>
    <row r="8" spans="1:17">
      <c r="A8" s="477" t="s">
        <v>629</v>
      </c>
      <c r="B8" s="478">
        <f>industrie!B18</f>
        <v>26878.547438999998</v>
      </c>
      <c r="C8" s="478">
        <f>industrie!C18</f>
        <v>0</v>
      </c>
      <c r="D8" s="478">
        <f>industrie!D18</f>
        <v>26078.488441126003</v>
      </c>
      <c r="E8" s="478">
        <f>industrie!E18</f>
        <v>919.94945628167852</v>
      </c>
      <c r="F8" s="478">
        <f>industrie!F18</f>
        <v>4162.7248582952961</v>
      </c>
      <c r="G8" s="478">
        <f>industrie!G18</f>
        <v>0</v>
      </c>
      <c r="H8" s="478">
        <f>industrie!H18</f>
        <v>0</v>
      </c>
      <c r="I8" s="478">
        <f>industrie!I18</f>
        <v>0</v>
      </c>
      <c r="J8" s="478">
        <f>industrie!J18</f>
        <v>113.0320943308014</v>
      </c>
      <c r="K8" s="478">
        <f>industrie!K18</f>
        <v>0</v>
      </c>
      <c r="L8" s="478">
        <f>industrie!L18</f>
        <v>0</v>
      </c>
      <c r="M8" s="478">
        <f>industrie!M18</f>
        <v>0</v>
      </c>
      <c r="N8" s="478">
        <f>industrie!N18</f>
        <v>1488.2400838909687</v>
      </c>
      <c r="O8" s="478">
        <f>industrie!O18</f>
        <v>0</v>
      </c>
      <c r="P8" s="479">
        <f>industrie!P18</f>
        <v>0</v>
      </c>
      <c r="Q8" s="477">
        <f t="shared" si="0"/>
        <v>59640.982372924744</v>
      </c>
    </row>
    <row r="9" spans="1:17" s="483" customFormat="1">
      <c r="A9" s="481" t="s">
        <v>555</v>
      </c>
      <c r="B9" s="482">
        <f>transport!B14</f>
        <v>41.493692224999997</v>
      </c>
      <c r="C9" s="482">
        <f>transport!C14</f>
        <v>0</v>
      </c>
      <c r="D9" s="482">
        <f>transport!D14</f>
        <v>169.16500074191669</v>
      </c>
      <c r="E9" s="482">
        <f>transport!E14</f>
        <v>129.98652989265975</v>
      </c>
      <c r="F9" s="482">
        <f>transport!F14</f>
        <v>0</v>
      </c>
      <c r="G9" s="482">
        <f>transport!G14</f>
        <v>51194.622118025174</v>
      </c>
      <c r="H9" s="482">
        <f>transport!H14</f>
        <v>12589.440035064166</v>
      </c>
      <c r="I9" s="482">
        <f>transport!I14</f>
        <v>0</v>
      </c>
      <c r="J9" s="482">
        <f>transport!J14</f>
        <v>0</v>
      </c>
      <c r="K9" s="482">
        <f>transport!K14</f>
        <v>0</v>
      </c>
      <c r="L9" s="482">
        <f>transport!L14</f>
        <v>0</v>
      </c>
      <c r="M9" s="482">
        <f>transport!M14</f>
        <v>3779.3927494240666</v>
      </c>
      <c r="N9" s="482">
        <f>transport!N14</f>
        <v>0</v>
      </c>
      <c r="O9" s="482">
        <f>transport!O14</f>
        <v>0</v>
      </c>
      <c r="P9" s="482">
        <f>transport!P14</f>
        <v>0</v>
      </c>
      <c r="Q9" s="481">
        <f>SUM(B9:P9)</f>
        <v>67904.100125372977</v>
      </c>
    </row>
    <row r="10" spans="1:17">
      <c r="A10" s="477" t="s">
        <v>545</v>
      </c>
      <c r="B10" s="478">
        <f>transport!B54</f>
        <v>0</v>
      </c>
      <c r="C10" s="478">
        <f>transport!C54</f>
        <v>0</v>
      </c>
      <c r="D10" s="478">
        <f>transport!D54</f>
        <v>0</v>
      </c>
      <c r="E10" s="478">
        <f>transport!E54</f>
        <v>0</v>
      </c>
      <c r="F10" s="478">
        <f>transport!F54</f>
        <v>0</v>
      </c>
      <c r="G10" s="478">
        <f>transport!G54</f>
        <v>1285.3412380550717</v>
      </c>
      <c r="H10" s="478">
        <f>transport!H54</f>
        <v>0</v>
      </c>
      <c r="I10" s="478">
        <f>transport!I54</f>
        <v>0</v>
      </c>
      <c r="J10" s="478">
        <f>transport!J54</f>
        <v>0</v>
      </c>
      <c r="K10" s="478">
        <f>transport!K54</f>
        <v>0</v>
      </c>
      <c r="L10" s="478">
        <f>transport!L54</f>
        <v>0</v>
      </c>
      <c r="M10" s="478">
        <f>transport!M54</f>
        <v>71.439408226296266</v>
      </c>
      <c r="N10" s="478">
        <f>transport!N54</f>
        <v>0</v>
      </c>
      <c r="O10" s="478">
        <f>transport!O54</f>
        <v>0</v>
      </c>
      <c r="P10" s="479">
        <f>transport!P54</f>
        <v>0</v>
      </c>
      <c r="Q10" s="477">
        <f t="shared" si="0"/>
        <v>1356.780646281368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761.19424199999992</v>
      </c>
      <c r="C14" s="485"/>
      <c r="D14" s="485">
        <f>'SEAP template'!E25</f>
        <v>1684.5943239999999</v>
      </c>
      <c r="E14" s="485"/>
      <c r="F14" s="485"/>
      <c r="G14" s="485"/>
      <c r="H14" s="485"/>
      <c r="I14" s="485"/>
      <c r="J14" s="485"/>
      <c r="K14" s="485"/>
      <c r="L14" s="485"/>
      <c r="M14" s="485"/>
      <c r="N14" s="485"/>
      <c r="O14" s="485"/>
      <c r="P14" s="486"/>
      <c r="Q14" s="477">
        <f t="shared" si="0"/>
        <v>2445.7885659999997</v>
      </c>
    </row>
    <row r="15" spans="1:17" s="489" customFormat="1">
      <c r="A15" s="487" t="s">
        <v>549</v>
      </c>
      <c r="B15" s="488">
        <f ca="1">SUM(B4:B14)</f>
        <v>79126.398849167803</v>
      </c>
      <c r="C15" s="488">
        <f t="shared" ref="C15:Q15" ca="1" si="1">SUM(C4:C14)</f>
        <v>82579.5</v>
      </c>
      <c r="D15" s="488">
        <f t="shared" ca="1" si="1"/>
        <v>103485.20125312218</v>
      </c>
      <c r="E15" s="488">
        <f t="shared" si="1"/>
        <v>26006.783480972626</v>
      </c>
      <c r="F15" s="488">
        <f t="shared" ca="1" si="1"/>
        <v>54274.084984127556</v>
      </c>
      <c r="G15" s="488">
        <f t="shared" si="1"/>
        <v>52479.963356080247</v>
      </c>
      <c r="H15" s="488">
        <f t="shared" si="1"/>
        <v>12589.440035064166</v>
      </c>
      <c r="I15" s="488">
        <f t="shared" si="1"/>
        <v>0</v>
      </c>
      <c r="J15" s="488">
        <f t="shared" si="1"/>
        <v>3142.9936260222544</v>
      </c>
      <c r="K15" s="488">
        <f t="shared" si="1"/>
        <v>0</v>
      </c>
      <c r="L15" s="488">
        <f t="shared" ca="1" si="1"/>
        <v>0</v>
      </c>
      <c r="M15" s="488">
        <f t="shared" si="1"/>
        <v>3850.8321576503627</v>
      </c>
      <c r="N15" s="488">
        <f t="shared" ca="1" si="1"/>
        <v>37007.082465225052</v>
      </c>
      <c r="O15" s="488">
        <f t="shared" si="1"/>
        <v>395.61176041983356</v>
      </c>
      <c r="P15" s="488">
        <f t="shared" si="1"/>
        <v>684.70735499952639</v>
      </c>
      <c r="Q15" s="488">
        <f t="shared" ca="1" si="1"/>
        <v>455622.59932285163</v>
      </c>
    </row>
    <row r="17" spans="1:17">
      <c r="A17" s="490" t="s">
        <v>550</v>
      </c>
      <c r="B17" s="807">
        <f ca="1">huishoudens!B10</f>
        <v>0.20903551647351287</v>
      </c>
      <c r="C17" s="807">
        <f ca="1">huishoudens!C10</f>
        <v>0.23746760760868027</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5565.3603997035143</v>
      </c>
      <c r="C22" s="478">
        <f t="shared" ref="C22:C32" ca="1" si="3">C4*$C$17</f>
        <v>0</v>
      </c>
      <c r="D22" s="478">
        <f t="shared" ref="D22:D32" si="4">D4*$D$17</f>
        <v>12759.17403770284</v>
      </c>
      <c r="E22" s="478">
        <f t="shared" ref="E22:E32" si="5">E4*$E$17</f>
        <v>5548.0058779409101</v>
      </c>
      <c r="F22" s="478">
        <f t="shared" ref="F22:F32" si="6">F4*$F$17</f>
        <v>2601.9733391792315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26474.513654526498</v>
      </c>
    </row>
    <row r="23" spans="1:17">
      <c r="A23" s="477" t="s">
        <v>155</v>
      </c>
      <c r="B23" s="478">
        <f t="shared" ca="1" si="2"/>
        <v>2678.578468391092</v>
      </c>
      <c r="C23" s="478">
        <f t="shared" ca="1" si="3"/>
        <v>0</v>
      </c>
      <c r="D23" s="478">
        <f t="shared" ca="1" si="4"/>
        <v>2471.4841481212084</v>
      </c>
      <c r="E23" s="478">
        <f t="shared" si="5"/>
        <v>39.284429880863847</v>
      </c>
      <c r="F23" s="478">
        <f t="shared" ca="1" si="6"/>
        <v>400.27053773018736</v>
      </c>
      <c r="G23" s="478">
        <f t="shared" si="7"/>
        <v>0</v>
      </c>
      <c r="H23" s="478">
        <f t="shared" si="8"/>
        <v>0</v>
      </c>
      <c r="I23" s="478">
        <f t="shared" si="9"/>
        <v>0</v>
      </c>
      <c r="J23" s="478">
        <f t="shared" si="10"/>
        <v>9.1529566049840892E-3</v>
      </c>
      <c r="K23" s="478">
        <f t="shared" si="11"/>
        <v>0</v>
      </c>
      <c r="L23" s="478">
        <f t="shared" ca="1" si="12"/>
        <v>0</v>
      </c>
      <c r="M23" s="478">
        <f t="shared" si="13"/>
        <v>0</v>
      </c>
      <c r="N23" s="478">
        <f t="shared" ca="1" si="14"/>
        <v>0</v>
      </c>
      <c r="O23" s="478">
        <f t="shared" si="15"/>
        <v>0</v>
      </c>
      <c r="P23" s="479">
        <f t="shared" si="16"/>
        <v>0</v>
      </c>
      <c r="Q23" s="477">
        <f t="shared" ref="Q23:Q31" ca="1" si="17">SUM(B23:P23)</f>
        <v>5589.6267370799569</v>
      </c>
    </row>
    <row r="24" spans="1:17">
      <c r="A24" s="477" t="s">
        <v>193</v>
      </c>
      <c r="B24" s="478">
        <f t="shared" ca="1" si="2"/>
        <v>211.02281712862654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211.02281712862654</v>
      </c>
    </row>
    <row r="25" spans="1:17">
      <c r="A25" s="477" t="s">
        <v>111</v>
      </c>
      <c r="B25" s="478">
        <f t="shared" ca="1" si="2"/>
        <v>2298.9046320347729</v>
      </c>
      <c r="C25" s="478">
        <f t="shared" ca="1" si="3"/>
        <v>19609.956302521012</v>
      </c>
      <c r="D25" s="478">
        <f t="shared" si="4"/>
        <v>31.038418601311861</v>
      </c>
      <c r="E25" s="478">
        <f t="shared" si="5"/>
        <v>77.914073497436519</v>
      </c>
      <c r="F25" s="478">
        <f t="shared" si="6"/>
        <v>10377.489276687795</v>
      </c>
      <c r="G25" s="478">
        <f t="shared" si="7"/>
        <v>0</v>
      </c>
      <c r="H25" s="478">
        <f t="shared" si="8"/>
        <v>0</v>
      </c>
      <c r="I25" s="478">
        <f t="shared" si="9"/>
        <v>0</v>
      </c>
      <c r="J25" s="478">
        <f t="shared" si="10"/>
        <v>1072.5972292621693</v>
      </c>
      <c r="K25" s="478">
        <f t="shared" si="11"/>
        <v>0</v>
      </c>
      <c r="L25" s="478">
        <f t="shared" si="12"/>
        <v>0</v>
      </c>
      <c r="M25" s="478">
        <f t="shared" si="13"/>
        <v>0</v>
      </c>
      <c r="N25" s="478">
        <f t="shared" si="14"/>
        <v>0</v>
      </c>
      <c r="O25" s="478">
        <f t="shared" si="15"/>
        <v>0</v>
      </c>
      <c r="P25" s="479">
        <f t="shared" si="16"/>
        <v>0</v>
      </c>
      <c r="Q25" s="477">
        <f t="shared" ca="1" si="17"/>
        <v>33467.899932604494</v>
      </c>
    </row>
    <row r="26" spans="1:17">
      <c r="A26" s="477" t="s">
        <v>629</v>
      </c>
      <c r="B26" s="478">
        <f t="shared" ca="1" si="2"/>
        <v>5618.5710459691809</v>
      </c>
      <c r="C26" s="478">
        <f t="shared" ca="1" si="3"/>
        <v>0</v>
      </c>
      <c r="D26" s="478">
        <f t="shared" si="4"/>
        <v>5267.854665107453</v>
      </c>
      <c r="E26" s="478">
        <f t="shared" si="5"/>
        <v>208.82852657594103</v>
      </c>
      <c r="F26" s="478">
        <f t="shared" si="6"/>
        <v>1111.4475371648441</v>
      </c>
      <c r="G26" s="478">
        <f t="shared" si="7"/>
        <v>0</v>
      </c>
      <c r="H26" s="478">
        <f t="shared" si="8"/>
        <v>0</v>
      </c>
      <c r="I26" s="478">
        <f t="shared" si="9"/>
        <v>0</v>
      </c>
      <c r="J26" s="478">
        <f t="shared" si="10"/>
        <v>40.013361393103693</v>
      </c>
      <c r="K26" s="478">
        <f t="shared" si="11"/>
        <v>0</v>
      </c>
      <c r="L26" s="478">
        <f t="shared" si="12"/>
        <v>0</v>
      </c>
      <c r="M26" s="478">
        <f t="shared" si="13"/>
        <v>0</v>
      </c>
      <c r="N26" s="478">
        <f t="shared" si="14"/>
        <v>0</v>
      </c>
      <c r="O26" s="478">
        <f t="shared" si="15"/>
        <v>0</v>
      </c>
      <c r="P26" s="479">
        <f t="shared" si="16"/>
        <v>0</v>
      </c>
      <c r="Q26" s="477">
        <f t="shared" ca="1" si="17"/>
        <v>12246.715136210521</v>
      </c>
    </row>
    <row r="27" spans="1:17" s="483" customFormat="1">
      <c r="A27" s="481" t="s">
        <v>555</v>
      </c>
      <c r="B27" s="801">
        <f t="shared" ca="1" si="2"/>
        <v>8.6736553846458602</v>
      </c>
      <c r="C27" s="482">
        <f t="shared" ca="1" si="3"/>
        <v>0</v>
      </c>
      <c r="D27" s="482">
        <f t="shared" si="4"/>
        <v>34.171330149867174</v>
      </c>
      <c r="E27" s="482">
        <f t="shared" si="5"/>
        <v>29.506942285633762</v>
      </c>
      <c r="F27" s="482">
        <f t="shared" si="6"/>
        <v>0</v>
      </c>
      <c r="G27" s="482">
        <f t="shared" si="7"/>
        <v>13668.964105512723</v>
      </c>
      <c r="H27" s="482">
        <f t="shared" si="8"/>
        <v>3134.7705687309772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16876.08660206385</v>
      </c>
    </row>
    <row r="28" spans="1:17" ht="16.5" customHeight="1">
      <c r="A28" s="477" t="s">
        <v>545</v>
      </c>
      <c r="B28" s="478">
        <f t="shared" ca="1" si="2"/>
        <v>0</v>
      </c>
      <c r="C28" s="478">
        <f t="shared" ca="1" si="3"/>
        <v>0</v>
      </c>
      <c r="D28" s="478">
        <f t="shared" si="4"/>
        <v>0</v>
      </c>
      <c r="E28" s="478">
        <f t="shared" si="5"/>
        <v>0</v>
      </c>
      <c r="F28" s="478">
        <f t="shared" si="6"/>
        <v>0</v>
      </c>
      <c r="G28" s="478">
        <f t="shared" si="7"/>
        <v>343.18611056070415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343.18611056070415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159.11663151313414</v>
      </c>
      <c r="C32" s="478">
        <f t="shared" ca="1" si="3"/>
        <v>0</v>
      </c>
      <c r="D32" s="478">
        <f t="shared" si="4"/>
        <v>340.28805344800003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499.40468496113419</v>
      </c>
    </row>
    <row r="33" spans="1:17" s="489" customFormat="1">
      <c r="A33" s="487" t="s">
        <v>549</v>
      </c>
      <c r="B33" s="488">
        <f ca="1">SUM(B22:B32)</f>
        <v>16540.227650124969</v>
      </c>
      <c r="C33" s="488">
        <f t="shared" ref="C33:Q33" ca="1" si="19">SUM(C22:C32)</f>
        <v>19609.956302521012</v>
      </c>
      <c r="D33" s="488">
        <f t="shared" ca="1" si="19"/>
        <v>20904.010653130681</v>
      </c>
      <c r="E33" s="488">
        <f t="shared" si="19"/>
        <v>5903.5398501807858</v>
      </c>
      <c r="F33" s="488">
        <f t="shared" ca="1" si="19"/>
        <v>14491.180690762058</v>
      </c>
      <c r="G33" s="488">
        <f t="shared" si="19"/>
        <v>14012.150216073427</v>
      </c>
      <c r="H33" s="488">
        <f t="shared" si="19"/>
        <v>3134.7705687309772</v>
      </c>
      <c r="I33" s="488">
        <f t="shared" si="19"/>
        <v>0</v>
      </c>
      <c r="J33" s="488">
        <f t="shared" si="19"/>
        <v>1112.619743611878</v>
      </c>
      <c r="K33" s="488">
        <f t="shared" si="19"/>
        <v>0</v>
      </c>
      <c r="L33" s="488">
        <f t="shared" ca="1" si="19"/>
        <v>0</v>
      </c>
      <c r="M33" s="488">
        <f t="shared" si="19"/>
        <v>0</v>
      </c>
      <c r="N33" s="488">
        <f t="shared" ca="1" si="19"/>
        <v>0</v>
      </c>
      <c r="O33" s="488">
        <f t="shared" si="19"/>
        <v>0</v>
      </c>
      <c r="P33" s="488">
        <f t="shared" si="19"/>
        <v>0</v>
      </c>
      <c r="Q33" s="488">
        <f t="shared" ca="1" si="19"/>
        <v>95708.455675135789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8591.0735624697954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43.65</v>
      </c>
      <c r="C8" s="1062">
        <f>'SEAP template'!C76</f>
        <v>57761.999999999993</v>
      </c>
      <c r="D8" s="1062">
        <f>'SEAP template'!D76</f>
        <v>67955.294117647063</v>
      </c>
      <c r="E8" s="1062">
        <f>'SEAP template'!E76</f>
        <v>0</v>
      </c>
      <c r="F8" s="1062">
        <f>'SEAP template'!F76</f>
        <v>0</v>
      </c>
      <c r="G8" s="1062">
        <f>'SEAP template'!G76</f>
        <v>0</v>
      </c>
      <c r="H8" s="1062">
        <f>'SEAP template'!H76</f>
        <v>0</v>
      </c>
      <c r="I8" s="1062">
        <f>'SEAP template'!I76</f>
        <v>0</v>
      </c>
      <c r="J8" s="1062">
        <f>'SEAP template'!J76</f>
        <v>51.352941176470587</v>
      </c>
      <c r="K8" s="1062">
        <f>'SEAP template'!K76</f>
        <v>0</v>
      </c>
      <c r="L8" s="1062">
        <f>'SEAP template'!L76</f>
        <v>0</v>
      </c>
      <c r="M8" s="1062">
        <f>'SEAP template'!M76</f>
        <v>0</v>
      </c>
      <c r="N8" s="1062">
        <f>'SEAP template'!N76</f>
        <v>0</v>
      </c>
      <c r="O8" s="1062">
        <f>'SEAP template'!O76</f>
        <v>0</v>
      </c>
      <c r="P8" s="1063">
        <f>'SEAP template'!Q76</f>
        <v>13726.969411764707</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8634.7235624697951</v>
      </c>
      <c r="C10" s="1064">
        <f>SUM(C4:C9)</f>
        <v>57761.999999999993</v>
      </c>
      <c r="D10" s="1064">
        <f t="shared" ref="D10:H10" si="0">SUM(D8:D9)</f>
        <v>67955.294117647063</v>
      </c>
      <c r="E10" s="1064">
        <f t="shared" si="0"/>
        <v>0</v>
      </c>
      <c r="F10" s="1064">
        <f t="shared" si="0"/>
        <v>0</v>
      </c>
      <c r="G10" s="1064">
        <f t="shared" si="0"/>
        <v>0</v>
      </c>
      <c r="H10" s="1064">
        <f t="shared" si="0"/>
        <v>0</v>
      </c>
      <c r="I10" s="1064">
        <f>SUM(I8:I9)</f>
        <v>0</v>
      </c>
      <c r="J10" s="1064">
        <f>SUM(J8:J9)</f>
        <v>51.352941176470587</v>
      </c>
      <c r="K10" s="1064">
        <f t="shared" ref="K10:L10" si="1">SUM(K8:K9)</f>
        <v>0</v>
      </c>
      <c r="L10" s="1064">
        <f t="shared" si="1"/>
        <v>0</v>
      </c>
      <c r="M10" s="1064">
        <f>SUM(M8:M9)</f>
        <v>0</v>
      </c>
      <c r="N10" s="1064">
        <f>SUM(N8:N9)</f>
        <v>0</v>
      </c>
      <c r="O10" s="1064">
        <f>SUM(O8:O9)</f>
        <v>0</v>
      </c>
      <c r="P10" s="1064">
        <f>SUM(P8:P9)</f>
        <v>13726.969411764707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0.20903551647351287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v>
      </c>
      <c r="C17" s="1065">
        <f>'SEAP template'!C87</f>
        <v>82517.142857142855</v>
      </c>
      <c r="D17" s="1063">
        <f>'SEAP template'!D87</f>
        <v>97078.991596638662</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19609.956302521012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v>
      </c>
      <c r="C20" s="1064">
        <f>SUM(C17:C19)</f>
        <v>82517.142857142855</v>
      </c>
      <c r="D20" s="1064">
        <f t="shared" ref="D20:H20" si="2">SUM(D17:D19)</f>
        <v>97078.991596638662</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19609.956302521012</v>
      </c>
    </row>
    <row r="21" spans="1:16">
      <c r="B21" s="913"/>
    </row>
    <row r="22" spans="1:16">
      <c r="A22" s="490" t="s">
        <v>814</v>
      </c>
      <c r="B22" s="807" t="s">
        <v>812</v>
      </c>
      <c r="C22" s="807">
        <f ca="1">'EF ele_warmte'!B22</f>
        <v>0.23746760760868027</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0.20903551647351287</v>
      </c>
      <c r="C17" s="527">
        <f ca="1">'EF ele_warmte'!B22</f>
        <v>0.23746760760868027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2019-08-12T08:38:25Z</dcterms:modified>
</cp:coreProperties>
</file>