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<sst xmlns="http://schemas.openxmlformats.org/spreadsheetml/2006/main" count="2393" uniqueCount="892">
  <si>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</si>
  <si>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</si>
  <si>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</si>
  <si>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</si>
  <si>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</si>
  <si>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</si>
  <si>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</si>
  <si>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</si>
  <si>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</si>
  <si>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</si>
  <si>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</si>
  <si>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</si>
  <si>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</si>
  <si>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</si>
  <si>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</si>
  <si>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</si>
  <si>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</si>
  <si>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</si>
  <si>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</si>
  <si>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</si>
  <si>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</si>
  <si>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</si>
  <si>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</si>
  <si>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</si>
  <si>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</si>
  <si>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</si>
  <si>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</si>
  <si>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</si>
  <si>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</si>
  <si>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</si>
  <si>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</si>
  <si>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</si>
  <si>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</si>
  <si>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</si>
  <si>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</si>
  <si>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</si>
  <si>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</si>
  <si>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</si>
  <si>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</si>
  <si>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</si>
  <si>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</si>
  <si>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</si>
  <si>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</si>
  <si>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</si>
  <si>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</si>
  <si>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</si>
  <si>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</si>
  <si>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</si>
  <si>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</si>
  <si>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</si>
  <si>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</si>
  <si>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</si>
  <si>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</si>
  <si>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</si>
  <si>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</si>
  <si>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</si>
  <si>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</si>
  <si>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</si>
  <si>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</si>
  <si>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</si>
  <si>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</si>
  <si>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</si>
  <si>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</si>
  <si>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</si>
  <si>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</si>
  <si>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</si>
  <si>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</si>
  <si>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</si>
  <si>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</si>
  <si>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</si>
  <si>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</si>
  <si>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</si>
  <si>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</si>
  <si>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</si>
  <si>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</si>
  <si>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</si>
  <si>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</si>
  <si>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</si>
  <si>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</si>
  <si>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</si>
  <si>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</si>
  <si>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</si>
  <si>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</si>
  <si>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</si>
  <si>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</si>
  <si>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</si>
  <si>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</si>
  <si>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</si>
  <si>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</si>
  <si>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</si>
  <si>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</si>
  <si>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</si>
  <si>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</si>
  <si>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</si>
  <si>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</si>
  <si>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</si>
  <si>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</si>
  <si>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</si>
  <si>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</si>
  <si>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</si>
  <si>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</si>
  <si>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</si>
  <si>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</si>
  <si>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</si>
  <si>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</si>
  <si>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</si>
  <si>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</si>
  <si>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</si>
  <si>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</si>
  <si>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</si>
  <si>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</si>
  <si>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</si>
  <si>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</si>
  <si>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</si>
  <si>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</si>
  <si>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</si>
  <si>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</si>
  <si>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</si>
  <si>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</si>
  <si>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</si>
  <si>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</si>
  <si>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</si>
  <si>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</si>
  <si>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</si>
  <si>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</si>
  <si>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</si>
  <si>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</si>
  <si>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</si>
  <si>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</si>
  <si>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</si>
  <si>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</si>
  <si>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</si>
  <si>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</si>
  <si>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</si>
  <si>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</si>
  <si>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</si>
  <si>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</si>
  <si>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</si>
  <si>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</si>
  <si>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</si>
  <si>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</si>
  <si>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</si>
  <si>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</si>
  <si>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</si>
  <si>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</si>
  <si>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</si>
  <si>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</si>
  <si>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</si>
  <si>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</si>
  <si>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</si>
  <si>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</si>
  <si>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</si>
  <si>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</si>
  <si>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</si>
  <si>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</si>
  <si>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</si>
  <si>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</si>
  <si>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</si>
  <si>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</si>
  <si>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</si>
  <si>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</si>
  <si>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</si>
  <si>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</si>
  <si>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</si>
  <si>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</si>
  <si>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</si>
  <si>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</si>
  <si>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</si>
  <si>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</si>
  <si>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</si>
  <si>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</si>
  <si>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</si>
  <si>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</si>
  <si>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</si>
  <si>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</si>
  <si>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</si>
  <si>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</si>
  <si>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</si>
  <si>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</si>
  <si>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</si>
  <si>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</si>
  <si>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</si>
  <si>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</si>
  <si>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</si>
  <si>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</si>
  <si>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</si>
  <si>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</si>
  <si>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</si>
  <si>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</si>
  <si>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</si>
  <si>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</si>
  <si>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</si>
  <si>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</si>
  <si>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</si>
  <si>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</si>
  <si>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</si>
  <si>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</si>
  <si>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</si>
  <si>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</si>
  <si>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</si>
  <si>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</si>
  <si>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</si>
  <si>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</si>
  <si>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</si>
  <si>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</si>
  <si>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</si>
  <si>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</si>
  <si>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</si>
  <si>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</si>
  <si>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</si>
  <si>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</si>
  <si>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</si>
  <si>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</si>
  <si>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</si>
  <si>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</si>
  <si>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</si>
  <si>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</si>
  <si>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</si>
  <si>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</si>
  <si>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</si>
  <si>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</si>
  <si>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</si>
  <si>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</si>
  <si>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</si>
  <si>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</si>
  <si>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</si>
  <si>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</si>
  <si>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</si>
  <si>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</si>
  <si>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</si>
  <si>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</si>
  <si>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</si>
  <si>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</si>
  <si>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</si>
  <si>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</si>
  <si>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</si>
  <si>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</si>
  <si>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</si>
  <si>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</si>
  <si>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</si>
  <si>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</si>
  <si>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</si>
  <si>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</si>
  <si>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</si>
  <si>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</si>
  <si>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</si>
  <si>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</si>
  <si>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</si>
  <si>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</si>
  <si>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</si>
  <si>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</si>
  <si>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</si>
  <si>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</si>
  <si>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</si>
  <si>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</si>
  <si>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</si>
  <si>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</si>
  <si>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</si>
  <si>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</si>
  <si>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</si>
  <si>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</si>
  <si>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</si>
  <si>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</si>
  <si>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</si>
  <si>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</si>
  <si>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</si>
  <si>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</si>
  <si>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</si>
  <si>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</si>
  <si>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</si>
  <si>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</si>
  <si>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</si>
  <si>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</si>
  <si>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</si>
  <si>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</si>
  <si>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</si>
  <si>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</si>
  <si>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</si>
  <si>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</si>
  <si>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</si>
  <si>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</si>
  <si>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</si>
  <si>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</si>
  <si>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</si>
  <si>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</si>
  <si>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</si>
  <si>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</si>
  <si>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</si>
  <si>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</si>
  <si>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</si>
  <si>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</si>
  <si>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</si>
  <si>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</si>
  <si>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</si>
  <si>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</si>
  <si>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</si>
  <si>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</si>
  <si>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</si>
  <si>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</si>
  <si>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</si>
  <si>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</si>
  <si>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</si>
  <si>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</si>
  <si>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</si>
  <si>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</si>
  <si>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</si>
  <si>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</si>
  <si>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</si>
  <si>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</si>
  <si>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</si>
  <si>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</si>
  <si>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</si>
  <si>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</si>
  <si>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</si>
  <si>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</si>
  <si>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</si>
  <si>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</si>
  <si>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</si>
  <si>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</si>
  <si>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</si>
  <si>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</si>
  <si>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</si>
  <si>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</si>
  <si>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</si>
  <si>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</si>
  <si>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</si>
  <si>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</si>
  <si>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</si>
  <si>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</si>
  <si>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</si>
  <si>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</si>
  <si>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</si>
  <si>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</si>
  <si>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</si>
  <si>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</si>
  <si>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</si>
  <si>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</si>
  <si>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</si>
  <si>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</si>
  <si>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</si>
  <si>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</si>
  <si>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</si>
  <si>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</si>
  <si>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</si>
  <si>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</si>
  <si>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</si>
  <si>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</si>
  <si>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</si>
  <si>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</si>
  <si>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</si>
  <si>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</si>
  <si>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</si>
  <si>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</si>
  <si>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</si>
  <si>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</si>
  <si>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</si>
  <si>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</si>
  <si>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</si>
  <si>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</si>
  <si>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</si>
  <si>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</si>
  <si>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</si>
  <si>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</si>
  <si>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</si>
  <si>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</si>
  <si>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</si>
  <si>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</si>
  <si>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</si>
  <si>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</si>
  <si>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</si>
  <si>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</si>
  <si>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</si>
  <si>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</si>
  <si>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</si>
  <si>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</si>
  <si>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</si>
  <si>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</si>
  <si>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</si>
  <si>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</si>
  <si>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</si>
  <si>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</si>
  <si>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</si>
  <si>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</si>
  <si>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</si>
  <si>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</si>
  <si>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</si>
  <si>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</si>
  <si>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</si>
  <si>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</si>
  <si>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</si>
  <si>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</si>
  <si>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</si>
  <si>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</si>
  <si>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</si>
  <si>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</si>
  <si>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</si>
  <si>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</si>
  <si>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</si>
  <si>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</si>
  <si>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</si>
  <si>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</si>
  <si>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</si>
  <si>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</si>
  <si>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</si>
  <si>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</si>
  <si>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</si>
  <si>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</si>
  <si>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</si>
  <si>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</si>
  <si>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</si>
  <si>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</si>
  <si>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</si>
  <si>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</si>
  <si>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</si>
  <si>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</si>
  <si>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</si>
  <si>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</si>
  <si>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</si>
  <si>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</si>
  <si>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</si>
  <si>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</si>
  <si>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</si>
  <si>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</si>
  <si>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</si>
  <si>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</si>
  <si>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</si>
  <si>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</si>
  <si>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</si>
  <si>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</si>
  <si>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</si>
  <si>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</si>
  <si>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</si>
  <si>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</si>
  <si>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</si>
  <si>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</si>
  <si>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</si>
  <si>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</si>
  <si>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</si>
  <si>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</si>
  <si>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</si>
  <si>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</si>
  <si>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</si>
  <si>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</si>
  <si>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</si>
  <si>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</si>
  <si>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</si>
  <si>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</si>
  <si>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</si>
  <si>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</si>
  <si>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</si>
  <si>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</si>
  <si>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</si>
  <si>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</si>
  <si>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</si>
  <si>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</si>
  <si>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</si>
  <si>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</si>
  <si>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</si>
  <si>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</si>
  <si>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</si>
  <si>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</si>
  <si>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</si>
  <si>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</si>
  <si>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</si>
  <si>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</si>
  <si>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</si>
  <si>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</si>
  <si>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</si>
  <si>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</si>
  <si>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</si>
  <si>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</si>
  <si>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</si>
  <si>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</si>
  <si>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</si>
  <si>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</si>
  <si>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</si>
  <si>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</si>
  <si>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</si>
  <si>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</si>
  <si>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</si>
  <si>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</si>
  <si>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</si>
  <si>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</si>
  <si>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</si>
  <si>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</si>
  <si>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</si>
  <si>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</si>
  <si>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</si>
  <si>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</si>
  <si>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</si>
  <si>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</si>
  <si>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</si>
  <si>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</si>
  <si>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</si>
  <si>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</si>
  <si>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</si>
  <si>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</si>
  <si>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</si>
  <si>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</si>
  <si>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</si>
  <si>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</si>
  <si>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</si>
  <si>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</si>
  <si>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</si>
  <si>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</si>
  <si>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</si>
  <si>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</si>
  <si>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</si>
  <si>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</si>
  <si>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</si>
  <si>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</si>
  <si>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</si>
  <si>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</si>
  <si>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</si>
  <si>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</si>
  <si>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</si>
  <si>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</si>
  <si>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</si>
  <si>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</si>
  <si>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</si>
  <si>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</si>
  <si>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</si>
  <si>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</si>
  <si>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</si>
  <si>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</si>
  <si>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</si>
  <si>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</si>
  <si>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</si>
  <si>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</si>
  <si>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</si>
  <si>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</si>
  <si>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</si>
  <si>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</si>
  <si>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</si>
  <si>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</si>
  <si>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</si>
  <si>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</si>
  <si>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</si>
  <si>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</si>
  <si>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</si>
  <si>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</si>
  <si>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</si>
  <si>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</si>
  <si>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</si>
  <si>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</si>
  <si>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</si>
  <si>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</si>
  <si>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</si>
  <si>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</si>
  <si>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</si>
  <si>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</si>
  <si>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</si>
  <si>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</si>
  <si>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</si>
  <si>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</si>
  <si>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</si>
  <si>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</si>
  <si>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</si>
  <si>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</si>
  <si>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</si>
  <si>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</si>
  <si>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</si>
  <si>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</si>
  <si>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</si>
  <si>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</si>
  <si>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</si>
  <si>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</si>
  <si>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</si>
  <si>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</si>
  <si>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</si>
  <si>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</si>
  <si>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</si>
  <si>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</si>
  <si>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</si>
  <si>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</si>
  <si>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</si>
  <si>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</si>
  <si>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</si>
  <si>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</si>
  <si>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</si>
  <si>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</si>
  <si>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</si>
  <si>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</si>
  <si>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</si>
  <si>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</si>
  <si>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</si>
  <si>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</si>
  <si>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</si>
  <si>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</si>
  <si>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</si>
  <si>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</si>
  <si>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</si>
  <si>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</si>
  <si>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</si>
  <si>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</si>
  <si>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</si>
  <si>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</si>
  <si>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</si>
  <si>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</si>
  <si>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</si>
  <si>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</si>
  <si>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</si>
  <si>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</si>
  <si>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</si>
  <si>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</si>
  <si>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</si>
  <si>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</si>
  <si>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</si>
  <si>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</si>
  <si>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</si>
  <si>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</si>
  <si>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</si>
  <si>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</si>
  <si>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</si>
  <si>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</si>
  <si>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</si>
  <si>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</si>
  <si>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</si>
  <si>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</si>
  <si>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</si>
  <si>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</si>
  <si>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</si>
  <si>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</si>
  <si>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</si>
  <si>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</si>
  <si>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</si>
  <si>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</si>
  <si>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</si>
  <si>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</si>
  <si>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</si>
  <si>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</si>
  <si>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</si>
  <si>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</si>
  <si>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</si>
  <si>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</si>
  <si>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</si>
  <si>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</si>
  <si>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</si>
  <si>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</si>
  <si>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</si>
  <si>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</si>
  <si>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</si>
  <si>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</si>
  <si>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</si>
  <si>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</si>
  <si>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</si>
  <si>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</si>
  <si>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</si>
  <si>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</si>
  <si>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</si>
  <si>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</si>
  <si>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</si>
  <si>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</si>
  <si>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</si>
  <si>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</si>
  <si>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</si>
  <si>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</si>
  <si>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</si>
  <si>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</si>
  <si>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</si>
  <si>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</si>
  <si>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</si>
  <si>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</si>
  <si>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</si>
  <si>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</si>
  <si>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</si>
  <si>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</si>
  <si>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</si>
  <si>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</si>
  <si>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</si>
  <si>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</si>
  <si>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</si>
  <si>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</si>
  <si>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</si>
  <si>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</si>
  <si>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</si>
  <si>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</si>
  <si>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</si>
  <si>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</si>
  <si>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</si>
  <si>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</si>
  <si>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</si>
  <si>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</si>
  <si>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</si>
  <si>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</si>
  <si>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</si>
  <si>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</si>
  <si>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</si>
  <si>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</si>
  <si>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</si>
  <si>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</si>
  <si>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</si>
  <si>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</si>
  <si>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</si>
  <si>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</si>
  <si>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</si>
  <si>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</si>
  <si>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</si>
  <si>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</si>
  <si>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</si>
  <si>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</si>
  <si>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</si>
  <si>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</si>
  <si>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</si>
  <si>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</si>
  <si>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</si>
  <si>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</si>
  <si>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</si>
  <si>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</si>
  <si>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</si>
  <si>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</si>
  <si>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</si>
  <si>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</si>
  <si>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</si>
  <si>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</si>
  <si>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</si>
  <si>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</si>
  <si>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</si>
  <si>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</si>
  <si>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</si>
  <si>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</si>
  <si>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</si>
  <si>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</si>
  <si>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</si>
  <si>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</si>
  <si>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</si>
  <si>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</si>
  <si>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</si>
  <si>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</si>
  <si>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</si>
  <si>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</si>
  <si>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</si>
  <si>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</si>
  <si>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</si>
  <si>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</si>
  <si>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</si>
  <si>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</si>
  <si>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</si>
  <si>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</si>
  <si>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</si>
  <si>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</si>
  <si>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</si>
  <si>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</si>
  <si>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</si>
  <si>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</si>
  <si>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</si>
  <si>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</si>
  <si>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</si>
  <si>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</si>
  <si>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</si>
  <si>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</si>
  <si>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</si>
  <si>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</si>
  <si>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</si>
  <si>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</si>
  <si>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</si>
  <si>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</si>
  <si>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</si>
  <si>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</si>
  <si>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</si>
  <si>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</si>
  <si>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</si>
  <si>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</si>
  <si>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</si>
  <si>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</si>
  <si>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</si>
  <si>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</si>
  <si>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</si>
  <si>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</si>
  <si>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</si>
  <si>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</si>
  <si>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</si>
  <si>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</si>
  <si>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</si>
  <si>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</si>
  <si>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</si>
  <si>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</si>
  <si>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</si>
  <si>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</si>
  <si>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</si>
  <si>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</si>
  <si>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</si>
  <si>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</si>
  <si>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</si>
  <si>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</si>
  <si>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</si>
  <si>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</si>
  <si>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</si>
  <si>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</si>
  <si>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</si>
  <si>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</si>
  <si>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</si>
  <si>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</si>
  <si>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</si>
  <si>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</si>
  <si>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</si>
  <si>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</si>
  <si>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</si>
  <si>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</si>
  <si>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</si>
  <si>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</si>
  <si>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</si>
  <si>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</si>
  <si>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</si>
  <si>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</si>
  <si>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</si>
  <si>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</si>
  <si>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</si>
  <si>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</si>
  <si>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</si>
  <si>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</si>
  <si>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</si>
  <si>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</si>
  <si>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</si>
  <si>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</si>
  <si>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</si>
  <si>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</si>
  <si>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</si>
  <si>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</si>
  <si>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</si>
  <si>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</si>
  <si>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</si>
  <si>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</si>
  <si>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</si>
  <si>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</si>
  <si>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</si>
  <si>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</si>
  <si>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</si>
  <si>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</si>
  <si>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</si>
  <si>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</si>
  <si>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</si>
  <si>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</si>
  <si>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</si>
  <si>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</si>
  <si>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</si>
  <si>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</si>
  <si>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</si>
  <si>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</si>
  <si>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</si>
  <si>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</si>
  <si>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</si>
  <si>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</si>
  <si>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</si>
  <si>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</si>
  <si>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</si>
  <si>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</si>
  <si>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</si>
  <si>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</si>
  <si>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</si>
  <si>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</si>
  <si>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</si>
  <si>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</si>
  <si>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</si>
  <si>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</si>
  <si>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</si>
  <si>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</si>
  <si>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</si>
  <si>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</si>
  <si>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</si>
  <si>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</si>
  <si>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</si>
  <si>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</si>
  <si>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</si>
  <si>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</si>
  <si>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</si>
  <si>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</si>
  <si>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</si>
  <si>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</si>
  <si>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</si>
  <si>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</si>
  <si>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</si>
  <si>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</si>
  <si>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</si>
  <si>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</si>
  <si>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</si>
  <si>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</si>
  <si>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</si>
  <si>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13031</t>
  </si>
  <si>
    <t>OUD-TURNHOUT</t>
  </si>
  <si>
    <t>Mestbank (maart 2019)</t>
  </si>
  <si>
    <t>Fluvius (februari 2019)</t>
  </si>
  <si>
    <t>referentietaak LNE (2017); Jaarverslag De Lijn (2018)</t>
  </si>
  <si>
    <t>VEA (30 april 2019)</t>
  </si>
  <si>
    <t>VEA (mei 2018)</t>
  </si>
  <si>
    <t>VEA (mei 2019)</t>
  </si>
  <si>
    <t>Benteltom bvba</t>
  </si>
  <si>
    <t>Beyntel 3 , 2360 Oud-Turnhout</t>
  </si>
  <si>
    <t>WKK-0316 Benteltom</t>
  </si>
  <si>
    <t>interne verbrandingsmotor</t>
  </si>
  <si>
    <t>WKK interne verbrandinsgmotor (gas)</t>
  </si>
  <si>
    <t>IVEKA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</si>
</sst>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134423.66826464035</c:v>
                </c:pt>
                <c:pt idx="1">
                  <c:v>34325.396955219083</c:v>
                </c:pt>
                <c:pt idx="2">
                  <c:v>707.44</c:v>
                </c:pt>
                <c:pt idx="3">
                  <c:v>29148.664783918299</c:v>
                </c:pt>
                <c:pt idx="4">
                  <c:v>5446.8511395615606</c:v>
                </c:pt>
                <c:pt idx="5">
                  <c:v>139104.78913041955</c:v>
                </c:pt>
                <c:pt idx="6">
                  <c:v>1299.9402081496432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994624"/>
        <c:axId val="181996160"/>
      </c:barChart>
      <c:catAx>
        <c:axId val="181994624"/>
        <c:scaling>
          <c:orientation val="minMax"/>
        </c:scaling>
        <c:axPos val="b"/>
        <c:numFmt formatCode="General" sourceLinked="0"/>
        <c:tickLblPos val="nextTo"/>
        <c:crossAx val="181996160"/>
        <c:crosses val="autoZero"/>
        <c:auto val="1"/>
        <c:lblAlgn val="ctr"/>
        <c:lblOffset val="100"/>
      </c:catAx>
      <c:valAx>
        <c:axId val="181996160"/>
        <c:scaling>
          <c:orientation val="minMax"/>
        </c:scaling>
        <c:axPos val="l"/>
        <c:majorGridlines/>
        <c:numFmt formatCode="#,##0" sourceLinked="1"/>
        <c:tickLblPos val="nextTo"/>
        <c:crossAx val="1819946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134423.66826464035</c:v>
                </c:pt>
                <c:pt idx="1">
                  <c:v>34325.396955219083</c:v>
                </c:pt>
                <c:pt idx="2">
                  <c:v>707.44</c:v>
                </c:pt>
                <c:pt idx="3">
                  <c:v>29148.664783918299</c:v>
                </c:pt>
                <c:pt idx="4">
                  <c:v>5446.8511395615606</c:v>
                </c:pt>
                <c:pt idx="5">
                  <c:v>139104.78913041955</c:v>
                </c:pt>
                <c:pt idx="6">
                  <c:v>1299.9402081496432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20877.381879355959</c:v>
                </c:pt>
                <c:pt idx="1">
                  <c:v>6205.2105328205525</c:v>
                </c:pt>
                <c:pt idx="2">
                  <c:v>126.73825975345082</c:v>
                </c:pt>
                <c:pt idx="3">
                  <c:v>7116.6107034413544</c:v>
                </c:pt>
                <c:pt idx="4">
                  <c:v>1093.4103251432991</c:v>
                </c:pt>
                <c:pt idx="5">
                  <c:v>34702.365505170637</c:v>
                </c:pt>
                <c:pt idx="6">
                  <c:v>328.80880577053279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25952"/>
        <c:axId val="182527488"/>
      </c:barChart>
      <c:catAx>
        <c:axId val="182525952"/>
        <c:scaling>
          <c:orientation val="minMax"/>
        </c:scaling>
        <c:axPos val="b"/>
        <c:numFmt formatCode="General" sourceLinked="0"/>
        <c:tickLblPos val="nextTo"/>
        <c:crossAx val="182527488"/>
        <c:crosses val="autoZero"/>
        <c:auto val="1"/>
        <c:lblAlgn val="ctr"/>
        <c:lblOffset val="100"/>
      </c:catAx>
      <c:valAx>
        <c:axId val="182527488"/>
        <c:scaling>
          <c:orientation val="minMax"/>
        </c:scaling>
        <c:axPos val="l"/>
        <c:majorGridlines/>
        <c:numFmt formatCode="#,##0" sourceLinked="1"/>
        <c:tickLblPos val="nextTo"/>
        <c:crossAx val="1825259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20877.381879355959</c:v>
                </c:pt>
                <c:pt idx="1">
                  <c:v>6205.2105328205525</c:v>
                </c:pt>
                <c:pt idx="2">
                  <c:v>126.73825975345082</c:v>
                </c:pt>
                <c:pt idx="3">
                  <c:v>7116.6107034413544</c:v>
                </c:pt>
                <c:pt idx="4">
                  <c:v>1093.4103251432991</c:v>
                </c:pt>
                <c:pt idx="5">
                  <c:v>34702.365505170637</c:v>
                </c:pt>
                <c:pt idx="6">
                  <c:v>328.80880577053279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13031</v>
      </c>
      <c r="B6" s="415"/>
      <c r="C6" s="416"/>
    </row>
    <row r="7" spans="1:7" s="413" customFormat="1" ht="15.75" customHeight="1">
      <c r="A7" s="417" t="str">
        <f>txtMunicipality</f>
        <v>OUD-TURNHOUT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13967.540261</v>
      </c>
      <c r="D10" s="712">
        <f ca="1">tertiair!C16</f>
        <v>0</v>
      </c>
      <c r="E10" s="712">
        <f ca="1">tertiair!D16</f>
        <v>16615.231267756</v>
      </c>
      <c r="F10" s="712">
        <f>tertiair!E16</f>
        <v>155.15591724016673</v>
      </c>
      <c r="G10" s="712">
        <f ca="1">tertiair!F16</f>
        <v>1640.960161979729</v>
      </c>
      <c r="H10" s="712">
        <f>tertiair!G16</f>
        <v>0</v>
      </c>
      <c r="I10" s="712">
        <f>tertiair!H16</f>
        <v>0</v>
      </c>
      <c r="J10" s="712">
        <f>tertiair!I16</f>
        <v>0</v>
      </c>
      <c r="K10" s="712">
        <f>tertiair!J16</f>
        <v>6.470486733516137E-2</v>
      </c>
      <c r="L10" s="712">
        <f>tertiair!K16</f>
        <v>0</v>
      </c>
      <c r="M10" s="712">
        <f ca="1">tertiair!L16</f>
        <v>0</v>
      </c>
      <c r="N10" s="712">
        <f>tertiair!M16</f>
        <v>0</v>
      </c>
      <c r="O10" s="712">
        <f ca="1">tertiair!N16</f>
        <v>2529.2173226994964</v>
      </c>
      <c r="P10" s="712">
        <f>tertiair!O16</f>
        <v>19.589043063364617</v>
      </c>
      <c r="Q10" s="713">
        <f>tertiair!P16</f>
        <v>105.07827661299004</v>
      </c>
      <c r="R10" s="715">
        <f ca="1">SUM(C10:Q10)</f>
        <v>35032.836955219085</v>
      </c>
      <c r="S10" s="67"/>
    </row>
    <row r="11" spans="1:19" s="474" customFormat="1">
      <c r="A11" s="834" t="s">
        <v>224</v>
      </c>
      <c r="B11" s="839"/>
      <c r="C11" s="712">
        <f>huishoudens!B8</f>
        <v>24399.845475695936</v>
      </c>
      <c r="D11" s="712">
        <f>huishoudens!C8</f>
        <v>0</v>
      </c>
      <c r="E11" s="712">
        <f>huishoudens!D8</f>
        <v>72927.039835716001</v>
      </c>
      <c r="F11" s="712">
        <f>huishoudens!E8</f>
        <v>7818.8294263601738</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28213.081815544301</v>
      </c>
      <c r="P11" s="712">
        <f>huishoudens!O8</f>
        <v>359.09643770905274</v>
      </c>
      <c r="Q11" s="713">
        <f>huishoudens!P8</f>
        <v>705.77527361489661</v>
      </c>
      <c r="R11" s="715">
        <f>SUM(C11:Q11)</f>
        <v>134423.66826464035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1951.2044530000001</v>
      </c>
      <c r="D13" s="712">
        <f>industrie!C18</f>
        <v>0</v>
      </c>
      <c r="E13" s="712">
        <f>industrie!D18</f>
        <v>2338.180211158</v>
      </c>
      <c r="F13" s="712">
        <f>industrie!E18</f>
        <v>249.45172063289272</v>
      </c>
      <c r="G13" s="712">
        <f>industrie!F18</f>
        <v>795.68289014100299</v>
      </c>
      <c r="H13" s="712">
        <f>industrie!G18</f>
        <v>0</v>
      </c>
      <c r="I13" s="712">
        <f>industrie!H18</f>
        <v>0</v>
      </c>
      <c r="J13" s="712">
        <f>industrie!I18</f>
        <v>0</v>
      </c>
      <c r="K13" s="712">
        <f>industrie!J18</f>
        <v>6.9652939125113384</v>
      </c>
      <c r="L13" s="712">
        <f>industrie!K18</f>
        <v>0</v>
      </c>
      <c r="M13" s="712">
        <f>industrie!L18</f>
        <v>0</v>
      </c>
      <c r="N13" s="712">
        <f>industrie!M18</f>
        <v>0</v>
      </c>
      <c r="O13" s="712">
        <f>industrie!N18</f>
        <v>105.36657071715292</v>
      </c>
      <c r="P13" s="712">
        <f>industrie!O18</f>
        <v>0</v>
      </c>
      <c r="Q13" s="713">
        <f>industrie!P18</f>
        <v>0</v>
      </c>
      <c r="R13" s="715">
        <f>SUM(C13:Q13)</f>
        <v>5446.8511395615606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40318.590189695933</v>
      </c>
      <c r="D16" s="748">
        <f t="shared" ref="D16:R16" ca="1" si="0">SUM(D9:D15)</f>
        <v>0</v>
      </c>
      <c r="E16" s="748">
        <f t="shared" ca="1" si="0"/>
        <v>91880.451314630001</v>
      </c>
      <c r="F16" s="748">
        <f t="shared" si="0"/>
        <v>8223.4370642332324</v>
      </c>
      <c r="G16" s="748">
        <f t="shared" ca="1" si="0"/>
        <v>2436.6430521207321</v>
      </c>
      <c r="H16" s="748">
        <f t="shared" si="0"/>
        <v>0</v>
      </c>
      <c r="I16" s="748">
        <f t="shared" si="0"/>
        <v>0</v>
      </c>
      <c r="J16" s="748">
        <f t="shared" si="0"/>
        <v>0</v>
      </c>
      <c r="K16" s="748">
        <f t="shared" si="0"/>
        <v>7.0299987798465002</v>
      </c>
      <c r="L16" s="748">
        <f t="shared" si="0"/>
        <v>0</v>
      </c>
      <c r="M16" s="748">
        <f t="shared" ca="1" si="0"/>
        <v>0</v>
      </c>
      <c r="N16" s="748">
        <f t="shared" si="0"/>
        <v>0</v>
      </c>
      <c r="O16" s="748">
        <f t="shared" ca="1" si="0"/>
        <v>30847.665708960951</v>
      </c>
      <c r="P16" s="748">
        <f t="shared" si="0"/>
        <v>378.68548077241735</v>
      </c>
      <c r="Q16" s="748">
        <f t="shared" si="0"/>
        <v>810.85355022788667</v>
      </c>
      <c r="R16" s="748">
        <f t="shared" ca="1" si="0"/>
        <v>174903.35635942098</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1231.4936545712837</v>
      </c>
      <c r="I19" s="712">
        <f>transport!H54</f>
        <v>0</v>
      </c>
      <c r="J19" s="712">
        <f>transport!I54</f>
        <v>0</v>
      </c>
      <c r="K19" s="712">
        <f>transport!J54</f>
        <v>0</v>
      </c>
      <c r="L19" s="712">
        <f>transport!K54</f>
        <v>0</v>
      </c>
      <c r="M19" s="712">
        <f>transport!L54</f>
        <v>0</v>
      </c>
      <c r="N19" s="712">
        <f>transport!M54</f>
        <v>68.446553578359527</v>
      </c>
      <c r="O19" s="712">
        <f>transport!N54</f>
        <v>0</v>
      </c>
      <c r="P19" s="712">
        <f>transport!O54</f>
        <v>0</v>
      </c>
      <c r="Q19" s="713">
        <f>transport!P54</f>
        <v>0</v>
      </c>
      <c r="R19" s="715">
        <f>SUM(C19:Q19)</f>
        <v>1299.9402081496432</v>
      </c>
      <c r="S19" s="67"/>
    </row>
    <row r="20" spans="1:19" s="474" customFormat="1">
      <c r="A20" s="834" t="s">
        <v>306</v>
      </c>
      <c r="B20" s="839"/>
      <c r="C20" s="712">
        <f>transport!B14</f>
        <v>65.419628461111103</v>
      </c>
      <c r="D20" s="712">
        <f>transport!C14</f>
        <v>0</v>
      </c>
      <c r="E20" s="712">
        <f>transport!D14</f>
        <v>255.56972516326996</v>
      </c>
      <c r="F20" s="712">
        <f>transport!E14</f>
        <v>222.82681746404862</v>
      </c>
      <c r="G20" s="712">
        <f>transport!F14</f>
        <v>0</v>
      </c>
      <c r="H20" s="712">
        <f>transport!G14</f>
        <v>111366.84943592083</v>
      </c>
      <c r="I20" s="712">
        <f>transport!H14</f>
        <v>19491.927597616566</v>
      </c>
      <c r="J20" s="712">
        <f>transport!I14</f>
        <v>0</v>
      </c>
      <c r="K20" s="712">
        <f>transport!J14</f>
        <v>0</v>
      </c>
      <c r="L20" s="712">
        <f>transport!K14</f>
        <v>0</v>
      </c>
      <c r="M20" s="712">
        <f>transport!L14</f>
        <v>0</v>
      </c>
      <c r="N20" s="712">
        <f>transport!M14</f>
        <v>7702.1959257937324</v>
      </c>
      <c r="O20" s="712">
        <f>transport!N14</f>
        <v>0</v>
      </c>
      <c r="P20" s="712">
        <f>transport!O14</f>
        <v>0</v>
      </c>
      <c r="Q20" s="713">
        <f>transport!P14</f>
        <v>0</v>
      </c>
      <c r="R20" s="715">
        <f>SUM(C20:Q20)</f>
        <v>139104.78913041955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65.419628461111103</v>
      </c>
      <c r="D22" s="837">
        <f t="shared" ref="D22:R22" si="1">SUM(D18:D21)</f>
        <v>0</v>
      </c>
      <c r="E22" s="837">
        <f t="shared" si="1"/>
        <v>255.56972516326996</v>
      </c>
      <c r="F22" s="837">
        <f t="shared" si="1"/>
        <v>222.82681746404862</v>
      </c>
      <c r="G22" s="837">
        <f t="shared" si="1"/>
        <v>0</v>
      </c>
      <c r="H22" s="837">
        <f t="shared" si="1"/>
        <v>112598.34309049211</v>
      </c>
      <c r="I22" s="837">
        <f t="shared" si="1"/>
        <v>19491.927597616566</v>
      </c>
      <c r="J22" s="837">
        <f t="shared" si="1"/>
        <v>0</v>
      </c>
      <c r="K22" s="837">
        <f t="shared" si="1"/>
        <v>0</v>
      </c>
      <c r="L22" s="837">
        <f t="shared" si="1"/>
        <v>0</v>
      </c>
      <c r="M22" s="837">
        <f t="shared" si="1"/>
        <v>0</v>
      </c>
      <c r="N22" s="837">
        <f t="shared" si="1"/>
        <v>7770.6424793720917</v>
      </c>
      <c r="O22" s="837">
        <f t="shared" si="1"/>
        <v>0</v>
      </c>
      <c r="P22" s="837">
        <f t="shared" si="1"/>
        <v>0</v>
      </c>
      <c r="Q22" s="837">
        <f t="shared" si="1"/>
        <v>0</v>
      </c>
      <c r="R22" s="837">
        <f t="shared" si="1"/>
        <v>140404.72933856919</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2462.408265</v>
      </c>
      <c r="D24" s="712">
        <f>+landbouw!C8</f>
        <v>17228.571428571428</v>
      </c>
      <c r="E24" s="712">
        <f>+landbouw!D8</f>
        <v>0</v>
      </c>
      <c r="F24" s="712">
        <f>+landbouw!E8</f>
        <v>76.850949948579171</v>
      </c>
      <c r="G24" s="712">
        <f>+landbouw!F8</f>
        <v>8702.4235867391308</v>
      </c>
      <c r="H24" s="712">
        <f>+landbouw!G8</f>
        <v>0</v>
      </c>
      <c r="I24" s="712">
        <f>+landbouw!H8</f>
        <v>0</v>
      </c>
      <c r="J24" s="712">
        <f>+landbouw!I8</f>
        <v>0</v>
      </c>
      <c r="K24" s="712">
        <f>+landbouw!J8</f>
        <v>678.41055365915906</v>
      </c>
      <c r="L24" s="712">
        <f>+landbouw!K8</f>
        <v>0</v>
      </c>
      <c r="M24" s="712">
        <f>+landbouw!L8</f>
        <v>0</v>
      </c>
      <c r="N24" s="712">
        <f>+landbouw!M8</f>
        <v>0</v>
      </c>
      <c r="O24" s="712">
        <f>+landbouw!N8</f>
        <v>0</v>
      </c>
      <c r="P24" s="712">
        <f>+landbouw!O8</f>
        <v>0</v>
      </c>
      <c r="Q24" s="713">
        <f>+landbouw!P8</f>
        <v>0</v>
      </c>
      <c r="R24" s="715">
        <f>SUM(C24:Q24)</f>
        <v>29148.664783918299</v>
      </c>
      <c r="S24" s="67"/>
    </row>
    <row r="25" spans="1:19" s="474" customFormat="1" ht="15" thickBot="1">
      <c r="A25" s="856" t="s">
        <v>734</v>
      </c>
      <c r="B25" s="982"/>
      <c r="C25" s="983">
        <f>IF(Onbekend_ele_kWh="---",0,Onbekend_ele_kWh)/1000+IF(REST_rest_ele_kWh="---",0,REST_rest_ele_kWh)/1000</f>
        <v>660.85660100000007</v>
      </c>
      <c r="D25" s="983"/>
      <c r="E25" s="983">
        <f>IF(onbekend_gas_kWh="---",0,onbekend_gas_kWh)/1000+IF(REST_rest_gas_kWh="---",0,REST_rest_gas_kWh)/1000</f>
        <v>1335.143685</v>
      </c>
      <c r="F25" s="983"/>
      <c r="G25" s="983"/>
      <c r="H25" s="983"/>
      <c r="I25" s="983"/>
      <c r="J25" s="983"/>
      <c r="K25" s="983"/>
      <c r="L25" s="983"/>
      <c r="M25" s="983"/>
      <c r="N25" s="983"/>
      <c r="O25" s="983"/>
      <c r="P25" s="983"/>
      <c r="Q25" s="984"/>
      <c r="R25" s="715">
        <f>SUM(C25:Q25)</f>
        <v>1996.000286</v>
      </c>
      <c r="S25" s="67"/>
    </row>
    <row r="26" spans="1:19" s="474" customFormat="1" ht="15.75" thickBot="1">
      <c r="A26" s="720" t="s">
        <v>735</v>
      </c>
      <c r="B26" s="842"/>
      <c r="C26" s="837">
        <f>SUM(C24:C25)</f>
        <v>3123.264866</v>
      </c>
      <c r="D26" s="837">
        <f t="shared" ref="D26:R26" si="2">SUM(D24:D25)</f>
        <v>17228.571428571428</v>
      </c>
      <c r="E26" s="837">
        <f t="shared" si="2"/>
        <v>1335.143685</v>
      </c>
      <c r="F26" s="837">
        <f t="shared" si="2"/>
        <v>76.850949948579171</v>
      </c>
      <c r="G26" s="837">
        <f t="shared" si="2"/>
        <v>8702.4235867391308</v>
      </c>
      <c r="H26" s="837">
        <f t="shared" si="2"/>
        <v>0</v>
      </c>
      <c r="I26" s="837">
        <f t="shared" si="2"/>
        <v>0</v>
      </c>
      <c r="J26" s="837">
        <f t="shared" si="2"/>
        <v>0</v>
      </c>
      <c r="K26" s="837">
        <f t="shared" si="2"/>
        <v>678.41055365915906</v>
      </c>
      <c r="L26" s="837">
        <f t="shared" si="2"/>
        <v>0</v>
      </c>
      <c r="M26" s="837">
        <f t="shared" si="2"/>
        <v>0</v>
      </c>
      <c r="N26" s="837">
        <f t="shared" si="2"/>
        <v>0</v>
      </c>
      <c r="O26" s="837">
        <f t="shared" si="2"/>
        <v>0</v>
      </c>
      <c r="P26" s="837">
        <f t="shared" si="2"/>
        <v>0</v>
      </c>
      <c r="Q26" s="837">
        <f t="shared" si="2"/>
        <v>0</v>
      </c>
      <c r="R26" s="837">
        <f t="shared" si="2"/>
        <v>31144.665069918297</v>
      </c>
      <c r="S26" s="67"/>
    </row>
    <row r="27" spans="1:19" s="474" customFormat="1" ht="17.25" thickTop="1" thickBot="1">
      <c r="A27" s="721" t="s">
        <v>115</v>
      </c>
      <c r="B27" s="829"/>
      <c r="C27" s="722">
        <f ca="1">C22+C16+C26</f>
        <v>43507.274684157041</v>
      </c>
      <c r="D27" s="722">
        <f t="shared" ref="D27:R27" ca="1" si="3">D22+D16+D26</f>
        <v>17228.571428571428</v>
      </c>
      <c r="E27" s="722">
        <f t="shared" ca="1" si="3"/>
        <v>93471.164724793271</v>
      </c>
      <c r="F27" s="722">
        <f t="shared" si="3"/>
        <v>8523.1148316458602</v>
      </c>
      <c r="G27" s="722">
        <f t="shared" ca="1" si="3"/>
        <v>11139.066638859862</v>
      </c>
      <c r="H27" s="722">
        <f t="shared" si="3"/>
        <v>112598.34309049211</v>
      </c>
      <c r="I27" s="722">
        <f t="shared" si="3"/>
        <v>19491.927597616566</v>
      </c>
      <c r="J27" s="722">
        <f t="shared" si="3"/>
        <v>0</v>
      </c>
      <c r="K27" s="722">
        <f t="shared" si="3"/>
        <v>685.44055243900561</v>
      </c>
      <c r="L27" s="722">
        <f t="shared" si="3"/>
        <v>0</v>
      </c>
      <c r="M27" s="722">
        <f t="shared" ca="1" si="3"/>
        <v>0</v>
      </c>
      <c r="N27" s="722">
        <f t="shared" si="3"/>
        <v>7770.6424793720917</v>
      </c>
      <c r="O27" s="722">
        <f t="shared" ca="1" si="3"/>
        <v>30847.665708960951</v>
      </c>
      <c r="P27" s="722">
        <f t="shared" si="3"/>
        <v>378.68548077241735</v>
      </c>
      <c r="Q27" s="722">
        <f t="shared" si="3"/>
        <v>810.85355022788667</v>
      </c>
      <c r="R27" s="722">
        <f t="shared" ca="1" si="3"/>
        <v>346452.75076790847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2502.2924145021484</v>
      </c>
      <c r="D40" s="712">
        <f ca="1">tertiair!C20</f>
        <v>0</v>
      </c>
      <c r="E40" s="712">
        <f ca="1">tertiair!D20</f>
        <v>3356.2767160867124</v>
      </c>
      <c r="F40" s="712">
        <f>tertiair!E20</f>
        <v>35.220393213517852</v>
      </c>
      <c r="G40" s="712">
        <f ca="1">tertiair!F20</f>
        <v>438.13636324858766</v>
      </c>
      <c r="H40" s="712">
        <f>tertiair!G20</f>
        <v>0</v>
      </c>
      <c r="I40" s="712">
        <f>tertiair!H20</f>
        <v>0</v>
      </c>
      <c r="J40" s="712">
        <f>tertiair!I20</f>
        <v>0</v>
      </c>
      <c r="K40" s="712">
        <f>tertiair!J20</f>
        <v>2.2905523036647123E-2</v>
      </c>
      <c r="L40" s="712">
        <f>tertiair!K20</f>
        <v>0</v>
      </c>
      <c r="M40" s="712">
        <f ca="1">tertiair!L20</f>
        <v>0</v>
      </c>
      <c r="N40" s="712">
        <f>tertiair!M20</f>
        <v>0</v>
      </c>
      <c r="O40" s="712">
        <f ca="1">tertiair!N20</f>
        <v>0</v>
      </c>
      <c r="P40" s="712">
        <f>tertiair!O20</f>
        <v>0</v>
      </c>
      <c r="Q40" s="795">
        <f>tertiair!P20</f>
        <v>0</v>
      </c>
      <c r="R40" s="875">
        <f t="shared" ca="1" si="4"/>
        <v>6331.9487925740032</v>
      </c>
    </row>
    <row r="41" spans="1:18">
      <c r="A41" s="847" t="s">
        <v>224</v>
      </c>
      <c r="B41" s="854"/>
      <c r="C41" s="712">
        <f ca="1">huishoudens!B12</f>
        <v>4371.2455527575667</v>
      </c>
      <c r="D41" s="712">
        <f ca="1">huishoudens!C12</f>
        <v>0</v>
      </c>
      <c r="E41" s="712">
        <f>huishoudens!D12</f>
        <v>14731.262046814632</v>
      </c>
      <c r="F41" s="712">
        <f>huishoudens!E12</f>
        <v>1774.8742797837594</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20877.381879355959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349.55933619303954</v>
      </c>
      <c r="D43" s="712">
        <f ca="1">industrie!C22</f>
        <v>0</v>
      </c>
      <c r="E43" s="712">
        <f>industrie!D22</f>
        <v>472.31240265391602</v>
      </c>
      <c r="F43" s="712">
        <f>industrie!E22</f>
        <v>56.625540583666648</v>
      </c>
      <c r="G43" s="712">
        <f>industrie!F22</f>
        <v>212.4473316676478</v>
      </c>
      <c r="H43" s="712">
        <f>industrie!G22</f>
        <v>0</v>
      </c>
      <c r="I43" s="712">
        <f>industrie!H22</f>
        <v>0</v>
      </c>
      <c r="J43" s="712">
        <f>industrie!I22</f>
        <v>0</v>
      </c>
      <c r="K43" s="712">
        <f>industrie!J22</f>
        <v>2.4657140450290136</v>
      </c>
      <c r="L43" s="712">
        <f>industrie!K22</f>
        <v>0</v>
      </c>
      <c r="M43" s="712">
        <f>industrie!L22</f>
        <v>0</v>
      </c>
      <c r="N43" s="712">
        <f>industrie!M22</f>
        <v>0</v>
      </c>
      <c r="O43" s="712">
        <f>industrie!N22</f>
        <v>0</v>
      </c>
      <c r="P43" s="712">
        <f>industrie!O22</f>
        <v>0</v>
      </c>
      <c r="Q43" s="795">
        <f>industrie!P22</f>
        <v>0</v>
      </c>
      <c r="R43" s="874">
        <f t="shared" ca="1" si="4"/>
        <v>1093.4103251432991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7223.0973034527551</v>
      </c>
      <c r="D46" s="748">
        <f t="shared" ref="D46:Q46" ca="1" si="5">SUM(D39:D45)</f>
        <v>0</v>
      </c>
      <c r="E46" s="748">
        <f t="shared" ca="1" si="5"/>
        <v>18559.851165555261</v>
      </c>
      <c r="F46" s="748">
        <f t="shared" si="5"/>
        <v>1866.7202135809439</v>
      </c>
      <c r="G46" s="748">
        <f t="shared" ca="1" si="5"/>
        <v>650.58369491623546</v>
      </c>
      <c r="H46" s="748">
        <f t="shared" si="5"/>
        <v>0</v>
      </c>
      <c r="I46" s="748">
        <f t="shared" si="5"/>
        <v>0</v>
      </c>
      <c r="J46" s="748">
        <f t="shared" si="5"/>
        <v>0</v>
      </c>
      <c r="K46" s="748">
        <f t="shared" si="5"/>
        <v>2.4886195680656606</v>
      </c>
      <c r="L46" s="748">
        <f t="shared" si="5"/>
        <v>0</v>
      </c>
      <c r="M46" s="748">
        <f t="shared" ca="1" si="5"/>
        <v>0</v>
      </c>
      <c r="N46" s="748">
        <f t="shared" si="5"/>
        <v>0</v>
      </c>
      <c r="O46" s="748">
        <f t="shared" ca="1" si="5"/>
        <v>0</v>
      </c>
      <c r="P46" s="748">
        <f t="shared" si="5"/>
        <v>0</v>
      </c>
      <c r="Q46" s="748">
        <f t="shared" si="5"/>
        <v>0</v>
      </c>
      <c r="R46" s="748">
        <f ca="1">SUM(R39:R45)</f>
        <v>28302.740997073262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328.80880577053279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328.80880577053279</v>
      </c>
    </row>
    <row r="50" spans="1:18">
      <c r="A50" s="850" t="s">
        <v>306</v>
      </c>
      <c r="B50" s="860"/>
      <c r="C50" s="718">
        <f ca="1">transport!B18</f>
        <v>11.719961925928054</v>
      </c>
      <c r="D50" s="718">
        <f>transport!C18</f>
        <v>0</v>
      </c>
      <c r="E50" s="718">
        <f>transport!D18</f>
        <v>51.625084482980533</v>
      </c>
      <c r="F50" s="718">
        <f>transport!E18</f>
        <v>50.581687564339035</v>
      </c>
      <c r="G50" s="718">
        <f>transport!F18</f>
        <v>0</v>
      </c>
      <c r="H50" s="718">
        <f>transport!G18</f>
        <v>29734.948799390862</v>
      </c>
      <c r="I50" s="718">
        <f>transport!H18</f>
        <v>4853.4899718065253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34702.365505170637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11.719961925928054</v>
      </c>
      <c r="D52" s="748">
        <f t="shared" ref="D52:Q52" ca="1" si="6">SUM(D48:D51)</f>
        <v>0</v>
      </c>
      <c r="E52" s="748">
        <f t="shared" si="6"/>
        <v>51.625084482980533</v>
      </c>
      <c r="F52" s="748">
        <f t="shared" si="6"/>
        <v>50.581687564339035</v>
      </c>
      <c r="G52" s="748">
        <f t="shared" si="6"/>
        <v>0</v>
      </c>
      <c r="H52" s="748">
        <f t="shared" si="6"/>
        <v>30063.757605161394</v>
      </c>
      <c r="I52" s="748">
        <f t="shared" si="6"/>
        <v>4853.4899718065253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35031.174310941169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441.14177641724262</v>
      </c>
      <c r="D54" s="718">
        <f ca="1">+landbouw!C12</f>
        <v>4094.3193277310938</v>
      </c>
      <c r="E54" s="718">
        <f>+landbouw!D12</f>
        <v>0</v>
      </c>
      <c r="F54" s="718">
        <f>+landbouw!E12</f>
        <v>17.445165638327474</v>
      </c>
      <c r="G54" s="718">
        <f>+landbouw!F12</f>
        <v>2323.5470976593479</v>
      </c>
      <c r="H54" s="718">
        <f>+landbouw!G12</f>
        <v>0</v>
      </c>
      <c r="I54" s="718">
        <f>+landbouw!H12</f>
        <v>0</v>
      </c>
      <c r="J54" s="718">
        <f>+landbouw!I12</f>
        <v>0</v>
      </c>
      <c r="K54" s="718">
        <f>+landbouw!J12</f>
        <v>240.15733599534229</v>
      </c>
      <c r="L54" s="718">
        <f>+landbouw!K12</f>
        <v>0</v>
      </c>
      <c r="M54" s="718">
        <f>+landbouw!L12</f>
        <v>0</v>
      </c>
      <c r="N54" s="718">
        <f>+landbouw!M12</f>
        <v>0</v>
      </c>
      <c r="O54" s="718">
        <f>+landbouw!N12</f>
        <v>0</v>
      </c>
      <c r="P54" s="718">
        <f>+landbouw!O12</f>
        <v>0</v>
      </c>
      <c r="Q54" s="719">
        <f>+landbouw!P12</f>
        <v>0</v>
      </c>
      <c r="R54" s="747">
        <f ca="1">SUM(C54:Q54)</f>
        <v>7116.6107034413544</v>
      </c>
    </row>
    <row r="55" spans="1:18" ht="15" thickBot="1">
      <c r="A55" s="850" t="s">
        <v>734</v>
      </c>
      <c r="B55" s="860"/>
      <c r="C55" s="718">
        <f ca="1">C25*'EF ele_warmte'!B12</f>
        <v>118.39281855326333</v>
      </c>
      <c r="D55" s="718"/>
      <c r="E55" s="718">
        <f>E25*EF_CO2_aardgas</f>
        <v>269.69902437000002</v>
      </c>
      <c r="F55" s="718"/>
      <c r="G55" s="718"/>
      <c r="H55" s="718"/>
      <c r="I55" s="718"/>
      <c r="J55" s="718"/>
      <c r="K55" s="718"/>
      <c r="L55" s="718"/>
      <c r="M55" s="718"/>
      <c r="N55" s="718"/>
      <c r="O55" s="718"/>
      <c r="P55" s="718"/>
      <c r="Q55" s="719"/>
      <c r="R55" s="747">
        <f ca="1">SUM(C55:Q55)</f>
        <v>388.09184292326336</v>
      </c>
    </row>
    <row r="56" spans="1:18" ht="15.75" thickBot="1">
      <c r="A56" s="848" t="s">
        <v>735</v>
      </c>
      <c r="B56" s="861"/>
      <c r="C56" s="748">
        <f ca="1">SUM(C54:C55)</f>
        <v>559.53459497050596</v>
      </c>
      <c r="D56" s="748">
        <f t="shared" ref="D56:Q56" ca="1" si="7">SUM(D54:D55)</f>
        <v>4094.3193277310938</v>
      </c>
      <c r="E56" s="748">
        <f t="shared" si="7"/>
        <v>269.69902437000002</v>
      </c>
      <c r="F56" s="748">
        <f t="shared" si="7"/>
        <v>17.445165638327474</v>
      </c>
      <c r="G56" s="748">
        <f t="shared" si="7"/>
        <v>2323.5470976593479</v>
      </c>
      <c r="H56" s="748">
        <f t="shared" si="7"/>
        <v>0</v>
      </c>
      <c r="I56" s="748">
        <f t="shared" si="7"/>
        <v>0</v>
      </c>
      <c r="J56" s="748">
        <f t="shared" si="7"/>
        <v>0</v>
      </c>
      <c r="K56" s="748">
        <f t="shared" si="7"/>
        <v>240.15733599534229</v>
      </c>
      <c r="L56" s="748">
        <f t="shared" si="7"/>
        <v>0</v>
      </c>
      <c r="M56" s="748">
        <f t="shared" si="7"/>
        <v>0</v>
      </c>
      <c r="N56" s="748">
        <f t="shared" si="7"/>
        <v>0</v>
      </c>
      <c r="O56" s="748">
        <f t="shared" si="7"/>
        <v>0</v>
      </c>
      <c r="P56" s="748">
        <f t="shared" si="7"/>
        <v>0</v>
      </c>
      <c r="Q56" s="749">
        <f t="shared" si="7"/>
        <v>0</v>
      </c>
      <c r="R56" s="750">
        <f ca="1">SUM(R54:R55)</f>
        <v>7504.7025463646178</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7794.3518603491893</v>
      </c>
      <c r="D61" s="756">
        <f t="shared" ref="D61:Q61" ca="1" si="8">D46+D52+D56</f>
        <v>4094.3193277310938</v>
      </c>
      <c r="E61" s="756">
        <f t="shared" ca="1" si="8"/>
        <v>18881.175274408241</v>
      </c>
      <c r="F61" s="756">
        <f t="shared" si="8"/>
        <v>1934.7470667836105</v>
      </c>
      <c r="G61" s="756">
        <f t="shared" ca="1" si="8"/>
        <v>2974.1307925755832</v>
      </c>
      <c r="H61" s="756">
        <f t="shared" si="8"/>
        <v>30063.757605161394</v>
      </c>
      <c r="I61" s="756">
        <f t="shared" si="8"/>
        <v>4853.4899718065253</v>
      </c>
      <c r="J61" s="756">
        <f t="shared" si="8"/>
        <v>0</v>
      </c>
      <c r="K61" s="756">
        <f t="shared" si="8"/>
        <v>242.64595556340797</v>
      </c>
      <c r="L61" s="756">
        <f t="shared" si="8"/>
        <v>0</v>
      </c>
      <c r="M61" s="756">
        <f t="shared" ca="1" si="8"/>
        <v>0</v>
      </c>
      <c r="N61" s="756">
        <f t="shared" si="8"/>
        <v>0</v>
      </c>
      <c r="O61" s="756">
        <f t="shared" ca="1" si="8"/>
        <v>0</v>
      </c>
      <c r="P61" s="756">
        <f t="shared" si="8"/>
        <v>0</v>
      </c>
      <c r="Q61" s="756">
        <f t="shared" si="8"/>
        <v>0</v>
      </c>
      <c r="R61" s="756">
        <f ca="1">R46+R52+R56</f>
        <v>70838.617854379045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0.17915054245370748</v>
      </c>
      <c r="D63" s="802">
        <f t="shared" ca="1" si="9"/>
        <v>0.23764705882352952</v>
      </c>
      <c r="E63" s="1008">
        <f t="shared" ca="1" si="9"/>
        <v>0.20199999999999999</v>
      </c>
      <c r="F63" s="802">
        <f t="shared" si="9"/>
        <v>0.22700000000000004</v>
      </c>
      <c r="G63" s="802">
        <f t="shared" ca="1" si="9"/>
        <v>0.26700000000000002</v>
      </c>
      <c r="H63" s="802">
        <f t="shared" si="9"/>
        <v>0.26700000000000002</v>
      </c>
      <c r="I63" s="802">
        <f t="shared" si="9"/>
        <v>0.24900000000000003</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4036.1530181424273</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5110.9934717276365</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12060</v>
      </c>
      <c r="D76" s="991">
        <f>'lokale energieproductie'!C8</f>
        <v>14188.23529411765</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2866.0235294117656</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9147.1464898700633</v>
      </c>
      <c r="C78" s="774">
        <f>SUM(C72:C77)</f>
        <v>12060</v>
      </c>
      <c r="D78" s="775">
        <f t="shared" ref="D78:H78" si="10">SUM(D76:D77)</f>
        <v>14188.23529411765</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2866.0235294117656</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17228.571428571428</v>
      </c>
      <c r="D87" s="798">
        <f>'lokale energieproductie'!C17</f>
        <v>20268.907563025215</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4094.3193277310938</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17228.571428571428</v>
      </c>
      <c r="D90" s="774">
        <f t="shared" ref="D90:H90" si="12">SUM(D87:D89)</f>
        <v>20268.907563025215</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4094.3193277310938</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24399.845475695936</v>
      </c>
      <c r="C4" s="478">
        <f>huishoudens!C8</f>
        <v>0</v>
      </c>
      <c r="D4" s="478">
        <f>huishoudens!D8</f>
        <v>72927.039835716001</v>
      </c>
      <c r="E4" s="478">
        <f>huishoudens!E8</f>
        <v>7818.8294263601738</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28213.081815544301</v>
      </c>
      <c r="O4" s="478">
        <f>huishoudens!O8</f>
        <v>359.09643770905274</v>
      </c>
      <c r="P4" s="479">
        <f>huishoudens!P8</f>
        <v>705.77527361489661</v>
      </c>
      <c r="Q4" s="480">
        <f>SUM(B4:P4)</f>
        <v>134423.66826464035</v>
      </c>
    </row>
    <row r="5" spans="1:17">
      <c r="A5" s="477" t="s">
        <v>155</v>
      </c>
      <c r="B5" s="478">
        <f ca="1">tertiair!B16</f>
        <v>13260.100261</v>
      </c>
      <c r="C5" s="478">
        <f ca="1">tertiair!C16</f>
        <v>0</v>
      </c>
      <c r="D5" s="478">
        <f ca="1">tertiair!D16</f>
        <v>16615.231267756</v>
      </c>
      <c r="E5" s="478">
        <f>tertiair!E16</f>
        <v>155.15591724016673</v>
      </c>
      <c r="F5" s="478">
        <f ca="1">tertiair!F16</f>
        <v>1640.960161979729</v>
      </c>
      <c r="G5" s="478">
        <f>tertiair!G16</f>
        <v>0</v>
      </c>
      <c r="H5" s="478">
        <f>tertiair!H16</f>
        <v>0</v>
      </c>
      <c r="I5" s="478">
        <f>tertiair!I16</f>
        <v>0</v>
      </c>
      <c r="J5" s="478">
        <f>tertiair!J16</f>
        <v>6.470486733516137E-2</v>
      </c>
      <c r="K5" s="478">
        <f>tertiair!K16</f>
        <v>0</v>
      </c>
      <c r="L5" s="478">
        <f ca="1">tertiair!L16</f>
        <v>0</v>
      </c>
      <c r="M5" s="478">
        <f>tertiair!M16</f>
        <v>0</v>
      </c>
      <c r="N5" s="478">
        <f ca="1">tertiair!N16</f>
        <v>2529.2173226994964</v>
      </c>
      <c r="O5" s="478">
        <f>tertiair!O16</f>
        <v>19.589043063364617</v>
      </c>
      <c r="P5" s="479">
        <f>tertiair!P16</f>
        <v>105.07827661299004</v>
      </c>
      <c r="Q5" s="477">
        <f t="shared" ref="Q5:Q14" ca="1" si="0">SUM(B5:P5)</f>
        <v>34325.396955219083</v>
      </c>
    </row>
    <row r="6" spans="1:17">
      <c r="A6" s="477" t="s">
        <v>193</v>
      </c>
      <c r="B6" s="478">
        <f>'openbare verlichting'!B8</f>
        <v>707.44</v>
      </c>
      <c r="C6" s="478"/>
      <c r="D6" s="478"/>
      <c r="E6" s="478"/>
      <c r="F6" s="478"/>
      <c r="G6" s="478"/>
      <c r="H6" s="478"/>
      <c r="I6" s="478"/>
      <c r="J6" s="478"/>
      <c r="K6" s="478"/>
      <c r="L6" s="478"/>
      <c r="M6" s="478"/>
      <c r="N6" s="478"/>
      <c r="O6" s="478"/>
      <c r="P6" s="479"/>
      <c r="Q6" s="477">
        <f t="shared" si="0"/>
        <v>707.44</v>
      </c>
    </row>
    <row r="7" spans="1:17">
      <c r="A7" s="477" t="s">
        <v>111</v>
      </c>
      <c r="B7" s="478">
        <f>landbouw!B8</f>
        <v>2462.408265</v>
      </c>
      <c r="C7" s="478">
        <f>landbouw!C8</f>
        <v>17228.571428571428</v>
      </c>
      <c r="D7" s="478">
        <f>landbouw!D8</f>
        <v>0</v>
      </c>
      <c r="E7" s="478">
        <f>landbouw!E8</f>
        <v>76.850949948579171</v>
      </c>
      <c r="F7" s="478">
        <f>landbouw!F8</f>
        <v>8702.4235867391308</v>
      </c>
      <c r="G7" s="478">
        <f>landbouw!G8</f>
        <v>0</v>
      </c>
      <c r="H7" s="478">
        <f>landbouw!H8</f>
        <v>0</v>
      </c>
      <c r="I7" s="478">
        <f>landbouw!I8</f>
        <v>0</v>
      </c>
      <c r="J7" s="478">
        <f>landbouw!J8</f>
        <v>678.41055365915906</v>
      </c>
      <c r="K7" s="478">
        <f>landbouw!K8</f>
        <v>0</v>
      </c>
      <c r="L7" s="478">
        <f>landbouw!L8</f>
        <v>0</v>
      </c>
      <c r="M7" s="478">
        <f>landbouw!M8</f>
        <v>0</v>
      </c>
      <c r="N7" s="478">
        <f>landbouw!N8</f>
        <v>0</v>
      </c>
      <c r="O7" s="478">
        <f>landbouw!O8</f>
        <v>0</v>
      </c>
      <c r="P7" s="479">
        <f>landbouw!P8</f>
        <v>0</v>
      </c>
      <c r="Q7" s="477">
        <f t="shared" si="0"/>
        <v>29148.664783918299</v>
      </c>
    </row>
    <row r="8" spans="1:17">
      <c r="A8" s="477" t="s">
        <v>629</v>
      </c>
      <c r="B8" s="478">
        <f>industrie!B18</f>
        <v>1951.2044530000001</v>
      </c>
      <c r="C8" s="478">
        <f>industrie!C18</f>
        <v>0</v>
      </c>
      <c r="D8" s="478">
        <f>industrie!D18</f>
        <v>2338.180211158</v>
      </c>
      <c r="E8" s="478">
        <f>industrie!E18</f>
        <v>249.45172063289272</v>
      </c>
      <c r="F8" s="478">
        <f>industrie!F18</f>
        <v>795.68289014100299</v>
      </c>
      <c r="G8" s="478">
        <f>industrie!G18</f>
        <v>0</v>
      </c>
      <c r="H8" s="478">
        <f>industrie!H18</f>
        <v>0</v>
      </c>
      <c r="I8" s="478">
        <f>industrie!I18</f>
        <v>0</v>
      </c>
      <c r="J8" s="478">
        <f>industrie!J18</f>
        <v>6.9652939125113384</v>
      </c>
      <c r="K8" s="478">
        <f>industrie!K18</f>
        <v>0</v>
      </c>
      <c r="L8" s="478">
        <f>industrie!L18</f>
        <v>0</v>
      </c>
      <c r="M8" s="478">
        <f>industrie!M18</f>
        <v>0</v>
      </c>
      <c r="N8" s="478">
        <f>industrie!N18</f>
        <v>105.36657071715292</v>
      </c>
      <c r="O8" s="478">
        <f>industrie!O18</f>
        <v>0</v>
      </c>
      <c r="P8" s="479">
        <f>industrie!P18</f>
        <v>0</v>
      </c>
      <c r="Q8" s="477">
        <f t="shared" si="0"/>
        <v>5446.8511395615606</v>
      </c>
    </row>
    <row r="9" spans="1:17" s="483" customFormat="1">
      <c r="A9" s="481" t="s">
        <v>555</v>
      </c>
      <c r="B9" s="482">
        <f>transport!B14</f>
        <v>65.419628461111103</v>
      </c>
      <c r="C9" s="482">
        <f>transport!C14</f>
        <v>0</v>
      </c>
      <c r="D9" s="482">
        <f>transport!D14</f>
        <v>255.56972516326996</v>
      </c>
      <c r="E9" s="482">
        <f>transport!E14</f>
        <v>222.82681746404862</v>
      </c>
      <c r="F9" s="482">
        <f>transport!F14</f>
        <v>0</v>
      </c>
      <c r="G9" s="482">
        <f>transport!G14</f>
        <v>111366.84943592083</v>
      </c>
      <c r="H9" s="482">
        <f>transport!H14</f>
        <v>19491.927597616566</v>
      </c>
      <c r="I9" s="482">
        <f>transport!I14</f>
        <v>0</v>
      </c>
      <c r="J9" s="482">
        <f>transport!J14</f>
        <v>0</v>
      </c>
      <c r="K9" s="482">
        <f>transport!K14</f>
        <v>0</v>
      </c>
      <c r="L9" s="482">
        <f>transport!L14</f>
        <v>0</v>
      </c>
      <c r="M9" s="482">
        <f>transport!M14</f>
        <v>7702.1959257937324</v>
      </c>
      <c r="N9" s="482">
        <f>transport!N14</f>
        <v>0</v>
      </c>
      <c r="O9" s="482">
        <f>transport!O14</f>
        <v>0</v>
      </c>
      <c r="P9" s="482">
        <f>transport!P14</f>
        <v>0</v>
      </c>
      <c r="Q9" s="481">
        <f>SUM(B9:P9)</f>
        <v>139104.78913041955</v>
      </c>
    </row>
    <row r="10" spans="1:17">
      <c r="A10" s="477" t="s">
        <v>545</v>
      </c>
      <c r="B10" s="478">
        <f>transport!B54</f>
        <v>0</v>
      </c>
      <c r="C10" s="478">
        <f>transport!C54</f>
        <v>0</v>
      </c>
      <c r="D10" s="478">
        <f>transport!D54</f>
        <v>0</v>
      </c>
      <c r="E10" s="478">
        <f>transport!E54</f>
        <v>0</v>
      </c>
      <c r="F10" s="478">
        <f>transport!F54</f>
        <v>0</v>
      </c>
      <c r="G10" s="478">
        <f>transport!G54</f>
        <v>1231.4936545712837</v>
      </c>
      <c r="H10" s="478">
        <f>transport!H54</f>
        <v>0</v>
      </c>
      <c r="I10" s="478">
        <f>transport!I54</f>
        <v>0</v>
      </c>
      <c r="J10" s="478">
        <f>transport!J54</f>
        <v>0</v>
      </c>
      <c r="K10" s="478">
        <f>transport!K54</f>
        <v>0</v>
      </c>
      <c r="L10" s="478">
        <f>transport!L54</f>
        <v>0</v>
      </c>
      <c r="M10" s="478">
        <f>transport!M54</f>
        <v>68.446553578359527</v>
      </c>
      <c r="N10" s="478">
        <f>transport!N54</f>
        <v>0</v>
      </c>
      <c r="O10" s="478">
        <f>transport!O54</f>
        <v>0</v>
      </c>
      <c r="P10" s="479">
        <f>transport!P54</f>
        <v>0</v>
      </c>
      <c r="Q10" s="477">
        <f t="shared" si="0"/>
        <v>1299.9402081496432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660.85660100000007</v>
      </c>
      <c r="C14" s="485"/>
      <c r="D14" s="485">
        <f>'SEAP template'!E25</f>
        <v>1335.143685</v>
      </c>
      <c r="E14" s="485"/>
      <c r="F14" s="485"/>
      <c r="G14" s="485"/>
      <c r="H14" s="485"/>
      <c r="I14" s="485"/>
      <c r="J14" s="485"/>
      <c r="K14" s="485"/>
      <c r="L14" s="485"/>
      <c r="M14" s="485"/>
      <c r="N14" s="485"/>
      <c r="O14" s="485"/>
      <c r="P14" s="486"/>
      <c r="Q14" s="477">
        <f t="shared" si="0"/>
        <v>1996.000286</v>
      </c>
    </row>
    <row r="15" spans="1:17" s="489" customFormat="1">
      <c r="A15" s="487" t="s">
        <v>549</v>
      </c>
      <c r="B15" s="488">
        <f ca="1">SUM(B4:B14)</f>
        <v>43507.274684157048</v>
      </c>
      <c r="C15" s="488">
        <f t="shared" ref="C15:Q15" ca="1" si="1">SUM(C4:C14)</f>
        <v>17228.571428571428</v>
      </c>
      <c r="D15" s="488">
        <f t="shared" ca="1" si="1"/>
        <v>93471.164724793271</v>
      </c>
      <c r="E15" s="488">
        <f t="shared" si="1"/>
        <v>8523.1148316458602</v>
      </c>
      <c r="F15" s="488">
        <f t="shared" ca="1" si="1"/>
        <v>11139.066638859862</v>
      </c>
      <c r="G15" s="488">
        <f t="shared" si="1"/>
        <v>112598.34309049211</v>
      </c>
      <c r="H15" s="488">
        <f t="shared" si="1"/>
        <v>19491.927597616566</v>
      </c>
      <c r="I15" s="488">
        <f t="shared" si="1"/>
        <v>0</v>
      </c>
      <c r="J15" s="488">
        <f t="shared" si="1"/>
        <v>685.44055243900561</v>
      </c>
      <c r="K15" s="488">
        <f t="shared" si="1"/>
        <v>0</v>
      </c>
      <c r="L15" s="488">
        <f t="shared" ca="1" si="1"/>
        <v>0</v>
      </c>
      <c r="M15" s="488">
        <f t="shared" si="1"/>
        <v>7770.6424793720917</v>
      </c>
      <c r="N15" s="488">
        <f t="shared" ca="1" si="1"/>
        <v>30847.665708960951</v>
      </c>
      <c r="O15" s="488">
        <f t="shared" si="1"/>
        <v>378.68548077241735</v>
      </c>
      <c r="P15" s="488">
        <f t="shared" si="1"/>
        <v>810.85355022788667</v>
      </c>
      <c r="Q15" s="488">
        <f t="shared" ca="1" si="1"/>
        <v>346452.75076790852</v>
      </c>
    </row>
    <row r="17" spans="1:17">
      <c r="A17" s="490" t="s">
        <v>550</v>
      </c>
      <c r="B17" s="807">
        <f ca="1">huishoudens!B10</f>
        <v>0.17915054245370746</v>
      </c>
      <c r="C17" s="807">
        <f ca="1">huishoudens!C10</f>
        <v>0.23764705882352952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4371.2455527575667</v>
      </c>
      <c r="C22" s="478">
        <f t="shared" ref="C22:C32" ca="1" si="3">C4*$C$17</f>
        <v>0</v>
      </c>
      <c r="D22" s="478">
        <f t="shared" ref="D22:D32" si="4">D4*$D$17</f>
        <v>14731.262046814632</v>
      </c>
      <c r="E22" s="478">
        <f t="shared" ref="E22:E32" si="5">E4*$E$17</f>
        <v>1774.8742797837594</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20877.381879355959</v>
      </c>
    </row>
    <row r="23" spans="1:17">
      <c r="A23" s="477" t="s">
        <v>155</v>
      </c>
      <c r="B23" s="478">
        <f t="shared" ca="1" si="2"/>
        <v>2375.5541547486978</v>
      </c>
      <c r="C23" s="478">
        <f t="shared" ca="1" si="3"/>
        <v>0</v>
      </c>
      <c r="D23" s="478">
        <f t="shared" ca="1" si="4"/>
        <v>3356.2767160867124</v>
      </c>
      <c r="E23" s="478">
        <f t="shared" si="5"/>
        <v>35.220393213517852</v>
      </c>
      <c r="F23" s="478">
        <f t="shared" ca="1" si="6"/>
        <v>438.13636324858766</v>
      </c>
      <c r="G23" s="478">
        <f t="shared" si="7"/>
        <v>0</v>
      </c>
      <c r="H23" s="478">
        <f t="shared" si="8"/>
        <v>0</v>
      </c>
      <c r="I23" s="478">
        <f t="shared" si="9"/>
        <v>0</v>
      </c>
      <c r="J23" s="478">
        <f t="shared" si="10"/>
        <v>2.2905523036647123E-2</v>
      </c>
      <c r="K23" s="478">
        <f t="shared" si="11"/>
        <v>0</v>
      </c>
      <c r="L23" s="478">
        <f t="shared" ca="1" si="12"/>
        <v>0</v>
      </c>
      <c r="M23" s="478">
        <f t="shared" si="13"/>
        <v>0</v>
      </c>
      <c r="N23" s="478">
        <f t="shared" ca="1" si="14"/>
        <v>0</v>
      </c>
      <c r="O23" s="478">
        <f t="shared" si="15"/>
        <v>0</v>
      </c>
      <c r="P23" s="479">
        <f t="shared" si="16"/>
        <v>0</v>
      </c>
      <c r="Q23" s="477">
        <f t="shared" ref="Q23:Q31" ca="1" si="17">SUM(B23:P23)</f>
        <v>6205.2105328205525</v>
      </c>
    </row>
    <row r="24" spans="1:17">
      <c r="A24" s="477" t="s">
        <v>193</v>
      </c>
      <c r="B24" s="478">
        <f t="shared" ca="1" si="2"/>
        <v>126.73825975345082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126.73825975345082</v>
      </c>
    </row>
    <row r="25" spans="1:17">
      <c r="A25" s="477" t="s">
        <v>111</v>
      </c>
      <c r="B25" s="478">
        <f t="shared" ca="1" si="2"/>
        <v>441.14177641724262</v>
      </c>
      <c r="C25" s="478">
        <f t="shared" ca="1" si="3"/>
        <v>4094.3193277310938</v>
      </c>
      <c r="D25" s="478">
        <f t="shared" si="4"/>
        <v>0</v>
      </c>
      <c r="E25" s="478">
        <f t="shared" si="5"/>
        <v>17.445165638327474</v>
      </c>
      <c r="F25" s="478">
        <f t="shared" si="6"/>
        <v>2323.5470976593479</v>
      </c>
      <c r="G25" s="478">
        <f t="shared" si="7"/>
        <v>0</v>
      </c>
      <c r="H25" s="478">
        <f t="shared" si="8"/>
        <v>0</v>
      </c>
      <c r="I25" s="478">
        <f t="shared" si="9"/>
        <v>0</v>
      </c>
      <c r="J25" s="478">
        <f t="shared" si="10"/>
        <v>240.15733599534229</v>
      </c>
      <c r="K25" s="478">
        <f t="shared" si="11"/>
        <v>0</v>
      </c>
      <c r="L25" s="478">
        <f t="shared" si="12"/>
        <v>0</v>
      </c>
      <c r="M25" s="478">
        <f t="shared" si="13"/>
        <v>0</v>
      </c>
      <c r="N25" s="478">
        <f t="shared" si="14"/>
        <v>0</v>
      </c>
      <c r="O25" s="478">
        <f t="shared" si="15"/>
        <v>0</v>
      </c>
      <c r="P25" s="479">
        <f t="shared" si="16"/>
        <v>0</v>
      </c>
      <c r="Q25" s="477">
        <f t="shared" ca="1" si="17"/>
        <v>7116.6107034413544</v>
      </c>
    </row>
    <row r="26" spans="1:17">
      <c r="A26" s="477" t="s">
        <v>629</v>
      </c>
      <c r="B26" s="478">
        <f t="shared" ca="1" si="2"/>
        <v>349.55933619303954</v>
      </c>
      <c r="C26" s="478">
        <f t="shared" ca="1" si="3"/>
        <v>0</v>
      </c>
      <c r="D26" s="478">
        <f t="shared" si="4"/>
        <v>472.31240265391602</v>
      </c>
      <c r="E26" s="478">
        <f t="shared" si="5"/>
        <v>56.625540583666648</v>
      </c>
      <c r="F26" s="478">
        <f t="shared" si="6"/>
        <v>212.4473316676478</v>
      </c>
      <c r="G26" s="478">
        <f t="shared" si="7"/>
        <v>0</v>
      </c>
      <c r="H26" s="478">
        <f t="shared" si="8"/>
        <v>0</v>
      </c>
      <c r="I26" s="478">
        <f t="shared" si="9"/>
        <v>0</v>
      </c>
      <c r="J26" s="478">
        <f t="shared" si="10"/>
        <v>2.4657140450290136</v>
      </c>
      <c r="K26" s="478">
        <f t="shared" si="11"/>
        <v>0</v>
      </c>
      <c r="L26" s="478">
        <f t="shared" si="12"/>
        <v>0</v>
      </c>
      <c r="M26" s="478">
        <f t="shared" si="13"/>
        <v>0</v>
      </c>
      <c r="N26" s="478">
        <f t="shared" si="14"/>
        <v>0</v>
      </c>
      <c r="O26" s="478">
        <f t="shared" si="15"/>
        <v>0</v>
      </c>
      <c r="P26" s="479">
        <f t="shared" si="16"/>
        <v>0</v>
      </c>
      <c r="Q26" s="477">
        <f t="shared" ca="1" si="17"/>
        <v>1093.4103251432991</v>
      </c>
    </row>
    <row r="27" spans="1:17" s="483" customFormat="1">
      <c r="A27" s="481" t="s">
        <v>555</v>
      </c>
      <c r="B27" s="801">
        <f t="shared" ca="1" si="2"/>
        <v>11.719961925928054</v>
      </c>
      <c r="C27" s="482">
        <f t="shared" ca="1" si="3"/>
        <v>0</v>
      </c>
      <c r="D27" s="482">
        <f t="shared" si="4"/>
        <v>51.625084482980533</v>
      </c>
      <c r="E27" s="482">
        <f t="shared" si="5"/>
        <v>50.581687564339035</v>
      </c>
      <c r="F27" s="482">
        <f t="shared" si="6"/>
        <v>0</v>
      </c>
      <c r="G27" s="482">
        <f t="shared" si="7"/>
        <v>29734.948799390862</v>
      </c>
      <c r="H27" s="482">
        <f t="shared" si="8"/>
        <v>4853.4899718065253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34702.365505170637</v>
      </c>
    </row>
    <row r="28" spans="1:17" ht="16.5" customHeight="1">
      <c r="A28" s="477" t="s">
        <v>545</v>
      </c>
      <c r="B28" s="478">
        <f t="shared" ca="1" si="2"/>
        <v>0</v>
      </c>
      <c r="C28" s="478">
        <f t="shared" ca="1" si="3"/>
        <v>0</v>
      </c>
      <c r="D28" s="478">
        <f t="shared" si="4"/>
        <v>0</v>
      </c>
      <c r="E28" s="478">
        <f t="shared" si="5"/>
        <v>0</v>
      </c>
      <c r="F28" s="478">
        <f t="shared" si="6"/>
        <v>0</v>
      </c>
      <c r="G28" s="478">
        <f t="shared" si="7"/>
        <v>328.80880577053279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328.80880577053279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118.39281855326333</v>
      </c>
      <c r="C32" s="478">
        <f t="shared" ca="1" si="3"/>
        <v>0</v>
      </c>
      <c r="D32" s="478">
        <f t="shared" si="4"/>
        <v>269.69902437000002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388.09184292326336</v>
      </c>
    </row>
    <row r="33" spans="1:17" s="489" customFormat="1">
      <c r="A33" s="487" t="s">
        <v>549</v>
      </c>
      <c r="B33" s="488">
        <f ca="1">SUM(B22:B32)</f>
        <v>7794.3518603491893</v>
      </c>
      <c r="C33" s="488">
        <f t="shared" ref="C33:Q33" ca="1" si="19">SUM(C22:C32)</f>
        <v>4094.3193277310938</v>
      </c>
      <c r="D33" s="488">
        <f t="shared" ca="1" si="19"/>
        <v>18881.175274408241</v>
      </c>
      <c r="E33" s="488">
        <f t="shared" si="19"/>
        <v>1934.7470667836105</v>
      </c>
      <c r="F33" s="488">
        <f t="shared" ca="1" si="19"/>
        <v>2974.1307925755832</v>
      </c>
      <c r="G33" s="488">
        <f t="shared" si="19"/>
        <v>30063.757605161394</v>
      </c>
      <c r="H33" s="488">
        <f t="shared" si="19"/>
        <v>4853.4899718065253</v>
      </c>
      <c r="I33" s="488">
        <f t="shared" si="19"/>
        <v>0</v>
      </c>
      <c r="J33" s="488">
        <f t="shared" si="19"/>
        <v>242.64595556340797</v>
      </c>
      <c r="K33" s="488">
        <f t="shared" si="19"/>
        <v>0</v>
      </c>
      <c r="L33" s="488">
        <f t="shared" ca="1" si="19"/>
        <v>0</v>
      </c>
      <c r="M33" s="488">
        <f t="shared" si="19"/>
        <v>0</v>
      </c>
      <c r="N33" s="488">
        <f t="shared" ca="1" si="19"/>
        <v>0</v>
      </c>
      <c r="O33" s="488">
        <f t="shared" si="19"/>
        <v>0</v>
      </c>
      <c r="P33" s="488">
        <f t="shared" si="19"/>
        <v>0</v>
      </c>
      <c r="Q33" s="488">
        <f t="shared" ca="1" si="19"/>
        <v>70838.617854379045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4036.1530181424273</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5110.9934717276365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12060</v>
      </c>
      <c r="D8" s="1062">
        <f>'SEAP template'!D76</f>
        <v>14188.23529411765</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2866.0235294117656</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9147.1464898700633</v>
      </c>
      <c r="C10" s="1064">
        <f>SUM(C4:C9)</f>
        <v>12060</v>
      </c>
      <c r="D10" s="1064">
        <f t="shared" ref="D10:H10" si="0">SUM(D8:D9)</f>
        <v>14188.23529411765</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2866.0235294117656</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0.17915054245370746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17228.571428571428</v>
      </c>
      <c r="D17" s="1063">
        <f>'SEAP template'!D87</f>
        <v>20268.907563025215</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4094.3193277310938</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17228.571428571428</v>
      </c>
      <c r="D20" s="1064">
        <f t="shared" ref="D20:H20" si="2">SUM(D17:D19)</f>
        <v>20268.907563025215</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4094.3193277310938</v>
      </c>
    </row>
    <row r="21" spans="1:16">
      <c r="B21" s="913"/>
    </row>
    <row r="22" spans="1:16">
      <c r="A22" s="490" t="s">
        <v>814</v>
      </c>
      <c r="B22" s="807" t="s">
        <v>812</v>
      </c>
      <c r="C22" s="807">
        <f ca="1">'EF ele_warmte'!B22</f>
        <v>0.23764705882352952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0.17915054245370746</v>
      </c>
      <c r="C17" s="527">
        <f ca="1">'EF ele_warmte'!B22</f>
        <v>0.23764705882352952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0.17915054245370746</v>
      </c>
      <c r="C17" s="527">
        <f ca="1">'EF ele_warmte'!B22</f>
        <v>0.23764705882352952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0.17915054245370746</v>
      </c>
      <c r="C29" s="528">
        <f ca="1">'EF ele_warmte'!B22</f>
        <v>0.23764705882352952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13031</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5404</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1763.74</v>
      </c>
    </row>
    <row r="15" spans="1:6">
      <c r="A15" s="348" t="s">
        <v>183</v>
      </c>
      <c r="B15" s="334">
        <v>2274</v>
      </c>
    </row>
    <row r="16" spans="1:6">
      <c r="A16" s="348" t="s">
        <v>6</v>
      </c>
      <c r="B16" s="334">
        <v>956</v>
      </c>
    </row>
    <row r="17" spans="1:6">
      <c r="A17" s="348" t="s">
        <v>7</v>
      </c>
      <c r="B17" s="334">
        <v>262</v>
      </c>
    </row>
    <row r="18" spans="1:6">
      <c r="A18" s="348" t="s">
        <v>8</v>
      </c>
      <c r="B18" s="334">
        <v>706</v>
      </c>
    </row>
    <row r="19" spans="1:6">
      <c r="A19" s="348" t="s">
        <v>9</v>
      </c>
      <c r="B19" s="334">
        <v>738</v>
      </c>
    </row>
    <row r="20" spans="1:6">
      <c r="A20" s="348" t="s">
        <v>10</v>
      </c>
      <c r="B20" s="334">
        <v>506</v>
      </c>
    </row>
    <row r="21" spans="1:6">
      <c r="A21" s="348" t="s">
        <v>11</v>
      </c>
      <c r="B21" s="334">
        <v>8132</v>
      </c>
    </row>
    <row r="22" spans="1:6">
      <c r="A22" s="348" t="s">
        <v>12</v>
      </c>
      <c r="B22" s="334">
        <v>9018</v>
      </c>
    </row>
    <row r="23" spans="1:6">
      <c r="A23" s="348" t="s">
        <v>13</v>
      </c>
      <c r="B23" s="334">
        <v>82</v>
      </c>
    </row>
    <row r="24" spans="1:6">
      <c r="A24" s="348" t="s">
        <v>14</v>
      </c>
      <c r="B24" s="334">
        <v>8</v>
      </c>
    </row>
    <row r="25" spans="1:6">
      <c r="A25" s="348" t="s">
        <v>15</v>
      </c>
      <c r="B25" s="334">
        <v>832</v>
      </c>
    </row>
    <row r="26" spans="1:6">
      <c r="A26" s="348" t="s">
        <v>16</v>
      </c>
      <c r="B26" s="334">
        <v>8</v>
      </c>
    </row>
    <row r="27" spans="1:6">
      <c r="A27" s="348" t="s">
        <v>17</v>
      </c>
      <c r="B27" s="334">
        <v>0</v>
      </c>
    </row>
    <row r="28" spans="1:6" s="356" customFormat="1">
      <c r="A28" s="355" t="s">
        <v>18</v>
      </c>
      <c r="B28" s="355">
        <v>242670</v>
      </c>
    </row>
    <row r="29" spans="1:6">
      <c r="A29" s="355" t="s">
        <v>713</v>
      </c>
      <c r="B29" s="355">
        <v>59</v>
      </c>
      <c r="C29" s="356"/>
      <c r="D29" s="356"/>
      <c r="E29" s="356"/>
      <c r="F29" s="356"/>
    </row>
    <row r="30" spans="1:6">
      <c r="A30" s="341" t="s">
        <v>714</v>
      </c>
      <c r="B30" s="341">
        <v>10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3</v>
      </c>
      <c r="F35" s="334">
        <v>13381.724</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2</v>
      </c>
      <c r="D38" s="334">
        <v>718649.74600000004</v>
      </c>
      <c r="E38" s="334">
        <v>4</v>
      </c>
      <c r="F38" s="334">
        <v>45906.716</v>
      </c>
    </row>
    <row r="39" spans="1:6">
      <c r="A39" s="348" t="s">
        <v>29</v>
      </c>
      <c r="B39" s="348" t="s">
        <v>30</v>
      </c>
      <c r="C39" s="334">
        <v>4079</v>
      </c>
      <c r="D39" s="334">
        <v>80504016.890000001</v>
      </c>
      <c r="E39" s="334">
        <v>5319</v>
      </c>
      <c r="F39" s="334">
        <v>20469954.199999999</v>
      </c>
    </row>
    <row r="40" spans="1:6">
      <c r="A40" s="348" t="s">
        <v>29</v>
      </c>
      <c r="B40" s="348" t="s">
        <v>28</v>
      </c>
      <c r="C40" s="334">
        <v>1</v>
      </c>
      <c r="D40" s="334">
        <v>346359.86800000002</v>
      </c>
      <c r="E40" s="334">
        <v>1</v>
      </c>
      <c r="F40" s="334">
        <v>64039.546999999999</v>
      </c>
    </row>
    <row r="41" spans="1:6">
      <c r="A41" s="348" t="s">
        <v>31</v>
      </c>
      <c r="B41" s="348" t="s">
        <v>32</v>
      </c>
      <c r="C41" s="334">
        <v>62</v>
      </c>
      <c r="D41" s="334">
        <v>1123526.838</v>
      </c>
      <c r="E41" s="334">
        <v>110</v>
      </c>
      <c r="F41" s="334">
        <v>754147.21900000004</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101117.933</v>
      </c>
      <c r="E44" s="334">
        <v>6</v>
      </c>
      <c r="F44" s="334">
        <v>63873.171000000002</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16</v>
      </c>
      <c r="D48" s="334">
        <v>763766.77899999998</v>
      </c>
      <c r="E48" s="334">
        <v>26</v>
      </c>
      <c r="F48" s="334">
        <v>835355.47199999995</v>
      </c>
    </row>
    <row r="49" spans="1:6">
      <c r="A49" s="348" t="s">
        <v>31</v>
      </c>
      <c r="B49" s="348" t="s">
        <v>39</v>
      </c>
      <c r="C49" s="334">
        <v>0</v>
      </c>
      <c r="D49" s="334">
        <v>0</v>
      </c>
      <c r="E49" s="334">
        <v>0</v>
      </c>
      <c r="F49" s="334">
        <v>0</v>
      </c>
    </row>
    <row r="50" spans="1:6">
      <c r="A50" s="348" t="s">
        <v>31</v>
      </c>
      <c r="B50" s="348" t="s">
        <v>40</v>
      </c>
      <c r="C50" s="334">
        <v>6</v>
      </c>
      <c r="D50" s="334">
        <v>603805.97900000005</v>
      </c>
      <c r="E50" s="334">
        <v>7</v>
      </c>
      <c r="F50" s="334">
        <v>297828.59100000001</v>
      </c>
    </row>
    <row r="51" spans="1:6">
      <c r="A51" s="348" t="s">
        <v>41</v>
      </c>
      <c r="B51" s="348" t="s">
        <v>42</v>
      </c>
      <c r="C51" s="334">
        <v>6</v>
      </c>
      <c r="D51" s="334">
        <v>34020644.170000002</v>
      </c>
      <c r="E51" s="334">
        <v>62</v>
      </c>
      <c r="F51" s="334">
        <v>2360964.111</v>
      </c>
    </row>
    <row r="52" spans="1:6">
      <c r="A52" s="348" t="s">
        <v>41</v>
      </c>
      <c r="B52" s="348" t="s">
        <v>28</v>
      </c>
      <c r="C52" s="334">
        <v>4</v>
      </c>
      <c r="D52" s="334">
        <v>167776.671</v>
      </c>
      <c r="E52" s="334">
        <v>7</v>
      </c>
      <c r="F52" s="334">
        <v>101444.15399999999</v>
      </c>
    </row>
    <row r="53" spans="1:6">
      <c r="A53" s="348" t="s">
        <v>43</v>
      </c>
      <c r="B53" s="348" t="s">
        <v>44</v>
      </c>
      <c r="C53" s="334">
        <v>64</v>
      </c>
      <c r="D53" s="334">
        <v>1335143.6850000001</v>
      </c>
      <c r="E53" s="334">
        <v>136</v>
      </c>
      <c r="F53" s="334">
        <v>660856.60100000002</v>
      </c>
    </row>
    <row r="54" spans="1:6">
      <c r="A54" s="348" t="s">
        <v>45</v>
      </c>
      <c r="B54" s="348" t="s">
        <v>46</v>
      </c>
      <c r="C54" s="334">
        <v>0</v>
      </c>
      <c r="D54" s="334">
        <v>0</v>
      </c>
      <c r="E54" s="334">
        <v>1</v>
      </c>
      <c r="F54" s="334">
        <v>707440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47</v>
      </c>
      <c r="D57" s="334">
        <v>2740298.6230000001</v>
      </c>
      <c r="E57" s="334">
        <v>96</v>
      </c>
      <c r="F57" s="334">
        <v>3508703.6209999998</v>
      </c>
    </row>
    <row r="58" spans="1:6">
      <c r="A58" s="348" t="s">
        <v>48</v>
      </c>
      <c r="B58" s="348" t="s">
        <v>50</v>
      </c>
      <c r="C58" s="334">
        <v>22</v>
      </c>
      <c r="D58" s="334">
        <v>799528.54700000002</v>
      </c>
      <c r="E58" s="334">
        <v>22</v>
      </c>
      <c r="F58" s="334">
        <v>161573.13500000001</v>
      </c>
    </row>
    <row r="59" spans="1:6">
      <c r="A59" s="348" t="s">
        <v>48</v>
      </c>
      <c r="B59" s="348" t="s">
        <v>51</v>
      </c>
      <c r="C59" s="334">
        <v>62</v>
      </c>
      <c r="D59" s="334">
        <v>2739528.7790000001</v>
      </c>
      <c r="E59" s="334">
        <v>96</v>
      </c>
      <c r="F59" s="334">
        <v>2439113.4780000001</v>
      </c>
    </row>
    <row r="60" spans="1:6">
      <c r="A60" s="348" t="s">
        <v>48</v>
      </c>
      <c r="B60" s="348" t="s">
        <v>52</v>
      </c>
      <c r="C60" s="334">
        <v>38</v>
      </c>
      <c r="D60" s="334">
        <v>1911136.3740000001</v>
      </c>
      <c r="E60" s="334">
        <v>50</v>
      </c>
      <c r="F60" s="334">
        <v>1639297.723</v>
      </c>
    </row>
    <row r="61" spans="1:6">
      <c r="A61" s="348" t="s">
        <v>48</v>
      </c>
      <c r="B61" s="348" t="s">
        <v>53</v>
      </c>
      <c r="C61" s="334">
        <v>95</v>
      </c>
      <c r="D61" s="334">
        <v>3811424.75</v>
      </c>
      <c r="E61" s="334">
        <v>195</v>
      </c>
      <c r="F61" s="334">
        <v>2313781.804</v>
      </c>
    </row>
    <row r="62" spans="1:6">
      <c r="A62" s="348" t="s">
        <v>48</v>
      </c>
      <c r="B62" s="348" t="s">
        <v>54</v>
      </c>
      <c r="C62" s="334">
        <v>6</v>
      </c>
      <c r="D62" s="334">
        <v>2074941.3840000001</v>
      </c>
      <c r="E62" s="334">
        <v>5</v>
      </c>
      <c r="F62" s="334">
        <v>515102.49</v>
      </c>
    </row>
    <row r="63" spans="1:6">
      <c r="A63" s="348" t="s">
        <v>48</v>
      </c>
      <c r="B63" s="348" t="s">
        <v>28</v>
      </c>
      <c r="C63" s="334">
        <v>85</v>
      </c>
      <c r="D63" s="334">
        <v>4343575.3210000005</v>
      </c>
      <c r="E63" s="334">
        <v>97</v>
      </c>
      <c r="F63" s="334">
        <v>2682528.0099999998</v>
      </c>
    </row>
    <row r="64" spans="1:6">
      <c r="A64" s="348" t="s">
        <v>55</v>
      </c>
      <c r="B64" s="348" t="s">
        <v>56</v>
      </c>
      <c r="C64" s="334">
        <v>0</v>
      </c>
      <c r="D64" s="334">
        <v>0</v>
      </c>
      <c r="E64" s="334">
        <v>0</v>
      </c>
      <c r="F64" s="334">
        <v>0</v>
      </c>
    </row>
    <row r="65" spans="1:6">
      <c r="A65" s="348" t="s">
        <v>55</v>
      </c>
      <c r="B65" s="348" t="s">
        <v>28</v>
      </c>
      <c r="C65" s="334">
        <v>3</v>
      </c>
      <c r="D65" s="334">
        <v>40542.053999999996</v>
      </c>
      <c r="E65" s="334">
        <v>2</v>
      </c>
      <c r="F65" s="334">
        <v>8782.0650000000005</v>
      </c>
    </row>
    <row r="66" spans="1:6">
      <c r="A66" s="348" t="s">
        <v>55</v>
      </c>
      <c r="B66" s="348" t="s">
        <v>57</v>
      </c>
      <c r="C66" s="334">
        <v>0</v>
      </c>
      <c r="D66" s="334">
        <v>0</v>
      </c>
      <c r="E66" s="334">
        <v>5</v>
      </c>
      <c r="F66" s="334">
        <v>149817.18</v>
      </c>
    </row>
    <row r="67" spans="1:6">
      <c r="A67" s="355" t="s">
        <v>55</v>
      </c>
      <c r="B67" s="355" t="s">
        <v>58</v>
      </c>
      <c r="C67" s="334">
        <v>0</v>
      </c>
      <c r="D67" s="334">
        <v>0</v>
      </c>
      <c r="E67" s="334">
        <v>0</v>
      </c>
      <c r="F67" s="334">
        <v>0</v>
      </c>
    </row>
    <row r="68" spans="1:6">
      <c r="A68" s="341" t="s">
        <v>55</v>
      </c>
      <c r="B68" s="341" t="s">
        <v>59</v>
      </c>
      <c r="C68" s="334">
        <v>0</v>
      </c>
      <c r="D68" s="334">
        <v>0</v>
      </c>
      <c r="E68" s="334">
        <v>4</v>
      </c>
      <c r="F68" s="334">
        <v>20107.991999999998</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40564609</v>
      </c>
      <c r="E73" s="476"/>
    </row>
    <row r="74" spans="1:6">
      <c r="A74" s="348" t="s">
        <v>63</v>
      </c>
      <c r="B74" s="348" t="s">
        <v>651</v>
      </c>
      <c r="C74" s="1307" t="s">
        <v>653</v>
      </c>
      <c r="D74" s="476">
        <v>2001696</v>
      </c>
      <c r="E74" s="476"/>
    </row>
    <row r="75" spans="1:6">
      <c r="A75" s="348" t="s">
        <v>64</v>
      </c>
      <c r="B75" s="348" t="s">
        <v>650</v>
      </c>
      <c r="C75" s="1307" t="s">
        <v>654</v>
      </c>
      <c r="D75" s="476">
        <v>15590923</v>
      </c>
      <c r="E75" s="476"/>
    </row>
    <row r="76" spans="1:6">
      <c r="A76" s="348" t="s">
        <v>64</v>
      </c>
      <c r="B76" s="348" t="s">
        <v>651</v>
      </c>
      <c r="C76" s="1307" t="s">
        <v>655</v>
      </c>
      <c r="D76" s="476">
        <v>16571.3</v>
      </c>
      <c r="E76" s="476"/>
    </row>
    <row r="77" spans="1:6">
      <c r="A77" s="348" t="s">
        <v>65</v>
      </c>
      <c r="B77" s="348" t="s">
        <v>650</v>
      </c>
      <c r="C77" s="1307" t="s">
        <v>656</v>
      </c>
      <c r="D77" s="476">
        <v>64310280</v>
      </c>
      <c r="E77" s="476"/>
    </row>
    <row r="78" spans="1:6">
      <c r="A78" s="341" t="s">
        <v>65</v>
      </c>
      <c r="B78" s="341" t="s">
        <v>651</v>
      </c>
      <c r="C78" s="341" t="s">
        <v>657</v>
      </c>
      <c r="D78" s="1308">
        <v>19993387</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361140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4036.1530181424273</v>
      </c>
    </row>
    <row r="91" spans="1:6">
      <c r="A91" s="348" t="s">
        <v>67</v>
      </c>
      <c r="B91" s="334">
        <v>3865.8517286959391</v>
      </c>
    </row>
    <row r="92" spans="1:6">
      <c r="A92" s="341" t="s">
        <v>68</v>
      </c>
      <c r="B92" s="342">
        <v>1245.1417430316974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2401</v>
      </c>
    </row>
    <row r="98" spans="1:6">
      <c r="A98" s="348" t="s">
        <v>71</v>
      </c>
      <c r="B98" s="334">
        <v>5</v>
      </c>
    </row>
    <row r="99" spans="1:6">
      <c r="A99" s="348" t="s">
        <v>72</v>
      </c>
      <c r="B99" s="334">
        <v>47</v>
      </c>
    </row>
    <row r="100" spans="1:6">
      <c r="A100" s="348" t="s">
        <v>73</v>
      </c>
      <c r="B100" s="334">
        <v>151</v>
      </c>
    </row>
    <row r="101" spans="1:6">
      <c r="A101" s="348" t="s">
        <v>74</v>
      </c>
      <c r="B101" s="334">
        <v>98</v>
      </c>
    </row>
    <row r="102" spans="1:6">
      <c r="A102" s="348" t="s">
        <v>75</v>
      </c>
      <c r="B102" s="334">
        <v>50</v>
      </c>
    </row>
    <row r="103" spans="1:6">
      <c r="A103" s="348" t="s">
        <v>76</v>
      </c>
      <c r="B103" s="334">
        <v>89</v>
      </c>
    </row>
    <row r="104" spans="1:6">
      <c r="A104" s="348" t="s">
        <v>77</v>
      </c>
      <c r="B104" s="334">
        <v>1664</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34</v>
      </c>
      <c r="C123" s="334">
        <v>28</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153</v>
      </c>
    </row>
    <row r="130" spans="1:6">
      <c r="A130" s="348" t="s">
        <v>294</v>
      </c>
      <c r="B130" s="334">
        <v>4</v>
      </c>
    </row>
    <row r="131" spans="1:6">
      <c r="A131" s="348" t="s">
        <v>295</v>
      </c>
      <c r="B131" s="334">
        <v>2</v>
      </c>
    </row>
    <row r="132" spans="1:6">
      <c r="A132" s="341" t="s">
        <v>296</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43507.274684157041</v>
      </c>
      <c r="C3" s="43" t="s">
        <v>169</v>
      </c>
      <c r="D3" s="43"/>
      <c r="E3" s="154"/>
      <c r="F3" s="43"/>
      <c r="G3" s="43"/>
      <c r="H3" s="43"/>
      <c r="I3" s="43"/>
      <c r="J3" s="43"/>
      <c r="K3" s="96"/>
    </row>
    <row r="4" spans="1:11">
      <c r="A4" s="383" t="s">
        <v>170</v>
      </c>
      <c r="B4" s="49">
        <f>IF(ISERROR('SEAP template'!B78+'SEAP template'!C78),0,'SEAP template'!B78+'SEAP template'!C78)</f>
        <v>21207.146489870065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2866.0235294117656</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0.17915054245370746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4094.3193277310938</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17228.571428571428</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0.23764705882352952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707.44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707.44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0.17915054245370746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126.73825975345082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20533.993746999997</v>
      </c>
      <c r="C5" s="17">
        <f>IF(ISERROR('Eigen informatie GS &amp; warmtenet'!B59),0,'Eigen informatie GS &amp; warmtenet'!B59)</f>
        <v>0</v>
      </c>
      <c r="D5" s="30">
        <f>(SUM(HH_hh_gas_kWh,HH_rest_gas_kWh)/1000)*0.902</f>
        <v>72927.039835716001</v>
      </c>
      <c r="E5" s="17">
        <f>B46*B57</f>
        <v>7818.8294263601738</v>
      </c>
      <c r="F5" s="17">
        <f>B51*B62</f>
        <v>0</v>
      </c>
      <c r="G5" s="18"/>
      <c r="H5" s="17"/>
      <c r="I5" s="17"/>
      <c r="J5" s="17">
        <f>B50*B61+C50*C61</f>
        <v>0</v>
      </c>
      <c r="K5" s="17"/>
      <c r="L5" s="17"/>
      <c r="M5" s="17"/>
      <c r="N5" s="17">
        <f>B48*B59+C48*C59</f>
        <v>28213.081815544301</v>
      </c>
      <c r="O5" s="17">
        <f>B69*B70*B71</f>
        <v>359.09643770905274</v>
      </c>
      <c r="P5" s="17">
        <f>B77*B78*B79/1000-B77*B78*B79/1000/B80</f>
        <v>705.77527361489661</v>
      </c>
    </row>
    <row r="6" spans="1:16">
      <c r="A6" s="16" t="s">
        <v>615</v>
      </c>
      <c r="B6" s="809">
        <f>kWh_PV_kleiner_dan_10kW</f>
        <v>3865.8517286959391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24399.845475695936</v>
      </c>
      <c r="C8" s="21">
        <f>C5</f>
        <v>0</v>
      </c>
      <c r="D8" s="21">
        <f>D5</f>
        <v>72927.039835716001</v>
      </c>
      <c r="E8" s="21">
        <f>E5</f>
        <v>7818.8294263601738</v>
      </c>
      <c r="F8" s="21">
        <f>F5</f>
        <v>0</v>
      </c>
      <c r="G8" s="21"/>
      <c r="H8" s="21"/>
      <c r="I8" s="21"/>
      <c r="J8" s="21">
        <f>J5</f>
        <v>0</v>
      </c>
      <c r="K8" s="21"/>
      <c r="L8" s="21">
        <f>L5</f>
        <v>0</v>
      </c>
      <c r="M8" s="21">
        <f>M5</f>
        <v>0</v>
      </c>
      <c r="N8" s="21">
        <f>N5</f>
        <v>28213.081815544301</v>
      </c>
      <c r="O8" s="21">
        <f>O5</f>
        <v>359.09643770905274</v>
      </c>
      <c r="P8" s="21">
        <f>P5</f>
        <v>705.77527361489661</v>
      </c>
    </row>
    <row r="9" spans="1:16">
      <c r="B9" s="19"/>
      <c r="C9" s="19"/>
      <c r="D9" s="258"/>
      <c r="E9" s="19"/>
      <c r="F9" s="19"/>
      <c r="G9" s="19"/>
      <c r="H9" s="19"/>
      <c r="I9" s="19"/>
      <c r="J9" s="19"/>
      <c r="K9" s="19"/>
      <c r="L9" s="19"/>
      <c r="M9" s="19"/>
      <c r="N9" s="19"/>
      <c r="O9" s="19"/>
      <c r="P9" s="19"/>
    </row>
    <row r="10" spans="1:16">
      <c r="A10" s="24" t="s">
        <v>213</v>
      </c>
      <c r="B10" s="25">
        <f ca="1">'EF ele_warmte'!B12</f>
        <v>0.17915054245370746</v>
      </c>
      <c r="C10" s="25">
        <f ca="1">'EF ele_warmte'!B22</f>
        <v>0.23764705882352952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4371.2455527575667</v>
      </c>
      <c r="C12" s="23">
        <f ca="1">C10*C8</f>
        <v>0</v>
      </c>
      <c r="D12" s="23">
        <f>D8*D10</f>
        <v>14731.262046814632</v>
      </c>
      <c r="E12" s="23">
        <f>E10*E8</f>
        <v>1774.8742797837594</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2401</v>
      </c>
      <c r="C18" s="166" t="s">
        <v>110</v>
      </c>
      <c r="D18" s="228"/>
      <c r="E18" s="15"/>
    </row>
    <row r="19" spans="1:7">
      <c r="A19" s="171" t="s">
        <v>71</v>
      </c>
      <c r="B19" s="37">
        <f>aantalw2001_ander</f>
        <v>5</v>
      </c>
      <c r="C19" s="166" t="s">
        <v>110</v>
      </c>
      <c r="D19" s="229"/>
      <c r="E19" s="15"/>
    </row>
    <row r="20" spans="1:7">
      <c r="A20" s="171" t="s">
        <v>72</v>
      </c>
      <c r="B20" s="37">
        <f>aantalw2001_propaan</f>
        <v>47</v>
      </c>
      <c r="C20" s="167">
        <f>IF(ISERROR(B20/SUM($B$20,$B$21,$B$22)*100),0,B20/SUM($B$20,$B$21,$B$22)*100)</f>
        <v>15.878378378378377</v>
      </c>
      <c r="D20" s="229"/>
      <c r="E20" s="15"/>
    </row>
    <row r="21" spans="1:7">
      <c r="A21" s="171" t="s">
        <v>73</v>
      </c>
      <c r="B21" s="37">
        <f>aantalw2001_elektriciteit</f>
        <v>151</v>
      </c>
      <c r="C21" s="167">
        <f>IF(ISERROR(B21/SUM($B$20,$B$21,$B$22)*100),0,B21/SUM($B$20,$B$21,$B$22)*100)</f>
        <v>51.013513513513509</v>
      </c>
      <c r="D21" s="229"/>
      <c r="E21" s="15"/>
    </row>
    <row r="22" spans="1:7">
      <c r="A22" s="171" t="s">
        <v>74</v>
      </c>
      <c r="B22" s="37">
        <f>aantalw2001_hout</f>
        <v>98</v>
      </c>
      <c r="C22" s="167">
        <f>IF(ISERROR(B22/SUM($B$20,$B$21,$B$22)*100),0,B22/SUM($B$20,$B$21,$B$22)*100)</f>
        <v>33.108108108108105</v>
      </c>
      <c r="D22" s="229"/>
      <c r="E22" s="15"/>
    </row>
    <row r="23" spans="1:7">
      <c r="A23" s="171" t="s">
        <v>75</v>
      </c>
      <c r="B23" s="37">
        <f>aantalw2001_niet_gespec</f>
        <v>50</v>
      </c>
      <c r="C23" s="166" t="s">
        <v>110</v>
      </c>
      <c r="D23" s="228"/>
      <c r="E23" s="15"/>
    </row>
    <row r="24" spans="1:7">
      <c r="A24" s="171" t="s">
        <v>76</v>
      </c>
      <c r="B24" s="37">
        <f>aantalw2001_steenkool</f>
        <v>89</v>
      </c>
      <c r="C24" s="166" t="s">
        <v>110</v>
      </c>
      <c r="D24" s="229"/>
      <c r="E24" s="15"/>
    </row>
    <row r="25" spans="1:7">
      <c r="A25" s="171" t="s">
        <v>77</v>
      </c>
      <c r="B25" s="37">
        <f>aantalw2001_stookolie</f>
        <v>1664</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836</v>
      </c>
      <c r="B28" s="37">
        <f>aantalHuishoudens2011</f>
        <v>5404</v>
      </c>
      <c r="C28" s="36"/>
      <c r="D28" s="228"/>
    </row>
    <row r="29" spans="1:7" s="15" customFormat="1">
      <c r="A29" s="230" t="s">
        <v>837</v>
      </c>
      <c r="B29" s="37">
        <f>SUM(HH_hh_gas_aantal,HH_rest_gas_aantal)</f>
        <v>4080</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4080</v>
      </c>
      <c r="C32" s="167">
        <f>IF(ISERROR(B32/SUM($B$32,$B$34,$B$35,$B$36,$B$38,$B$39)*100),0,B32/SUM($B$32,$B$34,$B$35,$B$36,$B$38,$B$39)*100)</f>
        <v>76.447442383361448</v>
      </c>
      <c r="D32" s="233"/>
      <c r="G32" s="15"/>
    </row>
    <row r="33" spans="1:7">
      <c r="A33" s="171" t="s">
        <v>71</v>
      </c>
      <c r="B33" s="34" t="s">
        <v>110</v>
      </c>
      <c r="C33" s="167"/>
      <c r="D33" s="233"/>
      <c r="G33" s="15"/>
    </row>
    <row r="34" spans="1:7">
      <c r="A34" s="171" t="s">
        <v>72</v>
      </c>
      <c r="B34" s="33">
        <f>IF((($B$28-$B$32-$B$39-$B$77-$B$38)*C20/100)&lt;0,0,($B$28-$B$32-$B$39-$B$77-$B$38)*C20/100)</f>
        <v>199.5912162162162</v>
      </c>
      <c r="C34" s="167">
        <f>IF(ISERROR(B34/SUM($B$32,$B$34,$B$35,$B$36,$B$38,$B$39)*100),0,B34/SUM($B$32,$B$34,$B$35,$B$36,$B$38,$B$39)*100)</f>
        <v>3.7397642161554465</v>
      </c>
      <c r="D34" s="233"/>
      <c r="G34" s="15"/>
    </row>
    <row r="35" spans="1:7">
      <c r="A35" s="171" t="s">
        <v>73</v>
      </c>
      <c r="B35" s="33">
        <f>IF((($B$28-$B$32-$B$39-$B$77-$B$38)*C21/100)&lt;0,0,($B$28-$B$32-$B$39-$B$77-$B$38)*C21/100)</f>
        <v>641.23986486486478</v>
      </c>
      <c r="C35" s="167">
        <f>IF(ISERROR(B35/SUM($B$32,$B$34,$B$35,$B$36,$B$38,$B$39)*100),0,B35/SUM($B$32,$B$34,$B$35,$B$36,$B$38,$B$39)*100)</f>
        <v>12.014987162541967</v>
      </c>
      <c r="D35" s="233"/>
      <c r="G35" s="15"/>
    </row>
    <row r="36" spans="1:7">
      <c r="A36" s="171" t="s">
        <v>74</v>
      </c>
      <c r="B36" s="33">
        <f>IF((($B$28-$B$32-$B$39-$B$77-$B$38)*C22/100)&lt;0,0,($B$28-$B$32-$B$39-$B$77-$B$38)*C22/100)</f>
        <v>416.16891891891885</v>
      </c>
      <c r="C36" s="167">
        <f>IF(ISERROR(B36/SUM($B$32,$B$34,$B$35,$B$36,$B$38,$B$39)*100),0,B36/SUM($B$32,$B$34,$B$35,$B$36,$B$38,$B$39)*100)</f>
        <v>7.7978062379411437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4080</v>
      </c>
      <c r="C44" s="34" t="s">
        <v>110</v>
      </c>
      <c r="D44" s="174"/>
    </row>
    <row r="45" spans="1:7">
      <c r="A45" s="171" t="s">
        <v>71</v>
      </c>
      <c r="B45" s="33" t="str">
        <f t="shared" si="0"/>
        <v>-</v>
      </c>
      <c r="C45" s="34" t="s">
        <v>110</v>
      </c>
      <c r="D45" s="174"/>
    </row>
    <row r="46" spans="1:7">
      <c r="A46" s="171" t="s">
        <v>72</v>
      </c>
      <c r="B46" s="33">
        <f t="shared" si="0"/>
        <v>199.5912162162162</v>
      </c>
      <c r="C46" s="34" t="s">
        <v>110</v>
      </c>
      <c r="D46" s="174"/>
    </row>
    <row r="47" spans="1:7">
      <c r="A47" s="171" t="s">
        <v>73</v>
      </c>
      <c r="B47" s="33">
        <f t="shared" si="0"/>
        <v>641.23986486486478</v>
      </c>
      <c r="C47" s="34" t="s">
        <v>110</v>
      </c>
      <c r="D47" s="174"/>
    </row>
    <row r="48" spans="1:7">
      <c r="A48" s="171" t="s">
        <v>74</v>
      </c>
      <c r="B48" s="33">
        <f t="shared" si="0"/>
        <v>416.16891891891885</v>
      </c>
      <c r="C48" s="33">
        <f>B48*10</f>
        <v>4161.6891891891883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181</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67</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13260.100261</v>
      </c>
      <c r="C5" s="17">
        <f>IF(ISERROR('Eigen informatie GS &amp; warmtenet'!B60),0,'Eigen informatie GS &amp; warmtenet'!B60)</f>
        <v>0</v>
      </c>
      <c r="D5" s="30">
        <f>SUM(D6:D12)</f>
        <v>16615.231267756</v>
      </c>
      <c r="E5" s="17">
        <f>SUM(E6:E12)</f>
        <v>155.15591724016673</v>
      </c>
      <c r="F5" s="17">
        <f>SUM(F6:F12)</f>
        <v>1640.960161979729</v>
      </c>
      <c r="G5" s="18"/>
      <c r="H5" s="17"/>
      <c r="I5" s="17"/>
      <c r="J5" s="17">
        <f>SUM(J6:J12)</f>
        <v>6.470486733516137E-2</v>
      </c>
      <c r="K5" s="17"/>
      <c r="L5" s="17"/>
      <c r="M5" s="17"/>
      <c r="N5" s="17">
        <f>SUM(N6:N12)</f>
        <v>2529.2173226994964</v>
      </c>
      <c r="O5" s="17">
        <f>B38*B39*B40</f>
        <v>19.589043063364617</v>
      </c>
      <c r="P5" s="17">
        <f>B46*B47*B48/1000-B46*B47*B48/1000/B49</f>
        <v>105.07827661299004</v>
      </c>
      <c r="R5" s="32"/>
    </row>
    <row r="6" spans="1:18">
      <c r="A6" s="32" t="s">
        <v>53</v>
      </c>
      <c r="B6" s="37">
        <f>B26</f>
        <v>2313.7818040000002</v>
      </c>
      <c r="C6" s="33"/>
      <c r="D6" s="37">
        <f>IF(ISERROR(TER_kantoor_gas_kWh/1000),0,TER_kantoor_gas_kWh/1000)*0.902</f>
        <v>3437.9051245000001</v>
      </c>
      <c r="E6" s="33">
        <f>$C$26*'E Balans VL '!I12/100/3.6*1000000</f>
        <v>18.618260319896375</v>
      </c>
      <c r="F6" s="33">
        <f>$C$26*('E Balans VL '!L12+'E Balans VL '!N12)/100/3.6*1000000</f>
        <v>282.88416574431045</v>
      </c>
      <c r="G6" s="34"/>
      <c r="H6" s="33"/>
      <c r="I6" s="33"/>
      <c r="J6" s="33">
        <f>$C$26*('E Balans VL '!D12+'E Balans VL '!E12)/100/3.6*1000000</f>
        <v>0</v>
      </c>
      <c r="K6" s="33"/>
      <c r="L6" s="33"/>
      <c r="M6" s="33"/>
      <c r="N6" s="33">
        <f>$C$26*'E Balans VL '!Y12/100/3.6*1000000</f>
        <v>1.2435437782285457</v>
      </c>
      <c r="O6" s="33"/>
      <c r="P6" s="33"/>
      <c r="R6" s="32"/>
    </row>
    <row r="7" spans="1:18">
      <c r="A7" s="32" t="s">
        <v>52</v>
      </c>
      <c r="B7" s="37">
        <f t="shared" ref="B7:B12" si="0">B27</f>
        <v>1639.2977229999999</v>
      </c>
      <c r="C7" s="33"/>
      <c r="D7" s="37">
        <f>IF(ISERROR(TER_horeca_gas_kWh/1000),0,TER_horeca_gas_kWh/1000)*0.902</f>
        <v>1723.8450093480003</v>
      </c>
      <c r="E7" s="33">
        <f>$C$27*'E Balans VL '!I9/100/3.6*1000000</f>
        <v>17.602032133568024</v>
      </c>
      <c r="F7" s="33">
        <f>$C$27*('E Balans VL '!L9+'E Balans VL '!N9)/100/3.6*1000000</f>
        <v>197.16776525016223</v>
      </c>
      <c r="G7" s="34"/>
      <c r="H7" s="33"/>
      <c r="I7" s="33"/>
      <c r="J7" s="33">
        <f>$C$27*('E Balans VL '!D9+'E Balans VL '!E9)/100/3.6*1000000</f>
        <v>0</v>
      </c>
      <c r="K7" s="33"/>
      <c r="L7" s="33"/>
      <c r="M7" s="33"/>
      <c r="N7" s="33">
        <f>$C$27*'E Balans VL '!Y9/100/3.6*1000000</f>
        <v>0.24576395338520537</v>
      </c>
      <c r="O7" s="33"/>
      <c r="P7" s="33"/>
      <c r="R7" s="32"/>
    </row>
    <row r="8" spans="1:18">
      <c r="A8" s="6" t="s">
        <v>51</v>
      </c>
      <c r="B8" s="37">
        <f t="shared" si="0"/>
        <v>2439.1134780000002</v>
      </c>
      <c r="C8" s="33"/>
      <c r="D8" s="37">
        <f>IF(ISERROR(TER_handel_gas_kWh/1000),0,TER_handel_gas_kWh/1000)*0.902</f>
        <v>2471.054958658</v>
      </c>
      <c r="E8" s="33">
        <f>$C$28*'E Balans VL '!I13/100/3.6*1000000</f>
        <v>65.458338476045597</v>
      </c>
      <c r="F8" s="33">
        <f>$C$28*('E Balans VL '!L13+'E Balans VL '!N13)/100/3.6*1000000</f>
        <v>232.76660121697159</v>
      </c>
      <c r="G8" s="34"/>
      <c r="H8" s="33"/>
      <c r="I8" s="33"/>
      <c r="J8" s="33">
        <f>$C$28*('E Balans VL '!D13+'E Balans VL '!E13)/100/3.6*1000000</f>
        <v>0</v>
      </c>
      <c r="K8" s="33"/>
      <c r="L8" s="33"/>
      <c r="M8" s="33"/>
      <c r="N8" s="33">
        <f>$C$28*'E Balans VL '!Y13/100/3.6*1000000</f>
        <v>0.96689231633967621</v>
      </c>
      <c r="O8" s="33"/>
      <c r="P8" s="33"/>
      <c r="R8" s="32"/>
    </row>
    <row r="9" spans="1:18">
      <c r="A9" s="32" t="s">
        <v>50</v>
      </c>
      <c r="B9" s="37">
        <f t="shared" si="0"/>
        <v>161.57313500000001</v>
      </c>
      <c r="C9" s="33"/>
      <c r="D9" s="37">
        <f>IF(ISERROR(TER_gezond_gas_kWh/1000),0,TER_gezond_gas_kWh/1000)*0.902</f>
        <v>721.17474939400006</v>
      </c>
      <c r="E9" s="33">
        <f>$C$29*'E Balans VL '!I10/100/3.6*1000000</f>
        <v>0.30284066548730365</v>
      </c>
      <c r="F9" s="33">
        <f>$C$29*('E Balans VL '!L10+'E Balans VL '!N10)/100/3.6*1000000</f>
        <v>13.282785938261702</v>
      </c>
      <c r="G9" s="34"/>
      <c r="H9" s="33"/>
      <c r="I9" s="33"/>
      <c r="J9" s="33">
        <f>$C$29*('E Balans VL '!D10+'E Balans VL '!E10)/100/3.6*1000000</f>
        <v>0</v>
      </c>
      <c r="K9" s="33"/>
      <c r="L9" s="33"/>
      <c r="M9" s="33"/>
      <c r="N9" s="33">
        <f>$C$29*'E Balans VL '!Y10/100/3.6*1000000</f>
        <v>1.2571595411802994</v>
      </c>
      <c r="O9" s="33"/>
      <c r="P9" s="33"/>
      <c r="R9" s="32"/>
    </row>
    <row r="10" spans="1:18">
      <c r="A10" s="32" t="s">
        <v>49</v>
      </c>
      <c r="B10" s="37">
        <f t="shared" si="0"/>
        <v>3508.7036209999997</v>
      </c>
      <c r="C10" s="33"/>
      <c r="D10" s="37">
        <f>IF(ISERROR(TER_ander_gas_kWh/1000),0,TER_ander_gas_kWh/1000)*0.902</f>
        <v>2471.7493579460001</v>
      </c>
      <c r="E10" s="33">
        <f>$C$30*'E Balans VL '!I14/100/3.6*1000000</f>
        <v>5.4087021849159491</v>
      </c>
      <c r="F10" s="33">
        <f>$C$30*('E Balans VL '!L14+'E Balans VL '!N14)/100/3.6*1000000</f>
        <v>544.72720579113889</v>
      </c>
      <c r="G10" s="34"/>
      <c r="H10" s="33"/>
      <c r="I10" s="33"/>
      <c r="J10" s="33">
        <f>$C$30*('E Balans VL '!D14+'E Balans VL '!E14)/100/3.6*1000000</f>
        <v>5.9563944332328971E-2</v>
      </c>
      <c r="K10" s="33"/>
      <c r="L10" s="33"/>
      <c r="M10" s="33"/>
      <c r="N10" s="33">
        <f>$C$30*'E Balans VL '!Y14/100/3.6*1000000</f>
        <v>2321.2458625466616</v>
      </c>
      <c r="O10" s="33"/>
      <c r="P10" s="33"/>
      <c r="R10" s="32"/>
    </row>
    <row r="11" spans="1:18">
      <c r="A11" s="32" t="s">
        <v>54</v>
      </c>
      <c r="B11" s="37">
        <f t="shared" si="0"/>
        <v>515.10248999999999</v>
      </c>
      <c r="C11" s="33"/>
      <c r="D11" s="37">
        <f>IF(ISERROR(TER_onderwijs_gas_kWh/1000),0,TER_onderwijs_gas_kWh/1000)*0.902</f>
        <v>1871.5971283680003</v>
      </c>
      <c r="E11" s="33">
        <f>$C$31*'E Balans VL '!I11/100/3.6*1000000</f>
        <v>13.138631674075659</v>
      </c>
      <c r="F11" s="33">
        <f>$C$31*('E Balans VL '!L11+'E Balans VL '!N11)/100/3.6*1000000</f>
        <v>61.945922751766709</v>
      </c>
      <c r="G11" s="34"/>
      <c r="H11" s="33"/>
      <c r="I11" s="33"/>
      <c r="J11" s="33">
        <f>$C$31*('E Balans VL '!D11+'E Balans VL '!E11)/100/3.6*1000000</f>
        <v>0</v>
      </c>
      <c r="K11" s="33"/>
      <c r="L11" s="33"/>
      <c r="M11" s="33"/>
      <c r="N11" s="33">
        <f>$C$31*'E Balans VL '!Y11/100/3.6*1000000</f>
        <v>1.1455753691509443</v>
      </c>
      <c r="O11" s="33"/>
      <c r="P11" s="33"/>
      <c r="R11" s="32"/>
    </row>
    <row r="12" spans="1:18">
      <c r="A12" s="32" t="s">
        <v>259</v>
      </c>
      <c r="B12" s="37">
        <f t="shared" si="0"/>
        <v>2682.52801</v>
      </c>
      <c r="C12" s="33"/>
      <c r="D12" s="37">
        <f>IF(ISERROR(TER_rest_gas_kWh/1000),0,TER_rest_gas_kWh/1000)*0.902</f>
        <v>3917.9049395420002</v>
      </c>
      <c r="E12" s="33">
        <f>$C$32*'E Balans VL '!I8/100/3.6*1000000</f>
        <v>34.627111786177807</v>
      </c>
      <c r="F12" s="33">
        <f>$C$32*('E Balans VL '!L8+'E Balans VL '!N8)/100/3.6*1000000</f>
        <v>308.18571528711749</v>
      </c>
      <c r="G12" s="34"/>
      <c r="H12" s="33"/>
      <c r="I12" s="33"/>
      <c r="J12" s="33">
        <f>$C$32*('E Balans VL '!D8+'E Balans VL '!E8)/100/3.6*1000000</f>
        <v>5.1409230028324013E-3</v>
      </c>
      <c r="K12" s="33"/>
      <c r="L12" s="33"/>
      <c r="M12" s="33"/>
      <c r="N12" s="33">
        <f>$C$32*'E Balans VL '!Y8/100/3.6*1000000</f>
        <v>203.11252519455024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13260.100261</v>
      </c>
      <c r="C16" s="21">
        <f t="shared" ca="1" si="1"/>
        <v>0</v>
      </c>
      <c r="D16" s="21">
        <f t="shared" ca="1" si="1"/>
        <v>16615.231267756</v>
      </c>
      <c r="E16" s="21">
        <f t="shared" si="1"/>
        <v>155.15591724016673</v>
      </c>
      <c r="F16" s="21">
        <f t="shared" ca="1" si="1"/>
        <v>1640.960161979729</v>
      </c>
      <c r="G16" s="21">
        <f t="shared" si="1"/>
        <v>0</v>
      </c>
      <c r="H16" s="21">
        <f t="shared" si="1"/>
        <v>0</v>
      </c>
      <c r="I16" s="21">
        <f t="shared" si="1"/>
        <v>0</v>
      </c>
      <c r="J16" s="21">
        <f t="shared" si="1"/>
        <v>6.470486733516137E-2</v>
      </c>
      <c r="K16" s="21">
        <f t="shared" si="1"/>
        <v>0</v>
      </c>
      <c r="L16" s="21">
        <f t="shared" ca="1" si="1"/>
        <v>0</v>
      </c>
      <c r="M16" s="21">
        <f t="shared" si="1"/>
        <v>0</v>
      </c>
      <c r="N16" s="21">
        <f t="shared" ca="1" si="1"/>
        <v>2529.2173226994964</v>
      </c>
      <c r="O16" s="21">
        <f>O5</f>
        <v>19.589043063364617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0.17915054245370746</v>
      </c>
      <c r="C18" s="25">
        <f ca="1">'EF ele_warmte'!B22</f>
        <v>0.23764705882352952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2375.5541547486978</v>
      </c>
      <c r="C20" s="23">
        <f t="shared" ref="C20:P20" ca="1" si="2">C16*C18</f>
        <v>0</v>
      </c>
      <c r="D20" s="23">
        <f t="shared" ca="1" si="2"/>
        <v>3356.2767160867124</v>
      </c>
      <c r="E20" s="23">
        <f t="shared" si="2"/>
        <v>35.220393213517852</v>
      </c>
      <c r="F20" s="23">
        <f t="shared" ca="1" si="2"/>
        <v>438.13636324858766</v>
      </c>
      <c r="G20" s="23">
        <f t="shared" si="2"/>
        <v>0</v>
      </c>
      <c r="H20" s="23">
        <f t="shared" si="2"/>
        <v>0</v>
      </c>
      <c r="I20" s="23">
        <f t="shared" si="2"/>
        <v>0</v>
      </c>
      <c r="J20" s="23">
        <f t="shared" si="2"/>
        <v>2.2905523036647123E-2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2313.7818040000002</v>
      </c>
      <c r="C26" s="39">
        <f>IF(ISERROR(B26*3.6/1000000/'E Balans VL '!Z12*100),0,B26*3.6/1000000/'E Balans VL '!Z12*100)</f>
        <v>4.9084764104596973E-2</v>
      </c>
      <c r="D26" s="237" t="s">
        <v>716</v>
      </c>
      <c r="F26" s="6"/>
    </row>
    <row r="27" spans="1:18">
      <c r="A27" s="231" t="s">
        <v>52</v>
      </c>
      <c r="B27" s="33">
        <f>IF(ISERROR(TER_horeca_ele_kWh/1000),0,TER_horeca_ele_kWh/1000)</f>
        <v>1639.2977229999999</v>
      </c>
      <c r="C27" s="39">
        <f>IF(ISERROR(B27*3.6/1000000/'E Balans VL '!Z9*100),0,B27*3.6/1000000/'E Balans VL '!Z9*100)</f>
        <v>0.12345364027152902</v>
      </c>
      <c r="D27" s="237" t="s">
        <v>716</v>
      </c>
      <c r="F27" s="6"/>
    </row>
    <row r="28" spans="1:18">
      <c r="A28" s="171" t="s">
        <v>51</v>
      </c>
      <c r="B28" s="33">
        <f>IF(ISERROR(TER_handel_ele_kWh/1000),0,TER_handel_ele_kWh/1000)</f>
        <v>2439.1134780000002</v>
      </c>
      <c r="C28" s="39">
        <f>IF(ISERROR(B28*3.6/1000000/'E Balans VL '!Z13*100),0,B28*3.6/1000000/'E Balans VL '!Z13*100)</f>
        <v>7.0798821812987661E-2</v>
      </c>
      <c r="D28" s="237" t="s">
        <v>716</v>
      </c>
      <c r="F28" s="6"/>
    </row>
    <row r="29" spans="1:18">
      <c r="A29" s="231" t="s">
        <v>50</v>
      </c>
      <c r="B29" s="33">
        <f>IF(ISERROR(TER_gezond_ele_kWh/1000),0,TER_gezond_ele_kWh/1000)</f>
        <v>161.57313500000001</v>
      </c>
      <c r="C29" s="39">
        <f>IF(ISERROR(B29*3.6/1000000/'E Balans VL '!Z10*100),0,B29*3.6/1000000/'E Balans VL '!Z10*100)</f>
        <v>1.6294843348561332E-2</v>
      </c>
      <c r="D29" s="237" t="s">
        <v>716</v>
      </c>
      <c r="F29" s="6"/>
    </row>
    <row r="30" spans="1:18">
      <c r="A30" s="231" t="s">
        <v>49</v>
      </c>
      <c r="B30" s="33">
        <f>IF(ISERROR(TER_ander_ele_kWh/1000),0,TER_ander_ele_kWh/1000)</f>
        <v>3508.7036209999997</v>
      </c>
      <c r="C30" s="39">
        <f>IF(ISERROR(B30*3.6/1000000/'E Balans VL '!Z14*100),0,B30*3.6/1000000/'E Balans VL '!Z14*100)</f>
        <v>0.25460431519768884</v>
      </c>
      <c r="D30" s="237" t="s">
        <v>716</v>
      </c>
      <c r="F30" s="6"/>
    </row>
    <row r="31" spans="1:18">
      <c r="A31" s="231" t="s">
        <v>54</v>
      </c>
      <c r="B31" s="33">
        <f>IF(ISERROR(TER_onderwijs_ele_kWh/1000),0,TER_onderwijs_ele_kWh/1000)</f>
        <v>515.10248999999999</v>
      </c>
      <c r="C31" s="39">
        <f>IF(ISERROR(B31*3.6/1000000/'E Balans VL '!Z11*100),0,B31*3.6/1000000/'E Balans VL '!Z11*100)</f>
        <v>0.1468251856001091</v>
      </c>
      <c r="D31" s="237" t="s">
        <v>716</v>
      </c>
    </row>
    <row r="32" spans="1:18">
      <c r="A32" s="231" t="s">
        <v>259</v>
      </c>
      <c r="B32" s="33">
        <f>IF(ISERROR(TER_rest_ele_kWh/1000),0,TER_rest_ele_kWh/1000)</f>
        <v>2682.52801</v>
      </c>
      <c r="C32" s="39">
        <f>IF(ISERROR(B32*3.6/1000000/'E Balans VL '!Z8*100),0,B32*3.6/1000000/'E Balans VL '!Z8*100)</f>
        <v>2.1974723052545893E-2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4</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1951.2044530000001</v>
      </c>
      <c r="C5" s="17">
        <f>IF(ISERROR('Eigen informatie GS &amp; warmtenet'!B61),0,'Eigen informatie GS &amp; warmtenet'!B61)</f>
        <v>0</v>
      </c>
      <c r="D5" s="30">
        <f>SUM(D6:D15)</f>
        <v>2338.180211158</v>
      </c>
      <c r="E5" s="17">
        <f>SUM(E6:E15)</f>
        <v>249.45172063289272</v>
      </c>
      <c r="F5" s="17">
        <f>SUM(F6:F15)</f>
        <v>795.68289014100299</v>
      </c>
      <c r="G5" s="18"/>
      <c r="H5" s="17"/>
      <c r="I5" s="17"/>
      <c r="J5" s="17">
        <f>SUM(J6:J15)</f>
        <v>6.9652939125113384</v>
      </c>
      <c r="K5" s="17"/>
      <c r="L5" s="17"/>
      <c r="M5" s="17"/>
      <c r="N5" s="17">
        <f>SUM(N6:N15)</f>
        <v>105.36657071715292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63.873170999999999</v>
      </c>
      <c r="C8" s="33"/>
      <c r="D8" s="37">
        <f>IF( ISERROR(IND_metaal_Gas_kWH/1000),0,IND_metaal_Gas_kWH/1000)*0.902</f>
        <v>91.208375566000015</v>
      </c>
      <c r="E8" s="33">
        <f>C30*'E Balans VL '!I18/100/3.6*1000000</f>
        <v>0.46080009838376429</v>
      </c>
      <c r="F8" s="33">
        <f>C30*'E Balans VL '!L18/100/3.6*1000000+C30*'E Balans VL '!N18/100/3.6*1000000</f>
        <v>6.0412242378276106</v>
      </c>
      <c r="G8" s="34"/>
      <c r="H8" s="33"/>
      <c r="I8" s="33"/>
      <c r="J8" s="40">
        <f>C30*'E Balans VL '!D18/100/3.6*1000000+C30*'E Balans VL '!E18/100/3.6*1000000</f>
        <v>6.4244006571451046E-2</v>
      </c>
      <c r="K8" s="33"/>
      <c r="L8" s="33"/>
      <c r="M8" s="33"/>
      <c r="N8" s="33">
        <f>C30*'E Balans VL '!Y18/100/3.6*1000000</f>
        <v>0.80752587316651248</v>
      </c>
      <c r="O8" s="33"/>
      <c r="P8" s="33"/>
      <c r="R8" s="32"/>
    </row>
    <row r="9" spans="1:18">
      <c r="A9" s="6" t="s">
        <v>32</v>
      </c>
      <c r="B9" s="37">
        <f t="shared" si="0"/>
        <v>754.14721900000006</v>
      </c>
      <c r="C9" s="33"/>
      <c r="D9" s="37">
        <f>IF( ISERROR(IND_andere_gas_kWh/1000),0,IND_andere_gas_kWh/1000)*0.902</f>
        <v>1013.421207876</v>
      </c>
      <c r="E9" s="33">
        <f>C31*'E Balans VL '!I19/100/3.6*1000000</f>
        <v>208.98427859659054</v>
      </c>
      <c r="F9" s="33">
        <f>C31*'E Balans VL '!L19/100/3.6*1000000+C31*'E Balans VL '!N19/100/3.6*1000000</f>
        <v>625.03884483190041</v>
      </c>
      <c r="G9" s="34"/>
      <c r="H9" s="33"/>
      <c r="I9" s="33"/>
      <c r="J9" s="40">
        <f>C31*'E Balans VL '!D19/100/3.6*1000000+C31*'E Balans VL '!E19/100/3.6*1000000</f>
        <v>0</v>
      </c>
      <c r="K9" s="33"/>
      <c r="L9" s="33"/>
      <c r="M9" s="33"/>
      <c r="N9" s="33">
        <f>C31*'E Balans VL '!Y19/100/3.6*1000000</f>
        <v>54.741863880313687</v>
      </c>
      <c r="O9" s="33"/>
      <c r="P9" s="33"/>
      <c r="R9" s="32"/>
    </row>
    <row r="10" spans="1:18">
      <c r="A10" s="6" t="s">
        <v>40</v>
      </c>
      <c r="B10" s="37">
        <f t="shared" si="0"/>
        <v>297.82859100000002</v>
      </c>
      <c r="C10" s="33"/>
      <c r="D10" s="37">
        <f>IF( ISERROR(IND_voed_gas_kWh/1000),0,IND_voed_gas_kWh/1000)*0.902</f>
        <v>544.63299305800012</v>
      </c>
      <c r="E10" s="33">
        <f>C32*'E Balans VL '!I20/100/3.6*1000000</f>
        <v>0.5272574870815423</v>
      </c>
      <c r="F10" s="33">
        <f>C32*'E Balans VL '!L20/100/3.6*1000000+C32*'E Balans VL '!N20/100/3.6*1000000</f>
        <v>16.085383545124156</v>
      </c>
      <c r="G10" s="34"/>
      <c r="H10" s="33"/>
      <c r="I10" s="33"/>
      <c r="J10" s="40">
        <f>C32*'E Balans VL '!D20/100/3.6*1000000+C32*'E Balans VL '!E20/100/3.6*1000000</f>
        <v>0</v>
      </c>
      <c r="K10" s="33"/>
      <c r="L10" s="33"/>
      <c r="M10" s="33"/>
      <c r="N10" s="33">
        <f>C32*'E Balans VL '!Y20/100/3.6*1000000</f>
        <v>17.306115682392324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835.35547199999996</v>
      </c>
      <c r="C15" s="33"/>
      <c r="D15" s="37">
        <f>IF( ISERROR(IND_rest_gas_kWh/1000),0,IND_rest_gas_kWh/1000)*0.902</f>
        <v>688.917634658</v>
      </c>
      <c r="E15" s="33">
        <f>C37*'E Balans VL '!I15/100/3.6*1000000</f>
        <v>39.479384450836839</v>
      </c>
      <c r="F15" s="33">
        <f>C37*'E Balans VL '!L15/100/3.6*1000000+C37*'E Balans VL '!N15/100/3.6*1000000</f>
        <v>148.51743752615081</v>
      </c>
      <c r="G15" s="34"/>
      <c r="H15" s="33"/>
      <c r="I15" s="33"/>
      <c r="J15" s="40">
        <f>C37*'E Balans VL '!D15/100/3.6*1000000+C37*'E Balans VL '!E15/100/3.6*1000000</f>
        <v>6.9010499059398871</v>
      </c>
      <c r="K15" s="33"/>
      <c r="L15" s="33"/>
      <c r="M15" s="33"/>
      <c r="N15" s="33">
        <f>C37*'E Balans VL '!Y15/100/3.6*1000000</f>
        <v>32.511065281280409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1951.2044530000001</v>
      </c>
      <c r="C18" s="21">
        <f>C5+C16</f>
        <v>0</v>
      </c>
      <c r="D18" s="21">
        <f>MAX((D5+D16),0)</f>
        <v>2338.180211158</v>
      </c>
      <c r="E18" s="21">
        <f>MAX((E5+E16),0)</f>
        <v>249.45172063289272</v>
      </c>
      <c r="F18" s="21">
        <f>MAX((F5+F16),0)</f>
        <v>795.68289014100299</v>
      </c>
      <c r="G18" s="21"/>
      <c r="H18" s="21"/>
      <c r="I18" s="21"/>
      <c r="J18" s="21">
        <f>MAX((J5+J16),0)</f>
        <v>6.9652939125113384</v>
      </c>
      <c r="K18" s="21"/>
      <c r="L18" s="21">
        <f>MAX((L5+L16),0)</f>
        <v>0</v>
      </c>
      <c r="M18" s="21"/>
      <c r="N18" s="21">
        <f>MAX((N5+N16),0)</f>
        <v>105.36657071715292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0.17915054245370746</v>
      </c>
      <c r="C20" s="25">
        <f ca="1">'EF ele_warmte'!B22</f>
        <v>0.23764705882352952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349.55933619303954</v>
      </c>
      <c r="C22" s="23">
        <f ca="1">C18*C20</f>
        <v>0</v>
      </c>
      <c r="D22" s="23">
        <f>D18*D20</f>
        <v>472.31240265391602</v>
      </c>
      <c r="E22" s="23">
        <f>E18*E20</f>
        <v>56.625540583666648</v>
      </c>
      <c r="F22" s="23">
        <f>F18*F20</f>
        <v>212.4473316676478</v>
      </c>
      <c r="G22" s="23"/>
      <c r="H22" s="23"/>
      <c r="I22" s="23"/>
      <c r="J22" s="23">
        <f>J18*J20</f>
        <v>2.4657140450290136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63.873170999999999</v>
      </c>
      <c r="C30" s="39">
        <f>IF(ISERROR(B30*3.6/1000000/'E Balans VL '!Z18*100),0,B30*3.6/1000000/'E Balans VL '!Z18*100)</f>
        <v>3.687298497476595E-3</v>
      </c>
      <c r="D30" s="237" t="s">
        <v>716</v>
      </c>
    </row>
    <row r="31" spans="1:18">
      <c r="A31" s="6" t="s">
        <v>32</v>
      </c>
      <c r="B31" s="37">
        <f>IF( ISERROR(IND_ander_ele_kWh/1000),0,IND_ander_ele_kWh/1000)</f>
        <v>754.14721900000006</v>
      </c>
      <c r="C31" s="39">
        <f>IF(ISERROR(B31*3.6/1000000/'E Balans VL '!Z19*100),0,B31*3.6/1000000/'E Balans VL '!Z19*100)</f>
        <v>3.7931160642142012E-2</v>
      </c>
      <c r="D31" s="237" t="s">
        <v>716</v>
      </c>
    </row>
    <row r="32" spans="1:18">
      <c r="A32" s="171" t="s">
        <v>40</v>
      </c>
      <c r="B32" s="37">
        <f>IF( ISERROR(IND_voed_ele_kWh/1000),0,IND_voed_ele_kWh/1000)</f>
        <v>297.82859100000002</v>
      </c>
      <c r="C32" s="39">
        <f>IF(ISERROR(B32*3.6/1000000/'E Balans VL '!Z20*100),0,B32*3.6/1000000/'E Balans VL '!Z20*100)</f>
        <v>9.9194606603602749E-3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835.35547199999996</v>
      </c>
      <c r="C37" s="39">
        <f>IF(ISERROR(B37*3.6/1000000/'E Balans VL '!Z15*100),0,B37*3.6/1000000/'E Balans VL '!Z15*100)</f>
        <v>6.5180570707310658E-3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2462.408265</v>
      </c>
      <c r="C5" s="17">
        <f>'Eigen informatie GS &amp; warmtenet'!B62</f>
        <v>0</v>
      </c>
      <c r="D5" s="30">
        <f>IF(ISERROR(SUM(LB_lb_gas_kWh,LB_rest_gas_kWh)/1000),0,SUM(LB_lb_gas_kWh,LB_rest_gas_kWh)/1000)*0.902</f>
        <v>30837.955598582001</v>
      </c>
      <c r="E5" s="17">
        <f>B17*'E Balans VL '!I25/3.6*1000000/100</f>
        <v>76.850949948579171</v>
      </c>
      <c r="F5" s="17">
        <f>B17*('E Balans VL '!L25/3.6*1000000+'E Balans VL '!N25/3.6*1000000)/100</f>
        <v>8702.4235867391308</v>
      </c>
      <c r="G5" s="18"/>
      <c r="H5" s="17"/>
      <c r="I5" s="17"/>
      <c r="J5" s="17">
        <f>('E Balans VL '!D25+'E Balans VL '!E25)/3.6*1000000*landbouw!B17/100</f>
        <v>678.41055365915906</v>
      </c>
      <c r="K5" s="17"/>
      <c r="L5" s="17">
        <f>L6*(-1)</f>
        <v>0</v>
      </c>
      <c r="M5" s="17"/>
      <c r="N5" s="17">
        <f>N6*(-1)</f>
        <v>0</v>
      </c>
      <c r="O5" s="17"/>
      <c r="P5" s="17"/>
      <c r="R5" s="32"/>
    </row>
    <row r="6" spans="1:18">
      <c r="A6" s="16" t="s">
        <v>482</v>
      </c>
      <c r="B6" s="17" t="s">
        <v>210</v>
      </c>
      <c r="C6" s="17">
        <f>'lokale energieproductie'!O92+'lokale energieproductie'!O61</f>
        <v>17228.571428571428</v>
      </c>
      <c r="D6" s="310">
        <f>('lokale energieproductie'!P61+'lokale energieproductie'!P92)*(-1)</f>
        <v>-34457.142857142862</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2462.408265</v>
      </c>
      <c r="C8" s="21">
        <f>C5+C6</f>
        <v>17228.571428571428</v>
      </c>
      <c r="D8" s="21">
        <f>MAX((D5+D6),0)</f>
        <v>0</v>
      </c>
      <c r="E8" s="21">
        <f>MAX((E5+E6),0)</f>
        <v>76.850949948579171</v>
      </c>
      <c r="F8" s="21">
        <f>MAX((F5+F6),0)</f>
        <v>8702.4235867391308</v>
      </c>
      <c r="G8" s="21"/>
      <c r="H8" s="21"/>
      <c r="I8" s="21"/>
      <c r="J8" s="21">
        <f>MAX((J5+J6),0)</f>
        <v>678.41055365915906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0.17915054245370746</v>
      </c>
      <c r="C10" s="31">
        <f ca="1">'EF ele_warmte'!B22</f>
        <v>0.23764705882352952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441.14177641724262</v>
      </c>
      <c r="C12" s="23">
        <f ca="1">C8*C10</f>
        <v>4094.3193277310938</v>
      </c>
      <c r="D12" s="23">
        <f>D8*D10</f>
        <v>0</v>
      </c>
      <c r="E12" s="23">
        <f>E8*E10</f>
        <v>17.445165638327474</v>
      </c>
      <c r="F12" s="23">
        <f>F8*F10</f>
        <v>2323.5470976593479</v>
      </c>
      <c r="G12" s="23"/>
      <c r="H12" s="23"/>
      <c r="I12" s="23"/>
      <c r="J12" s="23">
        <f>J8*J10</f>
        <v>240.15733599534229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0.36605464080674965</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292.52332745934007</v>
      </c>
      <c r="C26" s="247">
        <f>B26*'GWP N2O_CH4'!B5</f>
        <v>6142.9898766461411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126.82822084657354</v>
      </c>
      <c r="C27" s="247">
        <f>B27*'GWP N2O_CH4'!B5</f>
        <v>2663.3926377780444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5.6913612107852858</v>
      </c>
      <c r="C28" s="247">
        <f>B28*'GWP N2O_CH4'!B4</f>
        <v>1764.3219753434387</v>
      </c>
      <c r="D28" s="50"/>
    </row>
    <row r="29" spans="1:4">
      <c r="A29" s="41" t="s">
        <v>276</v>
      </c>
      <c r="B29" s="247">
        <f>B34*'ha_N2O bodem landbouw'!B4</f>
        <v>11.908523140559886</v>
      </c>
      <c r="C29" s="247">
        <f>B29*'GWP N2O_CH4'!B4</f>
        <v>3691.6421735735648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2.6113247165865648E-3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2.3551066245999997E-4</v>
      </c>
      <c r="C5" s="463" t="s">
        <v>210</v>
      </c>
      <c r="D5" s="448">
        <f>SUM(D6:D11)</f>
        <v>9.2005101058777194E-4</v>
      </c>
      <c r="E5" s="448">
        <f>SUM(E6:E11)</f>
        <v>8.0217654287057503E-4</v>
      </c>
      <c r="F5" s="461" t="s">
        <v>210</v>
      </c>
      <c r="G5" s="448">
        <f>SUM(G6:G11)</f>
        <v>0.40092065796931498</v>
      </c>
      <c r="H5" s="448">
        <f>SUM(H6:H11)</f>
        <v>7.0170939351419645E-2</v>
      </c>
      <c r="I5" s="463" t="s">
        <v>210</v>
      </c>
      <c r="J5" s="463" t="s">
        <v>210</v>
      </c>
      <c r="K5" s="463" t="s">
        <v>210</v>
      </c>
      <c r="L5" s="463" t="s">
        <v>210</v>
      </c>
      <c r="M5" s="448">
        <f>SUM(M6:M11)</f>
        <v>2.7727905332857437E-2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7.9303810594999986E-5</v>
      </c>
      <c r="C6" s="449"/>
      <c r="D6" s="917">
        <f>vkm_2011_GW_PW*SUMIFS(TableVerdeelsleutelVkm[CNG],TableVerdeelsleutelVkm[Voertuigtype],"Lichte voertuigen")*SUMIFS(TableECFTransport[EnergieConsumptieFactor (PJ per km)],TableECFTransport[Index],CONCATENATE($A6,"_CNG_CNG"))</f>
        <v>2.75752857453612E-4</v>
      </c>
      <c r="E6" s="917">
        <f>vkm_2011_GW_PW*SUMIFS(TableVerdeelsleutelVkm[LPG],TableVerdeelsleutelVkm[Voertuigtype],"Lichte voertuigen")*SUMIFS(TableECFTransport[EnergieConsumptieFactor (PJ per km)],TableECFTransport[Index],CONCATENATE($A6,"_LPG_LPG"))</f>
        <v>2.1724781996040001E-4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5.9137382629382396E-2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2.06941561076396E-2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4.7704362085478139E-3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1.893634665238542E-2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4.7706759428177333E-6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1.0919289092433506E-3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3.0480254465000001E-5</v>
      </c>
      <c r="C8" s="449"/>
      <c r="D8" s="451">
        <f>vkm_2011_NGW_PW*SUMIFS(TableVerdeelsleutelVkm[CNG],TableVerdeelsleutelVkm[Voertuigtype],"Lichte voertuigen")*SUMIFS(TableECFTransport[EnergieConsumptieFactor (PJ per km)],TableECFTransport[Index],CONCATENATE($A8,"_CNG_CNG"))</f>
        <v>1.8756628733304E-4</v>
      </c>
      <c r="E8" s="451">
        <f>vkm_2011_NGW_PW*SUMIFS(TableVerdeelsleutelVkm[LPG],TableVerdeelsleutelVkm[Voertuigtype],"Lichte voertuigen")*SUMIFS(TableECFTransport[EnergieConsumptieFactor (PJ per km)],TableECFTransport[Index],CONCATENATE($A8,"_LPG_LPG"))</f>
        <v>1.36993152897175E-4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3.4605031165168831E-2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1.3715867490363288E-2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2.8971623551441537E-3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2.0055745511360376E-4</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4.7674881558521555E-8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1.1564581827178552E-5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1.2572659739999999E-4</v>
      </c>
      <c r="C10" s="449"/>
      <c r="D10" s="451">
        <f>vkm_2011_SW_PW*SUMIFS(TableVerdeelsleutelVkm[CNG],TableVerdeelsleutelVkm[Voertuigtype],"Lichte voertuigen")*SUMIFS(TableECFTransport[EnergieConsumptieFactor (PJ per km)],TableECFTransport[Index],CONCATENATE($A10,"_CNG_CNG"))</f>
        <v>4.5673186580111997E-4</v>
      </c>
      <c r="E10" s="451">
        <f>vkm_2011_SW_PW*SUMIFS(TableVerdeelsleutelVkm[LPG],TableVerdeelsleutelVkm[Voertuigtype],"Lichte voertuigen")*SUMIFS(TableECFTransport[EnergieConsumptieFactor (PJ per km)],TableECFTransport[Index],CONCATENATE($A10,"_LPG_LPG"))</f>
        <v>4.4793557001300002E-4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0.10831321154024176</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3.5707056310608512E-2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8.5928804075327356E-3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0.17972812852702297</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4.9041091983882425E-5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1.0363932870562201E-2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65.419628461111103</v>
      </c>
      <c r="C14" s="21"/>
      <c r="D14" s="21">
        <f t="shared" ref="D14:M14" si="0">((D5)*10^9/3600)+D12</f>
        <v>255.56972516326996</v>
      </c>
      <c r="E14" s="21">
        <f t="shared" si="0"/>
        <v>222.82681746404862</v>
      </c>
      <c r="F14" s="21"/>
      <c r="G14" s="21">
        <f t="shared" si="0"/>
        <v>111366.84943592083</v>
      </c>
      <c r="H14" s="21">
        <f t="shared" si="0"/>
        <v>19491.927597616566</v>
      </c>
      <c r="I14" s="21"/>
      <c r="J14" s="21"/>
      <c r="K14" s="21"/>
      <c r="L14" s="21"/>
      <c r="M14" s="21">
        <f t="shared" si="0"/>
        <v>7702.1959257937324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0.17915054245370746</v>
      </c>
      <c r="C16" s="56">
        <f ca="1">'EF ele_warmte'!B22</f>
        <v>0.23764705882352952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11.719961925928054</v>
      </c>
      <c r="C18" s="23"/>
      <c r="D18" s="23">
        <f t="shared" ref="D18:M18" si="1">D14*D16</f>
        <v>51.625084482980533</v>
      </c>
      <c r="E18" s="23">
        <f t="shared" si="1"/>
        <v>50.581687564339035</v>
      </c>
      <c r="F18" s="23"/>
      <c r="G18" s="23">
        <f t="shared" si="1"/>
        <v>29734.948799390862</v>
      </c>
      <c r="H18" s="23">
        <f t="shared" si="1"/>
        <v>4853.4899718065253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4.4333771564566216E-3</v>
      </c>
      <c r="H50" s="321">
        <f t="shared" si="2"/>
        <v>0</v>
      </c>
      <c r="I50" s="321">
        <f t="shared" si="2"/>
        <v>0</v>
      </c>
      <c r="J50" s="321">
        <f t="shared" si="2"/>
        <v>0</v>
      </c>
      <c r="K50" s="321">
        <f t="shared" si="2"/>
        <v>0</v>
      </c>
      <c r="L50" s="321">
        <f t="shared" si="2"/>
        <v>0</v>
      </c>
      <c r="M50" s="321">
        <f t="shared" si="2"/>
        <v>2.464075928820943E-4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4.4333771564566216E-3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2.464075928820943E-4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1231.4936545712837</v>
      </c>
      <c r="H54" s="21">
        <f t="shared" si="3"/>
        <v>0</v>
      </c>
      <c r="I54" s="21">
        <f t="shared" si="3"/>
        <v>0</v>
      </c>
      <c r="J54" s="21">
        <f t="shared" si="3"/>
        <v>0</v>
      </c>
      <c r="K54" s="21">
        <f t="shared" si="3"/>
        <v>0</v>
      </c>
      <c r="L54" s="21">
        <f t="shared" si="3"/>
        <v>0</v>
      </c>
      <c r="M54" s="21">
        <f t="shared" si="3"/>
        <v>68.446553578359527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0.17915054245370746</v>
      </c>
      <c r="C56" s="56">
        <f ca="1">'EF ele_warmte'!B22</f>
        <v>0.23764705882352952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328.80880577053279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4036.1530181424273</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5110.9934717276365</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12060</v>
      </c>
      <c r="C8" s="574">
        <f>B101</f>
        <v>14188.23529411765</v>
      </c>
      <c r="D8" s="575"/>
      <c r="E8" s="575">
        <f>E101</f>
        <v>0</v>
      </c>
      <c r="F8" s="576"/>
      <c r="G8" s="577"/>
      <c r="H8" s="575">
        <f>I101</f>
        <v>0</v>
      </c>
      <c r="I8" s="575">
        <f>G101+F101</f>
        <v>0</v>
      </c>
      <c r="J8" s="575">
        <f>H101+D101+C101</f>
        <v>0</v>
      </c>
      <c r="K8" s="575"/>
      <c r="L8" s="575"/>
      <c r="M8" s="575"/>
      <c r="N8" s="578"/>
      <c r="O8" s="579">
        <f>C8*$C$12+D8*$D$12+E8*$E$12+F8*$F$12+G8*$G$12+H8*$H$12+I8*$I$12+J8*$J$12</f>
        <v>2866.0235294117656</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21207.146489870065</v>
      </c>
      <c r="C10" s="589">
        <f t="shared" ref="C10:L10" si="0">SUM(C8:C9)</f>
        <v>14188.23529411765</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2866.0235294117656</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17228.571428571428</v>
      </c>
      <c r="C17" s="605">
        <f>B102</f>
        <v>20268.907563025215</v>
      </c>
      <c r="D17" s="606"/>
      <c r="E17" s="606">
        <f>E102</f>
        <v>0</v>
      </c>
      <c r="F17" s="607"/>
      <c r="G17" s="608"/>
      <c r="H17" s="605">
        <f>I102</f>
        <v>0</v>
      </c>
      <c r="I17" s="606">
        <f>G102+F102</f>
        <v>0</v>
      </c>
      <c r="J17" s="606">
        <f>H102+D102+C102</f>
        <v>0</v>
      </c>
      <c r="K17" s="606"/>
      <c r="L17" s="606"/>
      <c r="M17" s="606"/>
      <c r="N17" s="1005"/>
      <c r="O17" s="609">
        <f>C17*$C$22+E17*$E$22+H17*$H$22+I17*$I$22+J17*$J$22+D17*$D$22+F17*$F$22+G17*$G$22+K17*$K$22+L17*$L$22</f>
        <v>4094.3193277310938</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17228.571428571428</v>
      </c>
      <c r="C20" s="588">
        <f>SUM(C17:C19)</f>
        <v>20268.907563025215</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4094.3193277310938</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13031</v>
      </c>
      <c r="C28" s="817">
        <v>2360</v>
      </c>
      <c r="D28" s="666" t="s">
        <v>886</v>
      </c>
      <c r="E28" s="665" t="s">
        <v>887</v>
      </c>
      <c r="F28" s="665" t="s">
        <v>888</v>
      </c>
      <c r="G28" s="665" t="s">
        <v>889</v>
      </c>
      <c r="H28" s="665" t="s">
        <v>890</v>
      </c>
      <c r="I28" s="665" t="s">
        <v>887</v>
      </c>
      <c r="J28" s="816">
        <v>40480</v>
      </c>
      <c r="K28" s="816">
        <v>40499</v>
      </c>
      <c r="L28" s="665" t="s">
        <v>891</v>
      </c>
      <c r="M28" s="665">
        <v>2680</v>
      </c>
      <c r="N28" s="665">
        <v>12060</v>
      </c>
      <c r="O28" s="665">
        <v>17228.571428571428</v>
      </c>
      <c r="P28" s="665">
        <v>34457.142857142862</v>
      </c>
      <c r="Q28" s="665">
        <v>0</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2680</v>
      </c>
      <c r="N58" s="623">
        <f>SUM(N28:N57)</f>
        <v>12060</v>
      </c>
      <c r="O58" s="623">
        <f t="shared" ref="O58:W58" si="2">SUM(O28:O57)</f>
        <v>17228.571428571428</v>
      </c>
      <c r="P58" s="623">
        <f t="shared" si="2"/>
        <v>34457.142857142862</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2680</v>
      </c>
      <c r="N61" s="628">
        <f t="shared" si="4"/>
        <v>12060</v>
      </c>
      <c r="O61" s="628">
        <f t="shared" si="4"/>
        <v>17228.571428571428</v>
      </c>
      <c r="P61" s="628">
        <f t="shared" si="4"/>
        <v>34457.142857142862</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14188.23529411765</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20268.907563025215</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2019-08-12T08:38:24Z</dcterms:modified>
</cp:coreProperties>
</file>