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I15" i="48"/>
  <c r="J27" i="14"/>
  <c r="G78"/>
  <c r="G9" i="59"/>
  <c r="G10" s="1"/>
  <c r="H90" i="14"/>
  <c r="H18" i="59"/>
  <c r="H20" s="1"/>
  <c r="H78" i="14"/>
  <c r="H9" i="59"/>
  <c r="H10" s="1"/>
  <c r="N78" i="14"/>
  <c r="N9" i="59"/>
  <c r="N10" s="1"/>
  <c r="K15" i="48"/>
  <c r="K33"/>
  <c r="E78" i="14"/>
  <c r="E9" i="59"/>
  <c r="E10" s="1"/>
  <c r="M24" i="48"/>
  <c r="M32"/>
  <c r="I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E27" i="14"/>
  <c r="C10" i="18"/>
  <c r="J78" i="14"/>
  <c r="J8" i="59"/>
  <c r="J10" s="1"/>
  <c r="I90" i="14"/>
  <c r="I17" i="59"/>
  <c r="I20" s="1"/>
  <c r="B15" i="48"/>
  <c r="O33"/>
  <c r="D90" i="14"/>
  <c r="D17" i="59"/>
  <c r="D20" s="1"/>
  <c r="D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20" i="16"/>
  <c r="C22" s="1"/>
  <c r="D43" i="14" s="1"/>
  <c r="C17" i="49"/>
  <c r="C10" i="17"/>
  <c r="C12" s="1"/>
  <c r="D54" i="14" s="1"/>
  <c r="D56" s="1"/>
  <c r="C56" i="22"/>
  <c r="C58" s="1"/>
  <c r="D49" i="14" s="1"/>
  <c r="D52"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20" i="16" l="1"/>
  <c r="B22" s="1"/>
  <c r="C43" i="14" s="1"/>
  <c r="R43" s="1"/>
  <c r="B17" i="19"/>
  <c r="B19" s="1"/>
  <c r="C39" i="14" s="1"/>
  <c r="R39" s="1"/>
  <c r="B16" i="22"/>
  <c r="B18" s="1"/>
  <c r="B18" i="15"/>
  <c r="B20" s="1"/>
  <c r="C12" i="59"/>
  <c r="B29" i="20"/>
  <c r="B31" s="1"/>
  <c r="B10" i="9"/>
  <c r="B12" s="1"/>
  <c r="C55" i="14"/>
  <c r="R55" s="1"/>
  <c r="B10" i="13"/>
  <c r="B12" s="1"/>
  <c r="B56" i="22"/>
  <c r="B58" s="1"/>
  <c r="C49" i="14" s="1"/>
  <c r="R49" s="1"/>
  <c r="B17" i="49"/>
  <c r="B19" s="1"/>
  <c r="C54" i="14"/>
  <c r="R54" s="1"/>
  <c r="C42"/>
  <c r="R42" s="1"/>
  <c r="C48"/>
  <c r="R48" s="1"/>
  <c r="C50"/>
  <c r="R50" s="1"/>
  <c r="C40"/>
  <c r="R40" s="1"/>
  <c r="B17" i="48" l="1"/>
  <c r="B32" s="1"/>
  <c r="Q32" s="1"/>
  <c r="R56" i="14"/>
  <c r="R52"/>
  <c r="C52"/>
  <c r="C41"/>
  <c r="R41" s="1"/>
  <c r="R46" s="1"/>
  <c r="B24" i="48"/>
  <c r="Q24" s="1"/>
  <c r="B31" l="1"/>
  <c r="Q31" s="1"/>
  <c r="B25"/>
  <c r="Q25" s="1"/>
  <c r="B29"/>
  <c r="Q29" s="1"/>
  <c r="B23"/>
  <c r="Q23" s="1"/>
  <c r="B30"/>
  <c r="Q30" s="1"/>
  <c r="B28"/>
  <c r="Q28" s="1"/>
  <c r="B27"/>
  <c r="Q27" s="1"/>
  <c r="B22"/>
  <c r="B33" s="1"/>
  <c r="B26"/>
  <c r="Q26" s="1"/>
  <c r="R61" i="14"/>
  <c r="C46"/>
  <c r="C56"/>
  <c r="E56"/>
  <c r="E61" s="1"/>
  <c r="E63" s="1"/>
  <c r="Q22" i="48" l="1"/>
  <c r="Q33" s="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<sst xmlns="http://schemas.openxmlformats.org/spreadsheetml/2006/main" count="2402" uniqueCount="898">
  <si>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</si>
  <si>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</si>
  <si>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</si>
  <si>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</si>
  <si>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</si>
  <si>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</si>
  <si>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</si>
  <si>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</si>
  <si>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</si>
  <si>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</si>
  <si>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</si>
  <si>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</si>
  <si>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</si>
  <si>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</si>
  <si>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</si>
  <si>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</si>
  <si>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</si>
  <si>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</si>
  <si>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</si>
  <si>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</si>
  <si>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</si>
  <si>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</si>
  <si>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</si>
  <si>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</si>
  <si>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</si>
  <si>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</si>
  <si>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</si>
  <si>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</si>
  <si>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</si>
  <si>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</si>
  <si>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</si>
  <si>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</si>
  <si>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</si>
  <si>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</si>
  <si>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</si>
  <si>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</si>
  <si>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</si>
  <si>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</si>
  <si>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</si>
  <si>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</si>
  <si>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</si>
  <si>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</si>
  <si>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</si>
  <si>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</si>
  <si>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</si>
  <si>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</si>
  <si>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</si>
  <si>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</si>
  <si>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</si>
  <si>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</si>
  <si>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</si>
  <si>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</si>
  <si>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</si>
  <si>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</si>
  <si>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</si>
  <si>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</si>
  <si>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</si>
  <si>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</si>
  <si>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</si>
  <si>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</si>
  <si>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</si>
  <si>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</si>
  <si>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</si>
  <si>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</si>
  <si>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</si>
  <si>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</si>
  <si>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</si>
  <si>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</si>
  <si>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</si>
  <si>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</si>
  <si>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</si>
  <si>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</si>
  <si>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</si>
  <si>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</si>
  <si>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</si>
  <si>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</si>
  <si>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</si>
  <si>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</si>
  <si>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</si>
  <si>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</si>
  <si>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</si>
  <si>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</si>
  <si>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</si>
  <si>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</si>
  <si>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</si>
  <si>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</si>
  <si>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</si>
  <si>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</si>
  <si>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</si>
  <si>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</si>
  <si>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</si>
  <si>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</si>
  <si>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</si>
  <si>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</si>
  <si>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</si>
  <si>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</si>
  <si>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</si>
  <si>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</si>
  <si>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</si>
  <si>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</si>
  <si>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</si>
  <si>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</si>
  <si>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</si>
  <si>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</si>
  <si>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</si>
  <si>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</si>
  <si>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</si>
  <si>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</si>
  <si>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</si>
  <si>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</si>
  <si>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</si>
  <si>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</si>
  <si>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</si>
  <si>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</si>
  <si>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</si>
  <si>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</si>
  <si>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</si>
  <si>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</si>
  <si>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</si>
  <si>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</si>
  <si>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</si>
  <si>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</si>
  <si>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</si>
  <si>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</si>
  <si>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</si>
  <si>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</si>
  <si>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</si>
  <si>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</si>
  <si>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</si>
  <si>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</si>
  <si>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</si>
  <si>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</si>
  <si>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</si>
  <si>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</si>
  <si>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</si>
  <si>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</si>
  <si>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</si>
  <si>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</si>
  <si>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</si>
  <si>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</si>
  <si>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</si>
  <si>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</si>
  <si>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</si>
  <si>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</si>
  <si>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</si>
  <si>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</si>
  <si>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</si>
  <si>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</si>
  <si>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</si>
  <si>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</si>
  <si>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</si>
  <si>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</si>
  <si>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</si>
  <si>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</si>
  <si>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</si>
  <si>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</si>
  <si>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</si>
  <si>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</si>
  <si>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</si>
  <si>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</si>
  <si>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</si>
  <si>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</si>
  <si>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</si>
  <si>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</si>
  <si>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</si>
  <si>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</si>
  <si>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</si>
  <si>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</si>
  <si>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</si>
  <si>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</si>
  <si>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</si>
  <si>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</si>
  <si>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</si>
  <si>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</si>
  <si>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</si>
  <si>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</si>
  <si>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</si>
  <si>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</si>
  <si>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</si>
  <si>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</si>
  <si>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</si>
  <si>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</si>
  <si>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</si>
  <si>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</si>
  <si>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</si>
  <si>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</si>
  <si>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</si>
  <si>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</si>
  <si>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</si>
  <si>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</si>
  <si>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</si>
  <si>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</si>
  <si>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</si>
  <si>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</si>
  <si>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</si>
  <si>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</si>
  <si>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</si>
  <si>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</si>
  <si>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</si>
  <si>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</si>
  <si>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</si>
  <si>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</si>
  <si>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</si>
  <si>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</si>
  <si>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</si>
  <si>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</si>
  <si>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</si>
  <si>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</si>
  <si>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</si>
  <si>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</si>
  <si>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</si>
  <si>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</si>
  <si>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</si>
  <si>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</si>
  <si>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</si>
  <si>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</si>
  <si>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</si>
  <si>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</si>
  <si>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</si>
  <si>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</si>
  <si>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</si>
  <si>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</si>
  <si>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</si>
  <si>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</si>
  <si>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</si>
  <si>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</si>
  <si>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</si>
  <si>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</si>
  <si>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</si>
  <si>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</si>
  <si>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</si>
  <si>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</si>
  <si>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</si>
  <si>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</si>
  <si>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</si>
  <si>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</si>
  <si>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</si>
  <si>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</si>
  <si>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</si>
  <si>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</si>
  <si>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</si>
  <si>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</si>
  <si>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</si>
  <si>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</si>
  <si>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</si>
  <si>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</si>
  <si>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</si>
  <si>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</si>
  <si>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</si>
  <si>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</si>
  <si>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</si>
  <si>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</si>
  <si>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</si>
  <si>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</si>
  <si>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</si>
  <si>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</si>
  <si>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</si>
  <si>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</si>
  <si>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</si>
  <si>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</si>
  <si>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</si>
  <si>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</si>
  <si>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</si>
  <si>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</si>
  <si>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</si>
  <si>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</si>
  <si>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</si>
  <si>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</si>
  <si>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</si>
  <si>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</si>
  <si>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</si>
  <si>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</si>
  <si>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</si>
  <si>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</si>
  <si>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</si>
  <si>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</si>
  <si>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</si>
  <si>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</si>
  <si>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</si>
  <si>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</si>
  <si>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</si>
  <si>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</si>
  <si>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</si>
  <si>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</si>
  <si>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</si>
  <si>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</si>
  <si>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</si>
  <si>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</si>
  <si>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</si>
  <si>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</si>
  <si>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</si>
  <si>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</si>
  <si>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</si>
  <si>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</si>
  <si>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</si>
  <si>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</si>
  <si>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</si>
  <si>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</si>
  <si>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</si>
  <si>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</si>
  <si>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</si>
  <si>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</si>
  <si>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</si>
  <si>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</si>
  <si>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</si>
  <si>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</si>
  <si>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</si>
  <si>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</si>
  <si>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</si>
  <si>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</si>
  <si>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</si>
  <si>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</si>
  <si>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</si>
  <si>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</si>
  <si>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</si>
  <si>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</si>
  <si>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</si>
  <si>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</si>
  <si>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</si>
  <si>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</si>
  <si>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</si>
  <si>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</si>
  <si>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</si>
  <si>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</si>
  <si>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</si>
  <si>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</si>
  <si>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</si>
  <si>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</si>
  <si>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</si>
  <si>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</si>
  <si>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</si>
  <si>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</si>
  <si>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</si>
  <si>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</si>
  <si>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</si>
  <si>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</si>
  <si>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</si>
  <si>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</si>
  <si>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</si>
  <si>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</si>
  <si>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</si>
  <si>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</si>
  <si>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</si>
  <si>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</si>
  <si>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</si>
  <si>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</si>
  <si>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</si>
  <si>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</si>
  <si>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</si>
  <si>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</si>
  <si>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</si>
  <si>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</si>
  <si>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</si>
  <si>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</si>
  <si>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</si>
  <si>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</si>
  <si>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</si>
  <si>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</si>
  <si>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</si>
  <si>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</si>
  <si>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</si>
  <si>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</si>
  <si>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</si>
  <si>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</si>
  <si>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</si>
  <si>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</si>
  <si>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</si>
  <si>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</si>
  <si>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</si>
  <si>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</si>
  <si>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</si>
  <si>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</si>
  <si>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</si>
  <si>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</si>
  <si>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</si>
  <si>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</si>
  <si>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</si>
  <si>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</si>
  <si>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</si>
  <si>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</si>
  <si>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</si>
  <si>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</si>
  <si>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</si>
  <si>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</si>
  <si>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</si>
  <si>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</si>
  <si>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</si>
  <si>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</si>
  <si>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</si>
  <si>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</si>
  <si>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</si>
  <si>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</si>
  <si>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</si>
  <si>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</si>
  <si>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</si>
  <si>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</si>
  <si>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</si>
  <si>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</si>
  <si>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</si>
  <si>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</si>
  <si>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</si>
  <si>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</si>
  <si>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</si>
  <si>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</si>
  <si>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</si>
  <si>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</si>
  <si>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</si>
  <si>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</si>
  <si>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</si>
  <si>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</si>
  <si>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</si>
  <si>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</si>
  <si>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</si>
  <si>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</si>
  <si>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</si>
  <si>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</si>
  <si>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</si>
  <si>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</si>
  <si>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</si>
  <si>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</si>
  <si>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</si>
  <si>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</si>
  <si>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</si>
  <si>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</si>
  <si>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</si>
  <si>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</si>
  <si>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</si>
  <si>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</si>
  <si>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</si>
  <si>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</si>
  <si>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</si>
  <si>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</si>
  <si>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</si>
  <si>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</si>
  <si>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</si>
  <si>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</si>
  <si>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</si>
  <si>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</si>
  <si>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</si>
  <si>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</si>
  <si>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</si>
  <si>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</si>
  <si>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</si>
  <si>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</si>
  <si>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</si>
  <si>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</si>
  <si>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</si>
  <si>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</si>
  <si>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</si>
  <si>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</si>
  <si>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</si>
  <si>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</si>
  <si>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</si>
  <si>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</si>
  <si>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</si>
  <si>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</si>
  <si>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</si>
  <si>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</si>
  <si>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</si>
  <si>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</si>
  <si>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</si>
  <si>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</si>
  <si>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</si>
  <si>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</si>
  <si>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</si>
  <si>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</si>
  <si>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</si>
  <si>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</si>
  <si>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</si>
  <si>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</si>
  <si>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</si>
  <si>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</si>
  <si>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</si>
  <si>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</si>
  <si>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</si>
  <si>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</si>
  <si>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</si>
  <si>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</si>
  <si>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</si>
  <si>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</si>
  <si>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</si>
  <si>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</si>
  <si>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</si>
  <si>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</si>
  <si>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</si>
  <si>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</si>
  <si>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</si>
  <si>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</si>
  <si>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</si>
  <si>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</si>
  <si>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</si>
  <si>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</si>
  <si>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</si>
  <si>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</si>
  <si>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</si>
  <si>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</si>
  <si>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</si>
  <si>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</si>
  <si>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</si>
  <si>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</si>
  <si>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</si>
  <si>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</si>
  <si>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</si>
  <si>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</si>
  <si>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</si>
  <si>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</si>
  <si>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</si>
  <si>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</si>
  <si>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</si>
  <si>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</si>
  <si>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</si>
  <si>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</si>
  <si>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</si>
  <si>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</si>
  <si>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</si>
  <si>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</si>
  <si>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</si>
  <si>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</si>
  <si>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</si>
  <si>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</si>
  <si>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</si>
  <si>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</si>
  <si>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</si>
  <si>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</si>
  <si>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</si>
  <si>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</si>
  <si>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</si>
  <si>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</si>
  <si>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</si>
  <si>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</si>
  <si>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</si>
  <si>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</si>
  <si>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</si>
  <si>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</si>
  <si>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</si>
  <si>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</si>
  <si>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</si>
  <si>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</si>
  <si>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</si>
  <si>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</si>
  <si>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</si>
  <si>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</si>
  <si>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</si>
  <si>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</si>
  <si>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</si>
  <si>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</si>
  <si>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</si>
  <si>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</si>
  <si>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</si>
  <si>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</si>
  <si>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</si>
  <si>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</si>
  <si>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</si>
  <si>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</si>
  <si>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</si>
  <si>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</si>
  <si>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</si>
  <si>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</si>
  <si>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</si>
  <si>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</si>
  <si>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</si>
  <si>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</si>
  <si>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</si>
  <si>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</si>
  <si>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</si>
  <si>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</si>
  <si>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</si>
  <si>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</si>
  <si>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</si>
  <si>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</si>
  <si>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</si>
  <si>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</si>
  <si>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</si>
  <si>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</si>
  <si>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</si>
  <si>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</si>
  <si>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</si>
  <si>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</si>
  <si>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</si>
  <si>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</si>
  <si>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</si>
  <si>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</si>
  <si>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</si>
  <si>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</si>
  <si>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</si>
  <si>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</si>
  <si>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</si>
  <si>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</si>
  <si>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</si>
  <si>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</si>
  <si>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</si>
  <si>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</si>
  <si>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</si>
  <si>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</si>
  <si>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</si>
  <si>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</si>
  <si>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</si>
  <si>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</si>
  <si>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</si>
  <si>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</si>
  <si>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</si>
  <si>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</si>
  <si>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</si>
  <si>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</si>
  <si>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</si>
  <si>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</si>
  <si>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</si>
  <si>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</si>
  <si>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</si>
  <si>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</si>
  <si>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</si>
  <si>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</si>
  <si>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</si>
  <si>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</si>
  <si>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</si>
  <si>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</si>
  <si>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</si>
  <si>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</si>
  <si>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</si>
  <si>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</si>
  <si>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</si>
  <si>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</si>
  <si>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</si>
  <si>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</si>
  <si>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</si>
  <si>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</si>
  <si>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</si>
  <si>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</si>
  <si>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</si>
  <si>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</si>
  <si>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</si>
  <si>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</si>
  <si>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</si>
  <si>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</si>
  <si>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</si>
  <si>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</si>
  <si>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</si>
  <si>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</si>
  <si>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</si>
  <si>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</si>
  <si>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</si>
  <si>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</si>
  <si>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</si>
  <si>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</si>
  <si>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</si>
  <si>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</si>
  <si>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</si>
  <si>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</si>
  <si>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</si>
  <si>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</si>
  <si>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</si>
  <si>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</si>
  <si>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</si>
  <si>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</si>
  <si>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</si>
  <si>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</si>
  <si>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</si>
  <si>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</si>
  <si>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</si>
  <si>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</si>
  <si>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</si>
  <si>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</si>
  <si>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</si>
  <si>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</si>
  <si>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</si>
  <si>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</si>
  <si>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</si>
  <si>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</si>
  <si>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</si>
  <si>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</si>
  <si>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</si>
  <si>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</si>
  <si>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</si>
  <si>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</si>
  <si>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</si>
  <si>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</si>
  <si>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</si>
  <si>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</si>
  <si>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</si>
  <si>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</si>
  <si>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</si>
  <si>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</si>
  <si>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</si>
  <si>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</si>
  <si>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</si>
  <si>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</si>
  <si>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</si>
  <si>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</si>
  <si>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</si>
  <si>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</si>
  <si>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</si>
  <si>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</si>
  <si>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</si>
  <si>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</si>
  <si>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</si>
  <si>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</si>
  <si>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</si>
  <si>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</si>
  <si>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</si>
  <si>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</si>
  <si>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</si>
  <si>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</si>
  <si>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</si>
  <si>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</si>
  <si>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</si>
  <si>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</si>
  <si>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</si>
  <si>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</si>
  <si>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</si>
  <si>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</si>
  <si>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</si>
  <si>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</si>
  <si>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</si>
  <si>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</si>
  <si>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</si>
  <si>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</si>
  <si>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</si>
  <si>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</si>
  <si>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</si>
  <si>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</si>
  <si>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</si>
  <si>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</si>
  <si>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</si>
  <si>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</si>
  <si>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</si>
  <si>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</si>
  <si>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</si>
  <si>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</si>
  <si>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</si>
  <si>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</si>
  <si>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</si>
  <si>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</si>
  <si>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</si>
  <si>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</si>
  <si>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</si>
  <si>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</si>
  <si>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</si>
  <si>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</si>
  <si>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</si>
  <si>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</si>
  <si>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</si>
  <si>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</si>
  <si>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</si>
  <si>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</si>
  <si>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</si>
  <si>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</si>
  <si>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</si>
  <si>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</si>
  <si>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</si>
  <si>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</si>
  <si>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</si>
  <si>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</si>
  <si>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</si>
  <si>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</si>
  <si>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</si>
  <si>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</si>
  <si>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</si>
  <si>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</si>
  <si>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</si>
  <si>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</si>
  <si>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</si>
  <si>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</si>
  <si>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</si>
  <si>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</si>
  <si>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</si>
  <si>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</si>
  <si>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</si>
  <si>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</si>
  <si>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</si>
  <si>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</si>
  <si>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</si>
  <si>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</si>
  <si>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</si>
  <si>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</si>
  <si>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</si>
  <si>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</si>
  <si>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</si>
  <si>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</si>
  <si>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</si>
  <si>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</si>
  <si>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</si>
  <si>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</si>
  <si>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</si>
  <si>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</si>
  <si>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</si>
  <si>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</si>
  <si>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</si>
  <si>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</si>
  <si>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</si>
  <si>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</si>
  <si>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</si>
  <si>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</si>
  <si>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</si>
  <si>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</si>
  <si>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</si>
  <si>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</si>
  <si>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</si>
  <si>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</si>
  <si>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</si>
  <si>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</si>
  <si>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</si>
  <si>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</si>
  <si>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</si>
  <si>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</si>
  <si>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</si>
  <si>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</si>
  <si>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</si>
  <si>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</si>
  <si>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</si>
  <si>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</si>
  <si>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</si>
  <si>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</si>
  <si>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</si>
  <si>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</si>
  <si>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</si>
  <si>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</si>
  <si>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</si>
  <si>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</si>
  <si>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</si>
  <si>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</si>
  <si>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</si>
  <si>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</si>
  <si>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</si>
  <si>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</si>
  <si>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</si>
  <si>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</si>
  <si>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</si>
  <si>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</si>
  <si>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</si>
  <si>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</si>
  <si>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</si>
  <si>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</si>
  <si>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</si>
  <si>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</si>
  <si>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</si>
  <si>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</si>
  <si>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</si>
  <si>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</si>
  <si>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</si>
  <si>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</si>
  <si>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</si>
  <si>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</si>
  <si>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</si>
  <si>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</si>
  <si>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</si>
  <si>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</si>
  <si>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</si>
  <si>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</si>
  <si>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</si>
  <si>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</si>
  <si>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</si>
  <si>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</si>
  <si>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</si>
  <si>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</si>
  <si>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</si>
  <si>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</si>
  <si>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</si>
  <si>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</si>
  <si>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</si>
  <si>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</si>
  <si>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</si>
  <si>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</si>
  <si>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</si>
  <si>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</si>
  <si>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</si>
  <si>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</si>
  <si>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</si>
  <si>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</si>
  <si>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</si>
  <si>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</si>
  <si>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</si>
  <si>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</si>
  <si>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</si>
  <si>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</si>
  <si>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</si>
  <si>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</si>
  <si>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</si>
  <si>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</si>
  <si>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13029</t>
  </si>
  <si>
    <t>OLEN</t>
  </si>
  <si>
    <t>Mestbank (maart 2019)</t>
  </si>
  <si>
    <t>Fluvius (februari 2019)</t>
  </si>
  <si>
    <t>referentietaak LNE (2017); Jaarverslag De Lijn (2018)</t>
  </si>
  <si>
    <t>VEA (30 april 2019)</t>
  </si>
  <si>
    <t>VEA (mei 2018)</t>
  </si>
  <si>
    <t>VEA (mei 2019)</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</si>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</sst>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113671.63278315293</c:v>
                </c:pt>
                <c:pt idx="1">
                  <c:v>76830.44397559973</c:v>
                </c:pt>
                <c:pt idx="2">
                  <c:v>594.90599999999995</c:v>
                </c:pt>
                <c:pt idx="3">
                  <c:v>15602.876481302959</c:v>
                </c:pt>
                <c:pt idx="4">
                  <c:v>177519.75126788861</c:v>
                </c:pt>
                <c:pt idx="5">
                  <c:v>144487.91652540187</c:v>
                </c:pt>
                <c:pt idx="6">
                  <c:v>628.84796545428082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113671.63278315293</c:v>
                </c:pt>
                <c:pt idx="1">
                  <c:v>76830.44397559973</c:v>
                </c:pt>
                <c:pt idx="2">
                  <c:v>594.90599999999995</c:v>
                </c:pt>
                <c:pt idx="3">
                  <c:v>15602.876481302959</c:v>
                </c:pt>
                <c:pt idx="4">
                  <c:v>177519.75126788861</c:v>
                </c:pt>
                <c:pt idx="5">
                  <c:v>144487.91652540187</c:v>
                </c:pt>
                <c:pt idx="6">
                  <c:v>628.84796545428082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17092.492022561441</c:v>
                </c:pt>
                <c:pt idx="1">
                  <c:v>13561.266351503547</c:v>
                </c:pt>
                <c:pt idx="2">
                  <c:v>70.61249116607415</c:v>
                </c:pt>
                <c:pt idx="3">
                  <c:v>3558.2980510215434</c:v>
                </c:pt>
                <c:pt idx="4">
                  <c:v>29946.719912664423</c:v>
                </c:pt>
                <c:pt idx="5">
                  <c:v>35968.952305373226</c:v>
                </c:pt>
                <c:pt idx="6">
                  <c:v>159.06173779067294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17092.492022561441</c:v>
                </c:pt>
                <c:pt idx="1">
                  <c:v>13561.266351503547</c:v>
                </c:pt>
                <c:pt idx="2">
                  <c:v>70.61249116607415</c:v>
                </c:pt>
                <c:pt idx="3">
                  <c:v>3558.2980510215434</c:v>
                </c:pt>
                <c:pt idx="4">
                  <c:v>29946.719912664423</c:v>
                </c:pt>
                <c:pt idx="5">
                  <c:v>35968.952305373226</c:v>
                </c:pt>
                <c:pt idx="6">
                  <c:v>159.06173779067294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0.11869520758922275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0.11869520758922275</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5149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654.55999999999995</v>
      </c>
    </row>
    <row r="15" spans="1:6">
      <c r="A15" s="348" t="s">
        <v>183</v>
      </c>
      <c r="B15" s="334">
        <v>393</v>
      </c>
    </row>
    <row r="16" spans="1:6">
      <c r="A16" s="348" t="s">
        <v>6</v>
      </c>
      <c r="B16" s="334">
        <v>711</v>
      </c>
    </row>
    <row r="17" spans="1:6">
      <c r="A17" s="348" t="s">
        <v>7</v>
      </c>
      <c r="B17" s="334">
        <v>32</v>
      </c>
    </row>
    <row r="18" spans="1:6">
      <c r="A18" s="348" t="s">
        <v>8</v>
      </c>
      <c r="B18" s="334">
        <v>346</v>
      </c>
    </row>
    <row r="19" spans="1:6">
      <c r="A19" s="348" t="s">
        <v>9</v>
      </c>
      <c r="B19" s="334">
        <v>269</v>
      </c>
    </row>
    <row r="20" spans="1:6">
      <c r="A20" s="348" t="s">
        <v>10</v>
      </c>
      <c r="B20" s="334">
        <v>173</v>
      </c>
    </row>
    <row r="21" spans="1:6">
      <c r="A21" s="348" t="s">
        <v>11</v>
      </c>
      <c r="B21" s="334">
        <v>475</v>
      </c>
    </row>
    <row r="22" spans="1:6">
      <c r="A22" s="348" t="s">
        <v>12</v>
      </c>
      <c r="B22" s="334">
        <v>1078</v>
      </c>
    </row>
    <row r="23" spans="1:6">
      <c r="A23" s="348" t="s">
        <v>13</v>
      </c>
      <c r="B23" s="334">
        <v>54</v>
      </c>
    </row>
    <row r="24" spans="1:6">
      <c r="A24" s="348" t="s">
        <v>14</v>
      </c>
      <c r="B24" s="334">
        <v>2</v>
      </c>
    </row>
    <row r="25" spans="1:6">
      <c r="A25" s="348" t="s">
        <v>15</v>
      </c>
      <c r="B25" s="334">
        <v>152</v>
      </c>
    </row>
    <row r="26" spans="1:6">
      <c r="A26" s="348" t="s">
        <v>16</v>
      </c>
      <c r="B26" s="334">
        <v>0</v>
      </c>
    </row>
    <row r="27" spans="1:6">
      <c r="A27" s="348" t="s">
        <v>17</v>
      </c>
      <c r="B27" s="334">
        <v>0</v>
      </c>
    </row>
    <row r="28" spans="1:6" s="356" customFormat="1">
      <c r="A28" s="355" t="s">
        <v>18</v>
      </c>
      <c r="B28" s="355">
        <v>0</v>
      </c>
    </row>
    <row r="29" spans="1:6">
      <c r="A29" s="355" t="s">
        <v>713</v>
      </c>
      <c r="B29" s="355">
        <v>20</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77690.286999999997</v>
      </c>
      <c r="E38" s="334">
        <v>5</v>
      </c>
      <c r="F38" s="334">
        <v>32786.557999999997</v>
      </c>
    </row>
    <row r="39" spans="1:6">
      <c r="A39" s="348" t="s">
        <v>29</v>
      </c>
      <c r="B39" s="348" t="s">
        <v>30</v>
      </c>
      <c r="C39" s="334">
        <v>3619</v>
      </c>
      <c r="D39" s="334">
        <v>56734557.380000003</v>
      </c>
      <c r="E39" s="334">
        <v>5012</v>
      </c>
      <c r="F39" s="334">
        <v>16171819.710000001</v>
      </c>
    </row>
    <row r="40" spans="1:6">
      <c r="A40" s="348" t="s">
        <v>29</v>
      </c>
      <c r="B40" s="348" t="s">
        <v>28</v>
      </c>
      <c r="C40" s="334">
        <v>0</v>
      </c>
      <c r="D40" s="334">
        <v>0</v>
      </c>
      <c r="E40" s="334">
        <v>0</v>
      </c>
      <c r="F40" s="334">
        <v>0</v>
      </c>
    </row>
    <row r="41" spans="1:6">
      <c r="A41" s="348" t="s">
        <v>31</v>
      </c>
      <c r="B41" s="348" t="s">
        <v>32</v>
      </c>
      <c r="C41" s="334">
        <v>48</v>
      </c>
      <c r="D41" s="334">
        <v>1570515.713</v>
      </c>
      <c r="E41" s="334">
        <v>90</v>
      </c>
      <c r="F41" s="334">
        <v>2276399.0150000001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2492739.4989999998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57434844.729999997</v>
      </c>
      <c r="E48" s="334">
        <v>53</v>
      </c>
      <c r="F48" s="334">
        <v>48397631.729999997</v>
      </c>
    </row>
    <row r="49" spans="1:6">
      <c r="A49" s="348" t="s">
        <v>31</v>
      </c>
      <c r="B49" s="348" t="s">
        <v>39</v>
      </c>
      <c r="C49" s="334">
        <v>0</v>
      </c>
      <c r="D49" s="334">
        <v>0</v>
      </c>
      <c r="E49" s="334">
        <v>0</v>
      </c>
      <c r="F49" s="334">
        <v>0</v>
      </c>
    </row>
    <row r="50" spans="1:6">
      <c r="A50" s="348" t="s">
        <v>31</v>
      </c>
      <c r="B50" s="348" t="s">
        <v>40</v>
      </c>
      <c r="C50" s="334">
        <v>13</v>
      </c>
      <c r="D50" s="334">
        <v>35381951.590000004</v>
      </c>
      <c r="E50" s="334">
        <v>20</v>
      </c>
      <c r="F50" s="334">
        <v>20711094.120000001</v>
      </c>
    </row>
    <row r="51" spans="1:6">
      <c r="A51" s="348" t="s">
        <v>41</v>
      </c>
      <c r="B51" s="348" t="s">
        <v>42</v>
      </c>
      <c r="C51" s="334">
        <v>0</v>
      </c>
      <c r="D51" s="334">
        <v>0</v>
      </c>
      <c r="E51" s="334">
        <v>10</v>
      </c>
      <c r="F51" s="334">
        <v>351281.40899999999</v>
      </c>
    </row>
    <row r="52" spans="1:6">
      <c r="A52" s="348" t="s">
        <v>41</v>
      </c>
      <c r="B52" s="348" t="s">
        <v>28</v>
      </c>
      <c r="C52" s="334">
        <v>5</v>
      </c>
      <c r="D52" s="334">
        <v>24843494.649999999</v>
      </c>
      <c r="E52" s="334">
        <v>6</v>
      </c>
      <c r="F52" s="334">
        <v>101956.05100000001</v>
      </c>
    </row>
    <row r="53" spans="1:6">
      <c r="A53" s="348" t="s">
        <v>43</v>
      </c>
      <c r="B53" s="348" t="s">
        <v>44</v>
      </c>
      <c r="C53" s="334">
        <v>46</v>
      </c>
      <c r="D53" s="334">
        <v>1160823.493</v>
      </c>
      <c r="E53" s="334">
        <v>151</v>
      </c>
      <c r="F53" s="334">
        <v>447993.93800000002</v>
      </c>
    </row>
    <row r="54" spans="1:6">
      <c r="A54" s="348" t="s">
        <v>45</v>
      </c>
      <c r="B54" s="348" t="s">
        <v>46</v>
      </c>
      <c r="C54" s="334">
        <v>0</v>
      </c>
      <c r="D54" s="334">
        <v>0</v>
      </c>
      <c r="E54" s="334">
        <v>1</v>
      </c>
      <c r="F54" s="334">
        <v>594906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27</v>
      </c>
      <c r="D57" s="334">
        <v>1159990.047</v>
      </c>
      <c r="E57" s="334">
        <v>87</v>
      </c>
      <c r="F57" s="334">
        <v>1330895.6000000001</v>
      </c>
    </row>
    <row r="58" spans="1:6">
      <c r="A58" s="348" t="s">
        <v>48</v>
      </c>
      <c r="B58" s="348" t="s">
        <v>50</v>
      </c>
      <c r="C58" s="334">
        <v>20</v>
      </c>
      <c r="D58" s="334">
        <v>586061.99899999995</v>
      </c>
      <c r="E58" s="334">
        <v>29</v>
      </c>
      <c r="F58" s="334">
        <v>324276.60100000002</v>
      </c>
    </row>
    <row r="59" spans="1:6">
      <c r="A59" s="348" t="s">
        <v>48</v>
      </c>
      <c r="B59" s="348" t="s">
        <v>51</v>
      </c>
      <c r="C59" s="334">
        <v>43</v>
      </c>
      <c r="D59" s="334">
        <v>3869533.7340000002</v>
      </c>
      <c r="E59" s="334">
        <v>128</v>
      </c>
      <c r="F59" s="334">
        <v>7098801.4570000004</v>
      </c>
    </row>
    <row r="60" spans="1:6">
      <c r="A60" s="348" t="s">
        <v>48</v>
      </c>
      <c r="B60" s="348" t="s">
        <v>52</v>
      </c>
      <c r="C60" s="334">
        <v>40</v>
      </c>
      <c r="D60" s="334">
        <v>2071747.0649999999</v>
      </c>
      <c r="E60" s="334">
        <v>56</v>
      </c>
      <c r="F60" s="334">
        <v>1993570.1159999999</v>
      </c>
    </row>
    <row r="61" spans="1:6">
      <c r="A61" s="348" t="s">
        <v>48</v>
      </c>
      <c r="B61" s="348" t="s">
        <v>53</v>
      </c>
      <c r="C61" s="334">
        <v>75</v>
      </c>
      <c r="D61" s="334">
        <v>5508094.4900000002</v>
      </c>
      <c r="E61" s="334">
        <v>136</v>
      </c>
      <c r="F61" s="334">
        <v>5123921.2060000002</v>
      </c>
    </row>
    <row r="62" spans="1:6">
      <c r="A62" s="348" t="s">
        <v>48</v>
      </c>
      <c r="B62" s="348" t="s">
        <v>54</v>
      </c>
      <c r="C62" s="334">
        <v>0</v>
      </c>
      <c r="D62" s="334">
        <v>0</v>
      </c>
      <c r="E62" s="334">
        <v>3</v>
      </c>
      <c r="F62" s="334">
        <v>53679.125</v>
      </c>
    </row>
    <row r="63" spans="1:6">
      <c r="A63" s="348" t="s">
        <v>48</v>
      </c>
      <c r="B63" s="348" t="s">
        <v>28</v>
      </c>
      <c r="C63" s="334">
        <v>107</v>
      </c>
      <c r="D63" s="334">
        <v>40125066.869999997</v>
      </c>
      <c r="E63" s="334">
        <v>120</v>
      </c>
      <c r="F63" s="334">
        <v>8525326.6940000001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11</v>
      </c>
      <c r="F66" s="334">
        <v>215215.50599999999</v>
      </c>
    </row>
    <row r="67" spans="1:6">
      <c r="A67" s="355" t="s">
        <v>55</v>
      </c>
      <c r="B67" s="355" t="s">
        <v>58</v>
      </c>
      <c r="C67" s="334">
        <v>0</v>
      </c>
      <c r="D67" s="334">
        <v>0</v>
      </c>
      <c r="E67" s="334">
        <v>4</v>
      </c>
      <c r="F67" s="334">
        <v>13234.906999999999</v>
      </c>
    </row>
    <row r="68" spans="1:6">
      <c r="A68" s="341" t="s">
        <v>55</v>
      </c>
      <c r="B68" s="341" t="s">
        <v>59</v>
      </c>
      <c r="C68" s="334">
        <v>7</v>
      </c>
      <c r="D68" s="334">
        <v>276064.31900000002</v>
      </c>
      <c r="E68" s="334">
        <v>11</v>
      </c>
      <c r="F68" s="334">
        <v>239184.15299999999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76990709</v>
      </c>
      <c r="E73" s="476"/>
    </row>
    <row r="74" spans="1:6">
      <c r="A74" s="348" t="s">
        <v>63</v>
      </c>
      <c r="B74" s="348" t="s">
        <v>651</v>
      </c>
      <c r="C74" s="1307" t="s">
        <v>653</v>
      </c>
      <c r="D74" s="476">
        <v>6033022</v>
      </c>
      <c r="E74" s="476"/>
    </row>
    <row r="75" spans="1:6">
      <c r="A75" s="348" t="s">
        <v>64</v>
      </c>
      <c r="B75" s="348" t="s">
        <v>650</v>
      </c>
      <c r="C75" s="1307" t="s">
        <v>654</v>
      </c>
      <c r="D75" s="476">
        <v>7741203</v>
      </c>
      <c r="E75" s="476"/>
    </row>
    <row r="76" spans="1:6">
      <c r="A76" s="348" t="s">
        <v>64</v>
      </c>
      <c r="B76" s="348" t="s">
        <v>651</v>
      </c>
      <c r="C76" s="1307" t="s">
        <v>655</v>
      </c>
      <c r="D76" s="476">
        <v>486032</v>
      </c>
      <c r="E76" s="476"/>
    </row>
    <row r="77" spans="1:6">
      <c r="A77" s="348" t="s">
        <v>65</v>
      </c>
      <c r="B77" s="348" t="s">
        <v>650</v>
      </c>
      <c r="C77" s="1307" t="s">
        <v>656</v>
      </c>
      <c r="D77" s="476">
        <v>69837401</v>
      </c>
      <c r="E77" s="476"/>
    </row>
    <row r="78" spans="1:6">
      <c r="A78" s="341" t="s">
        <v>65</v>
      </c>
      <c r="B78" s="341" t="s">
        <v>651</v>
      </c>
      <c r="C78" s="341" t="s">
        <v>657</v>
      </c>
      <c r="D78" s="1308">
        <v>10456207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174702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1719.7821235023039</v>
      </c>
    </row>
    <row r="90" spans="1:6">
      <c r="A90" s="348" t="s">
        <v>543</v>
      </c>
      <c r="B90" s="1309">
        <v>44748.653027231259</v>
      </c>
    </row>
    <row r="91" spans="1:6">
      <c r="A91" s="348" t="s">
        <v>67</v>
      </c>
      <c r="B91" s="334">
        <v>3451.4784824835865</v>
      </c>
    </row>
    <row r="92" spans="1:6">
      <c r="A92" s="341" t="s">
        <v>68</v>
      </c>
      <c r="B92" s="342">
        <v>5332.0943199598241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1860</v>
      </c>
    </row>
    <row r="98" spans="1:6">
      <c r="A98" s="348" t="s">
        <v>71</v>
      </c>
      <c r="B98" s="334">
        <v>2</v>
      </c>
    </row>
    <row r="99" spans="1:6">
      <c r="A99" s="348" t="s">
        <v>72</v>
      </c>
      <c r="B99" s="334">
        <v>106</v>
      </c>
    </row>
    <row r="100" spans="1:6">
      <c r="A100" s="348" t="s">
        <v>73</v>
      </c>
      <c r="B100" s="334">
        <v>136</v>
      </c>
    </row>
    <row r="101" spans="1:6">
      <c r="A101" s="348" t="s">
        <v>74</v>
      </c>
      <c r="B101" s="334">
        <v>70</v>
      </c>
    </row>
    <row r="102" spans="1:6">
      <c r="A102" s="348" t="s">
        <v>75</v>
      </c>
      <c r="B102" s="334">
        <v>52</v>
      </c>
    </row>
    <row r="103" spans="1:6">
      <c r="A103" s="348" t="s">
        <v>76</v>
      </c>
      <c r="B103" s="334">
        <v>136</v>
      </c>
    </row>
    <row r="104" spans="1:6">
      <c r="A104" s="348" t="s">
        <v>77</v>
      </c>
      <c r="B104" s="334">
        <v>1749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54</v>
      </c>
      <c r="C123" s="334">
        <v>28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177</v>
      </c>
    </row>
    <row r="130" spans="1:6">
      <c r="A130" s="348" t="s">
        <v>294</v>
      </c>
      <c r="B130" s="334">
        <v>3</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120566.71047762664</v>
      </c>
      <c r="C3" s="43" t="s">
        <v>169</v>
      </c>
      <c r="D3" s="43"/>
      <c r="E3" s="154"/>
      <c r="F3" s="43"/>
      <c r="G3" s="43"/>
      <c r="H3" s="43"/>
      <c r="I3" s="43"/>
      <c r="J3" s="43"/>
      <c r="K3" s="96"/>
    </row>
    <row r="4" spans="1:11">
      <c r="A4" s="383" t="s">
        <v>170</v>
      </c>
      <c r="B4" s="49">
        <f>IF(ISERROR('SEAP template'!B78+'SEAP template'!C78),0,'SEAP template'!B78+'SEAP template'!C78)</f>
        <v>62587.007953176973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1497.1764705882354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0.11869520758922275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2138.8235294117649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9000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594.90599999999995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594.90599999999995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0.11869520758922275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70.61249116607415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16171.819710000002</v>
      </c>
      <c r="C5" s="17">
        <f>IF(ISERROR('Eigen informatie GS &amp; warmtenet'!B59),0,'Eigen informatie GS &amp; warmtenet'!B59)</f>
        <v>0</v>
      </c>
      <c r="D5" s="30">
        <f>(SUM(HH_hh_gas_kWh,HH_rest_gas_kWh)/1000)*0.902</f>
        <v>51174.570756760004</v>
      </c>
      <c r="E5" s="17">
        <f>B46*B57</f>
        <v>19497.961573365024</v>
      </c>
      <c r="F5" s="17">
        <f>B51*B62</f>
        <v>0</v>
      </c>
      <c r="G5" s="18"/>
      <c r="H5" s="17"/>
      <c r="I5" s="17"/>
      <c r="J5" s="17">
        <f>B50*B61+C50*C61</f>
        <v>0</v>
      </c>
      <c r="K5" s="17"/>
      <c r="L5" s="17"/>
      <c r="M5" s="17"/>
      <c r="N5" s="17">
        <f>B48*B59+C48*C59</f>
        <v>22282.399512351047</v>
      </c>
      <c r="O5" s="17">
        <f>B69*B70*B71</f>
        <v>408.69539319372859</v>
      </c>
      <c r="P5" s="17">
        <f>B77*B78*B79/1000-B77*B78*B79/1000/B80</f>
        <v>684.70735499952639</v>
      </c>
    </row>
    <row r="6" spans="1:16">
      <c r="A6" s="16" t="s">
        <v>615</v>
      </c>
      <c r="B6" s="809">
        <f>kWh_PV_kleiner_dan_10kW</f>
        <v>3451.4784824835865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19623.298192483588</v>
      </c>
      <c r="C8" s="21">
        <f>C5</f>
        <v>0</v>
      </c>
      <c r="D8" s="21">
        <f>D5</f>
        <v>51174.570756760004</v>
      </c>
      <c r="E8" s="21">
        <f>E5</f>
        <v>19497.961573365024</v>
      </c>
      <c r="F8" s="21">
        <f>F5</f>
        <v>0</v>
      </c>
      <c r="G8" s="21"/>
      <c r="H8" s="21"/>
      <c r="I8" s="21"/>
      <c r="J8" s="21">
        <f>J5</f>
        <v>0</v>
      </c>
      <c r="K8" s="21"/>
      <c r="L8" s="21">
        <f>L5</f>
        <v>0</v>
      </c>
      <c r="M8" s="21">
        <f>M5</f>
        <v>0</v>
      </c>
      <c r="N8" s="21">
        <f>N5</f>
        <v>22282.399512351047</v>
      </c>
      <c r="O8" s="21">
        <f>O5</f>
        <v>408.69539319372859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0.11869520758922275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2329.1914525420589</v>
      </c>
      <c r="C12" s="23">
        <f ca="1">C10*C8</f>
        <v>0</v>
      </c>
      <c r="D12" s="23">
        <f>D8*D10</f>
        <v>10337.263292865522</v>
      </c>
      <c r="E12" s="23">
        <f>E10*E8</f>
        <v>4426.0372771538605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1860</v>
      </c>
      <c r="C18" s="166" t="s">
        <v>110</v>
      </c>
      <c r="D18" s="228"/>
      <c r="E18" s="15"/>
    </row>
    <row r="19" spans="1:7">
      <c r="A19" s="171" t="s">
        <v>71</v>
      </c>
      <c r="B19" s="37">
        <f>aantalw2001_ander</f>
        <v>2</v>
      </c>
      <c r="C19" s="166" t="s">
        <v>110</v>
      </c>
      <c r="D19" s="229"/>
      <c r="E19" s="15"/>
    </row>
    <row r="20" spans="1:7">
      <c r="A20" s="171" t="s">
        <v>72</v>
      </c>
      <c r="B20" s="37">
        <f>aantalw2001_propaan</f>
        <v>106</v>
      </c>
      <c r="C20" s="167">
        <f>IF(ISERROR(B20/SUM($B$20,$B$21,$B$22)*100),0,B20/SUM($B$20,$B$21,$B$22)*100)</f>
        <v>33.974358974358978</v>
      </c>
      <c r="D20" s="229"/>
      <c r="E20" s="15"/>
    </row>
    <row r="21" spans="1:7">
      <c r="A21" s="171" t="s">
        <v>73</v>
      </c>
      <c r="B21" s="37">
        <f>aantalw2001_elektriciteit</f>
        <v>136</v>
      </c>
      <c r="C21" s="167">
        <f>IF(ISERROR(B21/SUM($B$20,$B$21,$B$22)*100),0,B21/SUM($B$20,$B$21,$B$22)*100)</f>
        <v>43.589743589743591</v>
      </c>
      <c r="D21" s="229"/>
      <c r="E21" s="15"/>
    </row>
    <row r="22" spans="1:7">
      <c r="A22" s="171" t="s">
        <v>74</v>
      </c>
      <c r="B22" s="37">
        <f>aantalw2001_hout</f>
        <v>70</v>
      </c>
      <c r="C22" s="167">
        <f>IF(ISERROR(B22/SUM($B$20,$B$21,$B$22)*100),0,B22/SUM($B$20,$B$21,$B$22)*100)</f>
        <v>22.435897435897438</v>
      </c>
      <c r="D22" s="229"/>
      <c r="E22" s="15"/>
    </row>
    <row r="23" spans="1:7">
      <c r="A23" s="171" t="s">
        <v>75</v>
      </c>
      <c r="B23" s="37">
        <f>aantalw2001_niet_gespec</f>
        <v>52</v>
      </c>
      <c r="C23" s="166" t="s">
        <v>110</v>
      </c>
      <c r="D23" s="228"/>
      <c r="E23" s="15"/>
    </row>
    <row r="24" spans="1:7">
      <c r="A24" s="171" t="s">
        <v>76</v>
      </c>
      <c r="B24" s="37">
        <f>aantalw2001_steenkool</f>
        <v>136</v>
      </c>
      <c r="C24" s="166" t="s">
        <v>110</v>
      </c>
      <c r="D24" s="229"/>
      <c r="E24" s="15"/>
    </row>
    <row r="25" spans="1:7">
      <c r="A25" s="171" t="s">
        <v>77</v>
      </c>
      <c r="B25" s="37">
        <f>aantalw2001_stookolie</f>
        <v>1749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5149</v>
      </c>
      <c r="C28" s="36"/>
      <c r="D28" s="228"/>
    </row>
    <row r="29" spans="1:7" s="15" customFormat="1">
      <c r="A29" s="230" t="s">
        <v>837</v>
      </c>
      <c r="B29" s="37">
        <f>SUM(HH_hh_gas_aantal,HH_rest_gas_aantal)</f>
        <v>3619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3619</v>
      </c>
      <c r="C32" s="167">
        <f>IF(ISERROR(B32/SUM($B$32,$B$34,$B$35,$B$36,$B$38,$B$39)*100),0,B32/SUM($B$32,$B$34,$B$35,$B$36,$B$38,$B$39)*100)</f>
        <v>71.184107002360335</v>
      </c>
      <c r="D32" s="233"/>
      <c r="G32" s="15"/>
    </row>
    <row r="33" spans="1:7">
      <c r="A33" s="171" t="s">
        <v>71</v>
      </c>
      <c r="B33" s="34" t="s">
        <v>110</v>
      </c>
      <c r="C33" s="167"/>
      <c r="D33" s="233"/>
      <c r="G33" s="15"/>
    </row>
    <row r="34" spans="1:7">
      <c r="A34" s="171" t="s">
        <v>72</v>
      </c>
      <c r="B34" s="33">
        <f>IF((($B$28-$B$32-$B$39-$B$77-$B$38)*C20/100)&lt;0,0,($B$28-$B$32-$B$39-$B$77-$B$38)*C20/100)</f>
        <v>497.72435897435906</v>
      </c>
      <c r="C34" s="167">
        <f>IF(ISERROR(B34/SUM($B$32,$B$34,$B$35,$B$36,$B$38,$B$39)*100),0,B34/SUM($B$32,$B$34,$B$35,$B$36,$B$38,$B$39)*100)</f>
        <v>9.7900149286852667</v>
      </c>
      <c r="D34" s="233"/>
      <c r="G34" s="15"/>
    </row>
    <row r="35" spans="1:7">
      <c r="A35" s="171" t="s">
        <v>73</v>
      </c>
      <c r="B35" s="33">
        <f>IF((($B$28-$B$32-$B$39-$B$77-$B$38)*C21/100)&lt;0,0,($B$28-$B$32-$B$39-$B$77-$B$38)*C21/100)</f>
        <v>638.58974358974365</v>
      </c>
      <c r="C35" s="167">
        <f>IF(ISERROR(B35/SUM($B$32,$B$34,$B$35,$B$36,$B$38,$B$39)*100),0,B35/SUM($B$32,$B$34,$B$35,$B$36,$B$38,$B$39)*100)</f>
        <v>12.560773870766001</v>
      </c>
      <c r="D35" s="233"/>
      <c r="G35" s="15"/>
    </row>
    <row r="36" spans="1:7">
      <c r="A36" s="171" t="s">
        <v>74</v>
      </c>
      <c r="B36" s="33">
        <f>IF((($B$28-$B$32-$B$39-$B$77-$B$38)*C22/100)&lt;0,0,($B$28-$B$32-$B$39-$B$77-$B$38)*C22/100)</f>
        <v>328.68589743589752</v>
      </c>
      <c r="C36" s="167">
        <f>IF(ISERROR(B36/SUM($B$32,$B$34,$B$35,$B$36,$B$38,$B$39)*100),0,B36/SUM($B$32,$B$34,$B$35,$B$36,$B$38,$B$39)*100)</f>
        <v>6.4651041981883841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3619</v>
      </c>
      <c r="C44" s="34" t="s">
        <v>110</v>
      </c>
      <c r="D44" s="174"/>
    </row>
    <row r="45" spans="1:7">
      <c r="A45" s="171" t="s">
        <v>71</v>
      </c>
      <c r="B45" s="33" t="str">
        <f t="shared" si="0"/>
        <v>-</v>
      </c>
      <c r="C45" s="34" t="s">
        <v>110</v>
      </c>
      <c r="D45" s="174"/>
    </row>
    <row r="46" spans="1:7">
      <c r="A46" s="171" t="s">
        <v>72</v>
      </c>
      <c r="B46" s="33">
        <f t="shared" si="0"/>
        <v>497.72435897435906</v>
      </c>
      <c r="C46" s="34" t="s">
        <v>110</v>
      </c>
      <c r="D46" s="174"/>
    </row>
    <row r="47" spans="1:7">
      <c r="A47" s="171" t="s">
        <v>73</v>
      </c>
      <c r="B47" s="33">
        <f t="shared" si="0"/>
        <v>638.58974358974365</v>
      </c>
      <c r="C47" s="34" t="s">
        <v>110</v>
      </c>
      <c r="D47" s="174"/>
    </row>
    <row r="48" spans="1:7">
      <c r="A48" s="171" t="s">
        <v>74</v>
      </c>
      <c r="B48" s="33">
        <f t="shared" si="0"/>
        <v>328.68589743589752</v>
      </c>
      <c r="C48" s="33">
        <f>B48*10</f>
        <v>3286.858974358975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24450.470798999999</v>
      </c>
      <c r="C5" s="17">
        <f>IF(ISERROR('Eigen informatie GS &amp; warmtenet'!B60),0,'Eigen informatie GS &amp; warmtenet'!B60)</f>
        <v>0</v>
      </c>
      <c r="D5" s="30">
        <f>SUM(D6:D12)</f>
        <v>48095.085772909995</v>
      </c>
      <c r="E5" s="17">
        <f>SUM(E6:E12)</f>
        <v>367.22349335199135</v>
      </c>
      <c r="F5" s="17">
        <f>SUM(F6:F12)</f>
        <v>2762.8549197332823</v>
      </c>
      <c r="G5" s="18"/>
      <c r="H5" s="17"/>
      <c r="I5" s="17"/>
      <c r="J5" s="17">
        <f>SUM(J6:J12)</f>
        <v>3.8931693952946947E-2</v>
      </c>
      <c r="K5" s="17"/>
      <c r="L5" s="17"/>
      <c r="M5" s="17"/>
      <c r="N5" s="17">
        <f>SUM(N6:N12)</f>
        <v>1534.4978836056061</v>
      </c>
      <c r="O5" s="17">
        <f>B38*B39*B40</f>
        <v>14.691782297523464</v>
      </c>
      <c r="P5" s="17">
        <f>B46*B47*B48/1000-B46*B47*B48/1000/B49</f>
        <v>105.07827661299004</v>
      </c>
      <c r="R5" s="32"/>
    </row>
    <row r="6" spans="1:18">
      <c r="A6" s="32" t="s">
        <v>53</v>
      </c>
      <c r="B6" s="37">
        <f>B26</f>
        <v>5123.921206</v>
      </c>
      <c r="C6" s="33"/>
      <c r="D6" s="37">
        <f>IF(ISERROR(TER_kantoor_gas_kWh/1000),0,TER_kantoor_gas_kWh/1000)*0.902</f>
        <v>4968.3012299800002</v>
      </c>
      <c r="E6" s="33">
        <f>$C$26*'E Balans VL '!I12/100/3.6*1000000</f>
        <v>41.230551086115028</v>
      </c>
      <c r="F6" s="33">
        <f>$C$26*('E Balans VL '!L12+'E Balans VL '!N12)/100/3.6*1000000</f>
        <v>626.45326935888158</v>
      </c>
      <c r="G6" s="34"/>
      <c r="H6" s="33"/>
      <c r="I6" s="33"/>
      <c r="J6" s="33">
        <f>$C$26*('E Balans VL '!D12+'E Balans VL '!E12)/100/3.6*1000000</f>
        <v>0</v>
      </c>
      <c r="K6" s="33"/>
      <c r="L6" s="33"/>
      <c r="M6" s="33"/>
      <c r="N6" s="33">
        <f>$C$26*'E Balans VL '!Y12/100/3.6*1000000</f>
        <v>2.7538553224159616</v>
      </c>
      <c r="O6" s="33"/>
      <c r="P6" s="33"/>
      <c r="R6" s="32"/>
    </row>
    <row r="7" spans="1:18">
      <c r="A7" s="32" t="s">
        <v>52</v>
      </c>
      <c r="B7" s="37">
        <f t="shared" ref="B7:B12" si="0">B27</f>
        <v>1993.5701159999999</v>
      </c>
      <c r="C7" s="33"/>
      <c r="D7" s="37">
        <f>IF(ISERROR(TER_horeca_gas_kWh/1000),0,TER_horeca_gas_kWh/1000)*0.902</f>
        <v>1868.71585263</v>
      </c>
      <c r="E7" s="33">
        <f>$C$27*'E Balans VL '!I9/100/3.6*1000000</f>
        <v>21.406047693481078</v>
      </c>
      <c r="F7" s="33">
        <f>$C$27*('E Balans VL '!L9+'E Balans VL '!N9)/100/3.6*1000000</f>
        <v>239.77814348567034</v>
      </c>
      <c r="G7" s="34"/>
      <c r="H7" s="33"/>
      <c r="I7" s="33"/>
      <c r="J7" s="33">
        <f>$C$27*('E Balans VL '!D9+'E Balans VL '!E9)/100/3.6*1000000</f>
        <v>0</v>
      </c>
      <c r="K7" s="33"/>
      <c r="L7" s="33"/>
      <c r="M7" s="33"/>
      <c r="N7" s="33">
        <f>$C$27*'E Balans VL '!Y9/100/3.6*1000000</f>
        <v>0.29887656536369289</v>
      </c>
      <c r="O7" s="33"/>
      <c r="P7" s="33"/>
      <c r="R7" s="32"/>
    </row>
    <row r="8" spans="1:18">
      <c r="A8" s="6" t="s">
        <v>51</v>
      </c>
      <c r="B8" s="37">
        <f t="shared" si="0"/>
        <v>7098.8014570000005</v>
      </c>
      <c r="C8" s="33"/>
      <c r="D8" s="37">
        <f>IF(ISERROR(TER_handel_gas_kWh/1000),0,TER_handel_gas_kWh/1000)*0.902</f>
        <v>3490.319428068</v>
      </c>
      <c r="E8" s="33">
        <f>$C$28*'E Balans VL '!I13/100/3.6*1000000</f>
        <v>190.51009833604448</v>
      </c>
      <c r="F8" s="33">
        <f>$C$28*('E Balans VL '!L13+'E Balans VL '!N13)/100/3.6*1000000</f>
        <v>677.444449700169</v>
      </c>
      <c r="G8" s="34"/>
      <c r="H8" s="33"/>
      <c r="I8" s="33"/>
      <c r="J8" s="33">
        <f>$C$28*('E Balans VL '!D13+'E Balans VL '!E13)/100/3.6*1000000</f>
        <v>0</v>
      </c>
      <c r="K8" s="33"/>
      <c r="L8" s="33"/>
      <c r="M8" s="33"/>
      <c r="N8" s="33">
        <f>$C$28*'E Balans VL '!Y13/100/3.6*1000000</f>
        <v>2.8140456136638172</v>
      </c>
      <c r="O8" s="33"/>
      <c r="P8" s="33"/>
      <c r="R8" s="32"/>
    </row>
    <row r="9" spans="1:18">
      <c r="A9" s="32" t="s">
        <v>50</v>
      </c>
      <c r="B9" s="37">
        <f t="shared" si="0"/>
        <v>324.27660100000003</v>
      </c>
      <c r="C9" s="33"/>
      <c r="D9" s="37">
        <f>IF(ISERROR(TER_gezond_gas_kWh/1000),0,TER_gezond_gas_kWh/1000)*0.902</f>
        <v>528.62792309799988</v>
      </c>
      <c r="E9" s="33">
        <f>$C$29*'E Balans VL '!I10/100/3.6*1000000</f>
        <v>0.60779993932036303</v>
      </c>
      <c r="F9" s="33">
        <f>$C$29*('E Balans VL '!L10+'E Balans VL '!N10)/100/3.6*1000000</f>
        <v>26.65849539819909</v>
      </c>
      <c r="G9" s="34"/>
      <c r="H9" s="33"/>
      <c r="I9" s="33"/>
      <c r="J9" s="33">
        <f>$C$29*('E Balans VL '!D10+'E Balans VL '!E10)/100/3.6*1000000</f>
        <v>0</v>
      </c>
      <c r="K9" s="33"/>
      <c r="L9" s="33"/>
      <c r="M9" s="33"/>
      <c r="N9" s="33">
        <f>$C$29*'E Balans VL '!Y10/100/3.6*1000000</f>
        <v>2.5231139008887014</v>
      </c>
      <c r="O9" s="33"/>
      <c r="P9" s="33"/>
      <c r="R9" s="32"/>
    </row>
    <row r="10" spans="1:18">
      <c r="A10" s="32" t="s">
        <v>49</v>
      </c>
      <c r="B10" s="37">
        <f t="shared" si="0"/>
        <v>1330.8956000000001</v>
      </c>
      <c r="C10" s="33"/>
      <c r="D10" s="37">
        <f>IF(ISERROR(TER_ander_gas_kWh/1000),0,TER_ander_gas_kWh/1000)*0.902</f>
        <v>1046.311022394</v>
      </c>
      <c r="E10" s="33">
        <f>$C$30*'E Balans VL '!I14/100/3.6*1000000</f>
        <v>2.0515890531567424</v>
      </c>
      <c r="F10" s="33">
        <f>$C$30*('E Balans VL '!L14+'E Balans VL '!N14)/100/3.6*1000000</f>
        <v>206.62190931393033</v>
      </c>
      <c r="G10" s="34"/>
      <c r="H10" s="33"/>
      <c r="I10" s="33"/>
      <c r="J10" s="33">
        <f>$C$30*('E Balans VL '!D14+'E Balans VL '!E14)/100/3.6*1000000</f>
        <v>2.2593356405505752E-2</v>
      </c>
      <c r="K10" s="33"/>
      <c r="L10" s="33"/>
      <c r="M10" s="33"/>
      <c r="N10" s="33">
        <f>$C$30*'E Balans VL '!Y14/100/3.6*1000000</f>
        <v>880.47787407620342</v>
      </c>
      <c r="O10" s="33"/>
      <c r="P10" s="33"/>
      <c r="R10" s="32"/>
    </row>
    <row r="11" spans="1:18">
      <c r="A11" s="32" t="s">
        <v>54</v>
      </c>
      <c r="B11" s="37">
        <f t="shared" si="0"/>
        <v>53.679124999999999</v>
      </c>
      <c r="C11" s="33"/>
      <c r="D11" s="37">
        <f>IF(ISERROR(TER_onderwijs_gas_kWh/1000),0,TER_onderwijs_gas_kWh/1000)*0.902</f>
        <v>0</v>
      </c>
      <c r="E11" s="33">
        <f>$C$31*'E Balans VL '!I11/100/3.6*1000000</f>
        <v>1.369184318953043</v>
      </c>
      <c r="F11" s="33">
        <f>$C$31*('E Balans VL '!L11+'E Balans VL '!N11)/100/3.6*1000000</f>
        <v>6.4554200284149852</v>
      </c>
      <c r="G11" s="34"/>
      <c r="H11" s="33"/>
      <c r="I11" s="33"/>
      <c r="J11" s="33">
        <f>$C$31*('E Balans VL '!D11+'E Balans VL '!E11)/100/3.6*1000000</f>
        <v>0</v>
      </c>
      <c r="K11" s="33"/>
      <c r="L11" s="33"/>
      <c r="M11" s="33"/>
      <c r="N11" s="33">
        <f>$C$31*'E Balans VL '!Y11/100/3.6*1000000</f>
        <v>0.11938106421806405</v>
      </c>
      <c r="O11" s="33"/>
      <c r="P11" s="33"/>
      <c r="R11" s="32"/>
    </row>
    <row r="12" spans="1:18">
      <c r="A12" s="32" t="s">
        <v>259</v>
      </c>
      <c r="B12" s="37">
        <f t="shared" si="0"/>
        <v>8525.3266939999994</v>
      </c>
      <c r="C12" s="33"/>
      <c r="D12" s="37">
        <f>IF(ISERROR(TER_rest_gas_kWh/1000),0,TER_rest_gas_kWh/1000)*0.902</f>
        <v>36192.810316739997</v>
      </c>
      <c r="E12" s="33">
        <f>$C$32*'E Balans VL '!I8/100/3.6*1000000</f>
        <v>110.04822292492062</v>
      </c>
      <c r="F12" s="33">
        <f>$C$32*('E Balans VL '!L8+'E Balans VL '!N8)/100/3.6*1000000</f>
        <v>979.44323244801717</v>
      </c>
      <c r="G12" s="34"/>
      <c r="H12" s="33"/>
      <c r="I12" s="33"/>
      <c r="J12" s="33">
        <f>$C$32*('E Balans VL '!D8+'E Balans VL '!E8)/100/3.6*1000000</f>
        <v>1.6338337547441194E-2</v>
      </c>
      <c r="K12" s="33"/>
      <c r="L12" s="33"/>
      <c r="M12" s="33"/>
      <c r="N12" s="33">
        <f>$C$32*'E Balans VL '!Y8/100/3.6*1000000</f>
        <v>645.5107370628524</v>
      </c>
      <c r="O12" s="33"/>
      <c r="P12" s="33"/>
      <c r="R12" s="32"/>
    </row>
    <row r="13" spans="1:18">
      <c r="A13" s="16" t="s">
        <v>482</v>
      </c>
      <c r="B13" s="247">
        <f ca="1">'lokale energieproductie'!N91+'lokale energieproductie'!N60</f>
        <v>1035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-2957.1428571428573</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25485.470798999999</v>
      </c>
      <c r="C16" s="21">
        <f t="shared" ca="1" si="1"/>
        <v>0</v>
      </c>
      <c r="D16" s="21">
        <f t="shared" ca="1" si="1"/>
        <v>48095.085772909995</v>
      </c>
      <c r="E16" s="21">
        <f t="shared" si="1"/>
        <v>367.22349335199135</v>
      </c>
      <c r="F16" s="21">
        <f t="shared" ca="1" si="1"/>
        <v>2762.8549197332823</v>
      </c>
      <c r="G16" s="21">
        <f t="shared" si="1"/>
        <v>0</v>
      </c>
      <c r="H16" s="21">
        <f t="shared" si="1"/>
        <v>0</v>
      </c>
      <c r="I16" s="21">
        <f t="shared" si="1"/>
        <v>0</v>
      </c>
      <c r="J16" s="21">
        <f t="shared" si="1"/>
        <v>3.8931693952946947E-2</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0.11869520758922275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3025.0032469963794</v>
      </c>
      <c r="C20" s="23">
        <f t="shared" ref="C20:P20" ca="1" si="2">C16*C18</f>
        <v>0</v>
      </c>
      <c r="D20" s="23">
        <f t="shared" ca="1" si="2"/>
        <v>9715.2073261278201</v>
      </c>
      <c r="E20" s="23">
        <f t="shared" si="2"/>
        <v>83.359732990902046</v>
      </c>
      <c r="F20" s="23">
        <f t="shared" ca="1" si="2"/>
        <v>737.68226356878642</v>
      </c>
      <c r="G20" s="23">
        <f t="shared" si="2"/>
        <v>0</v>
      </c>
      <c r="H20" s="23">
        <f t="shared" si="2"/>
        <v>0</v>
      </c>
      <c r="I20" s="23">
        <f t="shared" si="2"/>
        <v>0</v>
      </c>
      <c r="J20" s="23">
        <f t="shared" si="2"/>
        <v>1.3781819659343218E-2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5123.921206</v>
      </c>
      <c r="C26" s="39">
        <f>IF(ISERROR(B26*3.6/1000000/'E Balans VL '!Z12*100),0,B26*3.6/1000000/'E Balans VL '!Z12*100)</f>
        <v>0.10869930053570946</v>
      </c>
      <c r="D26" s="237" t="s">
        <v>716</v>
      </c>
      <c r="F26" s="6"/>
    </row>
    <row r="27" spans="1:18">
      <c r="A27" s="231" t="s">
        <v>52</v>
      </c>
      <c r="B27" s="33">
        <f>IF(ISERROR(TER_horeca_ele_kWh/1000),0,TER_horeca_ele_kWh/1000)</f>
        <v>1993.5701159999999</v>
      </c>
      <c r="C27" s="39">
        <f>IF(ISERROR(B27*3.6/1000000/'E Balans VL '!Z9*100),0,B27*3.6/1000000/'E Balans VL '!Z9*100)</f>
        <v>0.15013348978874558</v>
      </c>
      <c r="D27" s="237" t="s">
        <v>716</v>
      </c>
      <c r="F27" s="6"/>
    </row>
    <row r="28" spans="1:18">
      <c r="A28" s="171" t="s">
        <v>51</v>
      </c>
      <c r="B28" s="33">
        <f>IF(ISERROR(TER_handel_ele_kWh/1000),0,TER_handel_ele_kWh/1000)</f>
        <v>7098.8014570000005</v>
      </c>
      <c r="C28" s="39">
        <f>IF(ISERROR(B28*3.6/1000000/'E Balans VL '!Z13*100),0,B28*3.6/1000000/'E Balans VL '!Z13*100)</f>
        <v>0.20605305328066417</v>
      </c>
      <c r="D28" s="237" t="s">
        <v>716</v>
      </c>
      <c r="F28" s="6"/>
    </row>
    <row r="29" spans="1:18">
      <c r="A29" s="231" t="s">
        <v>50</v>
      </c>
      <c r="B29" s="33">
        <f>IF(ISERROR(TER_gezond_ele_kWh/1000),0,TER_gezond_ele_kWh/1000)</f>
        <v>324.27660100000003</v>
      </c>
      <c r="C29" s="39">
        <f>IF(ISERROR(B29*3.6/1000000/'E Balans VL '!Z10*100),0,B29*3.6/1000000/'E Balans VL '!Z10*100)</f>
        <v>3.2703681926447278E-2</v>
      </c>
      <c r="D29" s="237" t="s">
        <v>716</v>
      </c>
      <c r="F29" s="6"/>
    </row>
    <row r="30" spans="1:18">
      <c r="A30" s="231" t="s">
        <v>49</v>
      </c>
      <c r="B30" s="33">
        <f>IF(ISERROR(TER_ander_ele_kWh/1000),0,TER_ander_ele_kWh/1000)</f>
        <v>1330.8956000000001</v>
      </c>
      <c r="C30" s="39">
        <f>IF(ISERROR(B30*3.6/1000000/'E Balans VL '!Z14*100),0,B30*3.6/1000000/'E Balans VL '!Z14*100)</f>
        <v>9.6574632525115528E-2</v>
      </c>
      <c r="D30" s="237" t="s">
        <v>716</v>
      </c>
      <c r="F30" s="6"/>
    </row>
    <row r="31" spans="1:18">
      <c r="A31" s="231" t="s">
        <v>54</v>
      </c>
      <c r="B31" s="33">
        <f>IF(ISERROR(TER_onderwijs_ele_kWh/1000),0,TER_onderwijs_ele_kWh/1000)</f>
        <v>53.679124999999999</v>
      </c>
      <c r="C31" s="39">
        <f>IF(ISERROR(B31*3.6/1000000/'E Balans VL '!Z11*100),0,B31*3.6/1000000/'E Balans VL '!Z11*100)</f>
        <v>1.5300736540754166E-2</v>
      </c>
      <c r="D31" s="237" t="s">
        <v>716</v>
      </c>
    </row>
    <row r="32" spans="1:18">
      <c r="A32" s="231" t="s">
        <v>259</v>
      </c>
      <c r="B32" s="33">
        <f>IF(ISERROR(TER_rest_ele_kWh/1000),0,TER_rest_ele_kWh/1000)</f>
        <v>8525.3266939999994</v>
      </c>
      <c r="C32" s="39">
        <f>IF(ISERROR(B32*3.6/1000000/'E Balans VL '!Z8*100),0,B32*3.6/1000000/'E Balans VL '!Z8*100)</f>
        <v>6.9837739749500943E-2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73877.864363999994</v>
      </c>
      <c r="C5" s="17">
        <f>IF(ISERROR('Eigen informatie GS &amp; warmtenet'!B61),0,'Eigen informatie GS &amp; warmtenet'!B61)</f>
        <v>0</v>
      </c>
      <c r="D5" s="30">
        <f>SUM(D6:D15)</f>
        <v>85137.355453766009</v>
      </c>
      <c r="E5" s="17">
        <f>SUM(E6:E15)</f>
        <v>2972.7697898972365</v>
      </c>
      <c r="F5" s="17">
        <f>SUM(F6:F15)</f>
        <v>11845.625344574546</v>
      </c>
      <c r="G5" s="18"/>
      <c r="H5" s="17"/>
      <c r="I5" s="17"/>
      <c r="J5" s="17">
        <f>SUM(J6:J15)</f>
        <v>402.33038068415641</v>
      </c>
      <c r="K5" s="17"/>
      <c r="L5" s="17"/>
      <c r="M5" s="17"/>
      <c r="N5" s="17">
        <f>SUM(N6:N15)</f>
        <v>3283.8059349667064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2492.7394989999998</v>
      </c>
      <c r="C8" s="33"/>
      <c r="D8" s="37">
        <f>IF( ISERROR(IND_metaal_Gas_kWH/1000),0,IND_metaal_Gas_kWH/1000)*0.902</f>
        <v>0</v>
      </c>
      <c r="E8" s="33">
        <f>C30*'E Balans VL '!I18/100/3.6*1000000</f>
        <v>17.983365917190731</v>
      </c>
      <c r="F8" s="33">
        <f>C30*'E Balans VL '!L18/100/3.6*1000000+C30*'E Balans VL '!N18/100/3.6*1000000</f>
        <v>235.76719370874912</v>
      </c>
      <c r="G8" s="34"/>
      <c r="H8" s="33"/>
      <c r="I8" s="33"/>
      <c r="J8" s="40">
        <f>C30*'E Balans VL '!D18/100/3.6*1000000+C30*'E Balans VL '!E18/100/3.6*1000000</f>
        <v>2.5072118738972828</v>
      </c>
      <c r="K8" s="33"/>
      <c r="L8" s="33"/>
      <c r="M8" s="33"/>
      <c r="N8" s="33">
        <f>C30*'E Balans VL '!Y18/100/3.6*1000000</f>
        <v>31.514822404959823</v>
      </c>
      <c r="O8" s="33"/>
      <c r="P8" s="33"/>
      <c r="R8" s="32"/>
    </row>
    <row r="9" spans="1:18">
      <c r="A9" s="6" t="s">
        <v>32</v>
      </c>
      <c r="B9" s="37">
        <f t="shared" si="0"/>
        <v>2276.399015</v>
      </c>
      <c r="C9" s="33"/>
      <c r="D9" s="37">
        <f>IF( ISERROR(IND_andere_gas_kWh/1000),0,IND_andere_gas_kWh/1000)*0.902</f>
        <v>1416.605173126</v>
      </c>
      <c r="E9" s="33">
        <f>C31*'E Balans VL '!I19/100/3.6*1000000</f>
        <v>630.82060632483012</v>
      </c>
      <c r="F9" s="33">
        <f>C31*'E Balans VL '!L19/100/3.6*1000000+C31*'E Balans VL '!N19/100/3.6*1000000</f>
        <v>1886.6844229681847</v>
      </c>
      <c r="G9" s="34"/>
      <c r="H9" s="33"/>
      <c r="I9" s="33"/>
      <c r="J9" s="40">
        <f>C31*'E Balans VL '!D19/100/3.6*1000000+C31*'E Balans VL '!E19/100/3.6*1000000</f>
        <v>0</v>
      </c>
      <c r="K9" s="33"/>
      <c r="L9" s="33"/>
      <c r="M9" s="33"/>
      <c r="N9" s="33">
        <f>C31*'E Balans VL '!Y19/100/3.6*1000000</f>
        <v>165.23872511477126</v>
      </c>
      <c r="O9" s="33"/>
      <c r="P9" s="33"/>
      <c r="R9" s="32"/>
    </row>
    <row r="10" spans="1:18">
      <c r="A10" s="6" t="s">
        <v>40</v>
      </c>
      <c r="B10" s="37">
        <f t="shared" si="0"/>
        <v>20711.094120000002</v>
      </c>
      <c r="C10" s="33"/>
      <c r="D10" s="37">
        <f>IF( ISERROR(IND_voed_gas_kWh/1000),0,IND_voed_gas_kWh/1000)*0.902</f>
        <v>31914.520334180004</v>
      </c>
      <c r="E10" s="33">
        <f>C32*'E Balans VL '!I20/100/3.6*1000000</f>
        <v>36.665651889749249</v>
      </c>
      <c r="F10" s="33">
        <f>C32*'E Balans VL '!L20/100/3.6*1000000+C32*'E Balans VL '!N20/100/3.6*1000000</f>
        <v>1118.5826432606186</v>
      </c>
      <c r="G10" s="34"/>
      <c r="H10" s="33"/>
      <c r="I10" s="33"/>
      <c r="J10" s="40">
        <f>C32*'E Balans VL '!D20/100/3.6*1000000+C32*'E Balans VL '!E20/100/3.6*1000000</f>
        <v>0</v>
      </c>
      <c r="K10" s="33"/>
      <c r="L10" s="33"/>
      <c r="M10" s="33"/>
      <c r="N10" s="33">
        <f>C32*'E Balans VL '!Y20/100/3.6*1000000</f>
        <v>1203.4727409687659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48397.631729999994</v>
      </c>
      <c r="C15" s="33"/>
      <c r="D15" s="37">
        <f>IF( ISERROR(IND_rest_gas_kWh/1000),0,IND_rest_gas_kWh/1000)*0.902</f>
        <v>51806.22994646</v>
      </c>
      <c r="E15" s="33">
        <f>C37*'E Balans VL '!I15/100/3.6*1000000</f>
        <v>2287.3001657654663</v>
      </c>
      <c r="F15" s="33">
        <f>C37*'E Balans VL '!L15/100/3.6*1000000+C37*'E Balans VL '!N15/100/3.6*1000000</f>
        <v>8604.5910846369934</v>
      </c>
      <c r="G15" s="34"/>
      <c r="H15" s="33"/>
      <c r="I15" s="33"/>
      <c r="J15" s="40">
        <f>C37*'E Balans VL '!D15/100/3.6*1000000+C37*'E Balans VL '!E15/100/3.6*1000000</f>
        <v>399.82316881025912</v>
      </c>
      <c r="K15" s="33"/>
      <c r="L15" s="33"/>
      <c r="M15" s="33"/>
      <c r="N15" s="33">
        <f>C37*'E Balans VL '!Y15/100/3.6*1000000</f>
        <v>1883.5796464782095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73877.864363999994</v>
      </c>
      <c r="C18" s="21">
        <f>C5+C16</f>
        <v>0</v>
      </c>
      <c r="D18" s="21">
        <f>MAX((D5+D16),0)</f>
        <v>85137.355453766009</v>
      </c>
      <c r="E18" s="21">
        <f>MAX((E5+E16),0)</f>
        <v>2972.7697898972365</v>
      </c>
      <c r="F18" s="21">
        <f>MAX((F5+F16),0)</f>
        <v>11845.625344574546</v>
      </c>
      <c r="G18" s="21"/>
      <c r="H18" s="21"/>
      <c r="I18" s="21"/>
      <c r="J18" s="21">
        <f>MAX((J5+J16),0)</f>
        <v>402.33038068415641</v>
      </c>
      <c r="K18" s="21"/>
      <c r="L18" s="21">
        <f>MAX((L5+L16),0)</f>
        <v>0</v>
      </c>
      <c r="M18" s="21"/>
      <c r="N18" s="21">
        <f>MAX((N5+N16),0)</f>
        <v>3283.8059349667064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0.11869520758922275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8768.9484469334202</v>
      </c>
      <c r="C22" s="23">
        <f ca="1">C18*C20</f>
        <v>0</v>
      </c>
      <c r="D22" s="23">
        <f>D18*D20</f>
        <v>17197.745801660734</v>
      </c>
      <c r="E22" s="23">
        <f>E18*E20</f>
        <v>674.81874230667268</v>
      </c>
      <c r="F22" s="23">
        <f>F18*F20</f>
        <v>3162.7819670014042</v>
      </c>
      <c r="G22" s="23"/>
      <c r="H22" s="23"/>
      <c r="I22" s="23"/>
      <c r="J22" s="23">
        <f>J18*J20</f>
        <v>142.42495476219136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2492.7394989999998</v>
      </c>
      <c r="C30" s="39">
        <f>IF(ISERROR(B30*3.6/1000000/'E Balans VL '!Z18*100),0,B30*3.6/1000000/'E Balans VL '!Z18*100)</f>
        <v>0.14390196173700631</v>
      </c>
      <c r="D30" s="237" t="s">
        <v>716</v>
      </c>
    </row>
    <row r="31" spans="1:18">
      <c r="A31" s="6" t="s">
        <v>32</v>
      </c>
      <c r="B31" s="37">
        <f>IF( ISERROR(IND_ander_ele_kWh/1000),0,IND_ander_ele_kWh/1000)</f>
        <v>2276.399015</v>
      </c>
      <c r="C31" s="39">
        <f>IF(ISERROR(B31*3.6/1000000/'E Balans VL '!Z19*100),0,B31*3.6/1000000/'E Balans VL '!Z19*100)</f>
        <v>0.11449549179280188</v>
      </c>
      <c r="D31" s="237" t="s">
        <v>716</v>
      </c>
    </row>
    <row r="32" spans="1:18">
      <c r="A32" s="171" t="s">
        <v>40</v>
      </c>
      <c r="B32" s="37">
        <f>IF( ISERROR(IND_voed_ele_kWh/1000),0,IND_voed_ele_kWh/1000)</f>
        <v>20711.094120000002</v>
      </c>
      <c r="C32" s="39">
        <f>IF(ISERROR(B32*3.6/1000000/'E Balans VL '!Z20*100),0,B32*3.6/1000000/'E Balans VL '!Z20*100)</f>
        <v>0.68980242181100415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48397.631729999994</v>
      </c>
      <c r="C37" s="39">
        <f>IF(ISERROR(B37*3.6/1000000/'E Balans VL '!Z15*100),0,B37*3.6/1000000/'E Balans VL '!Z15*100)</f>
        <v>0.37763387716740143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453.23745999999994</v>
      </c>
      <c r="C5" s="17">
        <f>'Eigen informatie GS &amp; warmtenet'!B62</f>
        <v>0</v>
      </c>
      <c r="D5" s="30">
        <f>IF(ISERROR(SUM(LB_lb_gas_kWh,LB_rest_gas_kWh)/1000),0,SUM(LB_lb_gas_kWh,LB_rest_gas_kWh)/1000)*0.902</f>
        <v>22408.832174299998</v>
      </c>
      <c r="E5" s="17">
        <f>B17*'E Balans VL '!I25/3.6*1000000/100</f>
        <v>14.145391667324166</v>
      </c>
      <c r="F5" s="17">
        <f>B17*('E Balans VL '!L25/3.6*1000000+'E Balans VL '!N25/3.6*1000000)/100</f>
        <v>1601.7913919314001</v>
      </c>
      <c r="G5" s="18"/>
      <c r="H5" s="17"/>
      <c r="I5" s="17"/>
      <c r="J5" s="17">
        <f>('E Balans VL '!D25+'E Balans VL '!E25)/3.6*1000000*landbouw!B17/100</f>
        <v>124.87006340423852</v>
      </c>
      <c r="K5" s="17"/>
      <c r="L5" s="17">
        <f>L6*(-1)</f>
        <v>0</v>
      </c>
      <c r="M5" s="17"/>
      <c r="N5" s="17">
        <f>N6*(-1)</f>
        <v>0</v>
      </c>
      <c r="O5" s="17"/>
      <c r="P5" s="17"/>
      <c r="R5" s="32"/>
    </row>
    <row r="6" spans="1:18">
      <c r="A6" s="16" t="s">
        <v>482</v>
      </c>
      <c r="B6" s="17" t="s">
        <v>210</v>
      </c>
      <c r="C6" s="17">
        <f>'lokale energieproductie'!O92+'lokale energieproductie'!O61</f>
        <v>9000</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453.23745999999994</v>
      </c>
      <c r="C8" s="21">
        <f>C5+C6</f>
        <v>9000</v>
      </c>
      <c r="D8" s="21">
        <f>MAX((D5+D6),0)</f>
        <v>4408.8321742999979</v>
      </c>
      <c r="E8" s="21">
        <f>MAX((E5+E6),0)</f>
        <v>14.145391667324166</v>
      </c>
      <c r="F8" s="21">
        <f>MAX((F5+F6),0)</f>
        <v>1601.7913919314001</v>
      </c>
      <c r="G8" s="21"/>
      <c r="H8" s="21"/>
      <c r="I8" s="21"/>
      <c r="J8" s="21">
        <f>MAX((J5+J6),0)</f>
        <v>124.87006340423852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0.11869520758922275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53.797114401912033</v>
      </c>
      <c r="C12" s="23">
        <f ca="1">C8*C10</f>
        <v>2138.8235294117649</v>
      </c>
      <c r="D12" s="23">
        <f>D8*D10</f>
        <v>890.58409920859958</v>
      </c>
      <c r="E12" s="23">
        <f>E8*E10</f>
        <v>3.2110039084825859</v>
      </c>
      <c r="F12" s="23">
        <f>F8*F10</f>
        <v>427.67830164568386</v>
      </c>
      <c r="G12" s="23"/>
      <c r="H12" s="23"/>
      <c r="I12" s="23"/>
      <c r="J12" s="23">
        <f>J8*J10</f>
        <v>44.204002445100436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6.7376997542876418E-2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150.30865230458275</v>
      </c>
      <c r="C26" s="247">
        <f>B26*'GWP N2O_CH4'!B5</f>
        <v>3156.4816983962378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39.815527670923309</v>
      </c>
      <c r="C27" s="247">
        <f>B27*'GWP N2O_CH4'!B5</f>
        <v>836.12608108938946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1.8104098236012149</v>
      </c>
      <c r="C28" s="247">
        <f>B28*'GWP N2O_CH4'!B4</f>
        <v>561.22704531637658</v>
      </c>
      <c r="D28" s="50"/>
    </row>
    <row r="29" spans="1:4">
      <c r="A29" s="41" t="s">
        <v>276</v>
      </c>
      <c r="B29" s="247">
        <f>B34*'ha_N2O bodem landbouw'!B4</f>
        <v>4.4194965850323058</v>
      </c>
      <c r="C29" s="247">
        <f>B29*'GWP N2O_CH4'!B4</f>
        <v>1370.0439413600147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9.6911602985071598E-4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3.0218300691499996E-4</v>
      </c>
      <c r="C5" s="463" t="s">
        <v>210</v>
      </c>
      <c r="D5" s="448">
        <f>SUM(D6:D11)</f>
        <v>1.1124885661274561E-3</v>
      </c>
      <c r="E5" s="448">
        <f>SUM(E6:E11)</f>
        <v>9.6678447443080003E-4</v>
      </c>
      <c r="F5" s="461" t="s">
        <v>210</v>
      </c>
      <c r="G5" s="448">
        <f>SUM(G6:G11)</f>
        <v>0.40399604872073402</v>
      </c>
      <c r="H5" s="448">
        <f>SUM(H6:H11)</f>
        <v>8.4904549598869006E-2</v>
      </c>
      <c r="I5" s="463" t="s">
        <v>210</v>
      </c>
      <c r="J5" s="463" t="s">
        <v>210</v>
      </c>
      <c r="K5" s="463" t="s">
        <v>210</v>
      </c>
      <c r="L5" s="463" t="s">
        <v>210</v>
      </c>
      <c r="M5" s="448">
        <f>SUM(M6:M11)</f>
        <v>2.8874445124370478E-2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1.5051683609499999E-4</v>
      </c>
      <c r="C6" s="449"/>
      <c r="D6" s="917">
        <f>vkm_2011_GW_PW*SUMIFS(TableVerdeelsleutelVkm[CNG],TableVerdeelsleutelVkm[Voertuigtype],"Lichte voertuigen")*SUMIFS(TableECFTransport[EnergieConsumptieFactor (PJ per km)],TableECFTransport[Index],CONCATENATE($A6,"_CNG_CNG"))</f>
        <v>5.2337267700841203E-4</v>
      </c>
      <c r="E6" s="917">
        <f>vkm_2011_GW_PW*SUMIFS(TableVerdeelsleutelVkm[LPG],TableVerdeelsleutelVkm[Voertuigtype],"Lichte voertuigen")*SUMIFS(TableECFTransport[EnergieConsumptieFactor (PJ per km)],TableECFTransport[Index],CONCATENATE($A6,"_LPG_LPG"))</f>
        <v>4.1233144112039997E-4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0.11224141263238689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3.9277039521910667E-2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9.0541798624354554E-3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5.7073299818487702E-2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1.4378603403259103E-5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3.2910247769397235E-3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1.5134051864999999E-5</v>
      </c>
      <c r="C8" s="449"/>
      <c r="D8" s="451">
        <f>vkm_2011_NGW_PW*SUMIFS(TableVerdeelsleutelVkm[CNG],TableVerdeelsleutelVkm[Voertuigtype],"Lichte voertuigen")*SUMIFS(TableECFTransport[EnergieConsumptieFactor (PJ per km)],TableECFTransport[Index],CONCATENATE($A8,"_CNG_CNG"))</f>
        <v>9.313038786744E-5</v>
      </c>
      <c r="E8" s="451">
        <f>vkm_2011_NGW_PW*SUMIFS(TableVerdeelsleutelVkm[LPG],TableVerdeelsleutelVkm[Voertuigtype],"Lichte voertuigen")*SUMIFS(TableECFTransport[EnergieConsumptieFactor (PJ per km)],TableECFTransport[Index],CONCATENATE($A8,"_LPG_LPG"))</f>
        <v>6.8019821930175004E-5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1.718208543977149E-2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6.8102006894654498E-3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1.4384986645838084E-3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5.8822989761681379E-3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1.3982921094694649E-6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3.3918623370690561E-4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1.3653211895500001E-4</v>
      </c>
      <c r="C10" s="449"/>
      <c r="D10" s="451">
        <f>vkm_2011_SW_PW*SUMIFS(TableVerdeelsleutelVkm[CNG],TableVerdeelsleutelVkm[Voertuigtype],"Lichte voertuigen")*SUMIFS(TableECFTransport[EnergieConsumptieFactor (PJ per km)],TableECFTransport[Index],CONCATENATE($A10,"_CNG_CNG"))</f>
        <v>4.9598550125160403E-4</v>
      </c>
      <c r="E10" s="451">
        <f>vkm_2011_SW_PW*SUMIFS(TableVerdeelsleutelVkm[LPG],TableVerdeelsleutelVkm[Voertuigtype],"Lichte voertuigen")*SUMIFS(TableECFTransport[EnergieConsumptieFactor (PJ per km)],TableECFTransport[Index],CONCATENATE($A10,"_LPG_LPG"))</f>
        <v>4.8643321138022499E-4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0.11762214669153502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3.8775884821113313E-2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9.3313920381921378E-3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9.3994805162384815E-2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2.5647670866847887E-5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5.4201635485124459E-3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83.939724143055543</v>
      </c>
      <c r="C14" s="21"/>
      <c r="D14" s="21">
        <f t="shared" ref="D14:M14" si="0">((D5)*10^9/3600)+D12</f>
        <v>309.0246017020711</v>
      </c>
      <c r="E14" s="21">
        <f t="shared" si="0"/>
        <v>268.55124289744447</v>
      </c>
      <c r="F14" s="21"/>
      <c r="G14" s="21">
        <f t="shared" si="0"/>
        <v>112221.12464464833</v>
      </c>
      <c r="H14" s="21">
        <f t="shared" si="0"/>
        <v>23584.597110796949</v>
      </c>
      <c r="I14" s="21"/>
      <c r="J14" s="21"/>
      <c r="K14" s="21"/>
      <c r="L14" s="21"/>
      <c r="M14" s="21">
        <f t="shared" si="0"/>
        <v>8020.6792012140213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0.11869520758922275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9.96324298214207</v>
      </c>
      <c r="C18" s="23"/>
      <c r="D18" s="23">
        <f t="shared" ref="D18:M18" si="1">D14*D16</f>
        <v>62.422969543818368</v>
      </c>
      <c r="E18" s="23">
        <f t="shared" si="1"/>
        <v>60.961132137719893</v>
      </c>
      <c r="F18" s="23"/>
      <c r="G18" s="23">
        <f t="shared" si="1"/>
        <v>29963.040280121106</v>
      </c>
      <c r="H18" s="23">
        <f t="shared" si="1"/>
        <v>5872.5646805884398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2.1446526443686235E-3</v>
      </c>
      <c r="H50" s="321">
        <f t="shared" si="2"/>
        <v>0</v>
      </c>
      <c r="I50" s="321">
        <f t="shared" si="2"/>
        <v>0</v>
      </c>
      <c r="J50" s="321">
        <f t="shared" si="2"/>
        <v>0</v>
      </c>
      <c r="K50" s="321">
        <f t="shared" si="2"/>
        <v>0</v>
      </c>
      <c r="L50" s="321">
        <f t="shared" si="2"/>
        <v>0</v>
      </c>
      <c r="M50" s="321">
        <f t="shared" si="2"/>
        <v>1.1920003126678751E-4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2.1446526443686235E-3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1.1920003126678751E-4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595.73684565795099</v>
      </c>
      <c r="H54" s="21">
        <f t="shared" si="3"/>
        <v>0</v>
      </c>
      <c r="I54" s="21">
        <f t="shared" si="3"/>
        <v>0</v>
      </c>
      <c r="J54" s="21">
        <f t="shared" si="3"/>
        <v>0</v>
      </c>
      <c r="K54" s="21">
        <f t="shared" si="3"/>
        <v>0</v>
      </c>
      <c r="L54" s="21">
        <f t="shared" si="3"/>
        <v>0</v>
      </c>
      <c r="M54" s="21">
        <f t="shared" si="3"/>
        <v>33.111119796329866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0.11869520758922275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159.06173779067294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26080.376798999998</v>
      </c>
      <c r="D10" s="712">
        <f ca="1">tertiair!C16</f>
        <v>0</v>
      </c>
      <c r="E10" s="712">
        <f ca="1">tertiair!D16</f>
        <v>48095.085772909995</v>
      </c>
      <c r="F10" s="712">
        <f>tertiair!E16</f>
        <v>367.22349335199135</v>
      </c>
      <c r="G10" s="712">
        <f ca="1">tertiair!F16</f>
        <v>2762.8549197332823</v>
      </c>
      <c r="H10" s="712">
        <f>tertiair!G16</f>
        <v>0</v>
      </c>
      <c r="I10" s="712">
        <f>tertiair!H16</f>
        <v>0</v>
      </c>
      <c r="J10" s="712">
        <f>tertiair!I16</f>
        <v>0</v>
      </c>
      <c r="K10" s="712">
        <f>tertiair!J16</f>
        <v>3.8931693952946947E-2</v>
      </c>
      <c r="L10" s="712">
        <f>tertiair!K16</f>
        <v>0</v>
      </c>
      <c r="M10" s="712">
        <f ca="1">tertiair!L16</f>
        <v>0</v>
      </c>
      <c r="N10" s="712">
        <f>tertiair!M16</f>
        <v>0</v>
      </c>
      <c r="O10" s="712">
        <f ca="1">tertiair!N16</f>
        <v>0</v>
      </c>
      <c r="P10" s="712">
        <f>tertiair!O16</f>
        <v>14.691782297523464</v>
      </c>
      <c r="Q10" s="713">
        <f>tertiair!P16</f>
        <v>105.07827661299004</v>
      </c>
      <c r="R10" s="715">
        <f ca="1">SUM(C10:Q10)</f>
        <v>77425.349975599733</v>
      </c>
      <c r="S10" s="67"/>
    </row>
    <row r="11" spans="1:19" s="474" customFormat="1">
      <c r="A11" s="834" t="s">
        <v>224</v>
      </c>
      <c r="B11" s="839"/>
      <c r="C11" s="712">
        <f>huishoudens!B8</f>
        <v>19623.298192483588</v>
      </c>
      <c r="D11" s="712">
        <f>huishoudens!C8</f>
        <v>0</v>
      </c>
      <c r="E11" s="712">
        <f>huishoudens!D8</f>
        <v>51174.570756760004</v>
      </c>
      <c r="F11" s="712">
        <f>huishoudens!E8</f>
        <v>19497.961573365024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22282.399512351047</v>
      </c>
      <c r="P11" s="712">
        <f>huishoudens!O8</f>
        <v>408.69539319372859</v>
      </c>
      <c r="Q11" s="713">
        <f>huishoudens!P8</f>
        <v>684.70735499952639</v>
      </c>
      <c r="R11" s="715">
        <f>SUM(C11:Q11)</f>
        <v>113671.63278315293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73877.864363999994</v>
      </c>
      <c r="D13" s="712">
        <f>industrie!C18</f>
        <v>0</v>
      </c>
      <c r="E13" s="712">
        <f>industrie!D18</f>
        <v>85137.355453766009</v>
      </c>
      <c r="F13" s="712">
        <f>industrie!E18</f>
        <v>2972.7697898972365</v>
      </c>
      <c r="G13" s="712">
        <f>industrie!F18</f>
        <v>11845.625344574546</v>
      </c>
      <c r="H13" s="712">
        <f>industrie!G18</f>
        <v>0</v>
      </c>
      <c r="I13" s="712">
        <f>industrie!H18</f>
        <v>0</v>
      </c>
      <c r="J13" s="712">
        <f>industrie!I18</f>
        <v>0</v>
      </c>
      <c r="K13" s="712">
        <f>industrie!J18</f>
        <v>402.33038068415641</v>
      </c>
      <c r="L13" s="712">
        <f>industrie!K18</f>
        <v>0</v>
      </c>
      <c r="M13" s="712">
        <f>industrie!L18</f>
        <v>0</v>
      </c>
      <c r="N13" s="712">
        <f>industrie!M18</f>
        <v>0</v>
      </c>
      <c r="O13" s="712">
        <f>industrie!N18</f>
        <v>3283.8059349667064</v>
      </c>
      <c r="P13" s="712">
        <f>industrie!O18</f>
        <v>0</v>
      </c>
      <c r="Q13" s="713">
        <f>industrie!P18</f>
        <v>0</v>
      </c>
      <c r="R13" s="715">
        <f>SUM(C13:Q13)</f>
        <v>177519.75126788861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119581.53935548358</v>
      </c>
      <c r="D16" s="748">
        <f t="shared" ref="D16:R16" ca="1" si="0">SUM(D9:D15)</f>
        <v>0</v>
      </c>
      <c r="E16" s="748">
        <f t="shared" ca="1" si="0"/>
        <v>184407.01198343601</v>
      </c>
      <c r="F16" s="748">
        <f t="shared" si="0"/>
        <v>22837.954856614251</v>
      </c>
      <c r="G16" s="748">
        <f t="shared" ca="1" si="0"/>
        <v>14608.480264307829</v>
      </c>
      <c r="H16" s="748">
        <f t="shared" si="0"/>
        <v>0</v>
      </c>
      <c r="I16" s="748">
        <f t="shared" si="0"/>
        <v>0</v>
      </c>
      <c r="J16" s="748">
        <f t="shared" si="0"/>
        <v>0</v>
      </c>
      <c r="K16" s="748">
        <f t="shared" si="0"/>
        <v>402.36931237810938</v>
      </c>
      <c r="L16" s="748">
        <f t="shared" si="0"/>
        <v>0</v>
      </c>
      <c r="M16" s="748">
        <f t="shared" ca="1" si="0"/>
        <v>0</v>
      </c>
      <c r="N16" s="748">
        <f t="shared" si="0"/>
        <v>0</v>
      </c>
      <c r="O16" s="748">
        <f t="shared" ca="1" si="0"/>
        <v>25566.205447317752</v>
      </c>
      <c r="P16" s="748">
        <f t="shared" si="0"/>
        <v>423.38717549125204</v>
      </c>
      <c r="Q16" s="748">
        <f t="shared" si="0"/>
        <v>789.78563161251645</v>
      </c>
      <c r="R16" s="748">
        <f t="shared" ca="1" si="0"/>
        <v>368616.73402664124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595.73684565795099</v>
      </c>
      <c r="I19" s="712">
        <f>transport!H54</f>
        <v>0</v>
      </c>
      <c r="J19" s="712">
        <f>transport!I54</f>
        <v>0</v>
      </c>
      <c r="K19" s="712">
        <f>transport!J54</f>
        <v>0</v>
      </c>
      <c r="L19" s="712">
        <f>transport!K54</f>
        <v>0</v>
      </c>
      <c r="M19" s="712">
        <f>transport!L54</f>
        <v>0</v>
      </c>
      <c r="N19" s="712">
        <f>transport!M54</f>
        <v>33.111119796329866</v>
      </c>
      <c r="O19" s="712">
        <f>transport!N54</f>
        <v>0</v>
      </c>
      <c r="P19" s="712">
        <f>transport!O54</f>
        <v>0</v>
      </c>
      <c r="Q19" s="713">
        <f>transport!P54</f>
        <v>0</v>
      </c>
      <c r="R19" s="715">
        <f>SUM(C19:Q19)</f>
        <v>628.84796545428082</v>
      </c>
      <c r="S19" s="67"/>
    </row>
    <row r="20" spans="1:19" s="474" customFormat="1">
      <c r="A20" s="834" t="s">
        <v>306</v>
      </c>
      <c r="B20" s="839"/>
      <c r="C20" s="712">
        <f>transport!B14</f>
        <v>83.939724143055543</v>
      </c>
      <c r="D20" s="712">
        <f>transport!C14</f>
        <v>0</v>
      </c>
      <c r="E20" s="712">
        <f>transport!D14</f>
        <v>309.0246017020711</v>
      </c>
      <c r="F20" s="712">
        <f>transport!E14</f>
        <v>268.55124289744447</v>
      </c>
      <c r="G20" s="712">
        <f>transport!F14</f>
        <v>0</v>
      </c>
      <c r="H20" s="712">
        <f>transport!G14</f>
        <v>112221.12464464833</v>
      </c>
      <c r="I20" s="712">
        <f>transport!H14</f>
        <v>23584.597110796949</v>
      </c>
      <c r="J20" s="712">
        <f>transport!I14</f>
        <v>0</v>
      </c>
      <c r="K20" s="712">
        <f>transport!J14</f>
        <v>0</v>
      </c>
      <c r="L20" s="712">
        <f>transport!K14</f>
        <v>0</v>
      </c>
      <c r="M20" s="712">
        <f>transport!L14</f>
        <v>0</v>
      </c>
      <c r="N20" s="712">
        <f>transport!M14</f>
        <v>8020.6792012140213</v>
      </c>
      <c r="O20" s="712">
        <f>transport!N14</f>
        <v>0</v>
      </c>
      <c r="P20" s="712">
        <f>transport!O14</f>
        <v>0</v>
      </c>
      <c r="Q20" s="713">
        <f>transport!P14</f>
        <v>0</v>
      </c>
      <c r="R20" s="715">
        <f>SUM(C20:Q20)</f>
        <v>144487.91652540187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83.939724143055543</v>
      </c>
      <c r="D22" s="837">
        <f t="shared" ref="D22:R22" si="1">SUM(D18:D21)</f>
        <v>0</v>
      </c>
      <c r="E22" s="837">
        <f t="shared" si="1"/>
        <v>309.0246017020711</v>
      </c>
      <c r="F22" s="837">
        <f t="shared" si="1"/>
        <v>268.55124289744447</v>
      </c>
      <c r="G22" s="837">
        <f t="shared" si="1"/>
        <v>0</v>
      </c>
      <c r="H22" s="837">
        <f t="shared" si="1"/>
        <v>112816.86149030628</v>
      </c>
      <c r="I22" s="837">
        <f t="shared" si="1"/>
        <v>23584.597110796949</v>
      </c>
      <c r="J22" s="837">
        <f t="shared" si="1"/>
        <v>0</v>
      </c>
      <c r="K22" s="837">
        <f t="shared" si="1"/>
        <v>0</v>
      </c>
      <c r="L22" s="837">
        <f t="shared" si="1"/>
        <v>0</v>
      </c>
      <c r="M22" s="837">
        <f t="shared" si="1"/>
        <v>0</v>
      </c>
      <c r="N22" s="837">
        <f t="shared" si="1"/>
        <v>8053.7903210103514</v>
      </c>
      <c r="O22" s="837">
        <f t="shared" si="1"/>
        <v>0</v>
      </c>
      <c r="P22" s="837">
        <f t="shared" si="1"/>
        <v>0</v>
      </c>
      <c r="Q22" s="837">
        <f t="shared" si="1"/>
        <v>0</v>
      </c>
      <c r="R22" s="837">
        <f t="shared" si="1"/>
        <v>145116.76449085615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453.23745999999994</v>
      </c>
      <c r="D24" s="712">
        <f>+landbouw!C8</f>
        <v>9000</v>
      </c>
      <c r="E24" s="712">
        <f>+landbouw!D8</f>
        <v>4408.8321742999979</v>
      </c>
      <c r="F24" s="712">
        <f>+landbouw!E8</f>
        <v>14.145391667324166</v>
      </c>
      <c r="G24" s="712">
        <f>+landbouw!F8</f>
        <v>1601.7913919314001</v>
      </c>
      <c r="H24" s="712">
        <f>+landbouw!G8</f>
        <v>0</v>
      </c>
      <c r="I24" s="712">
        <f>+landbouw!H8</f>
        <v>0</v>
      </c>
      <c r="J24" s="712">
        <f>+landbouw!I8</f>
        <v>0</v>
      </c>
      <c r="K24" s="712">
        <f>+landbouw!J8</f>
        <v>124.87006340423852</v>
      </c>
      <c r="L24" s="712">
        <f>+landbouw!K8</f>
        <v>0</v>
      </c>
      <c r="M24" s="712">
        <f>+landbouw!L8</f>
        <v>0</v>
      </c>
      <c r="N24" s="712">
        <f>+landbouw!M8</f>
        <v>0</v>
      </c>
      <c r="O24" s="712">
        <f>+landbouw!N8</f>
        <v>0</v>
      </c>
      <c r="P24" s="712">
        <f>+landbouw!O8</f>
        <v>0</v>
      </c>
      <c r="Q24" s="713">
        <f>+landbouw!P8</f>
        <v>0</v>
      </c>
      <c r="R24" s="715">
        <f>SUM(C24:Q24)</f>
        <v>15602.876481302959</v>
      </c>
      <c r="S24" s="67"/>
    </row>
    <row r="25" spans="1:19" s="474" customFormat="1" ht="15" thickBot="1">
      <c r="A25" s="856" t="s">
        <v>734</v>
      </c>
      <c r="B25" s="982"/>
      <c r="C25" s="983">
        <f>IF(Onbekend_ele_kWh="---",0,Onbekend_ele_kWh)/1000+IF(REST_rest_ele_kWh="---",0,REST_rest_ele_kWh)/1000</f>
        <v>447.99393800000001</v>
      </c>
      <c r="D25" s="983"/>
      <c r="E25" s="983">
        <f>IF(onbekend_gas_kWh="---",0,onbekend_gas_kWh)/1000+IF(REST_rest_gas_kWh="---",0,REST_rest_gas_kWh)/1000</f>
        <v>1160.8234930000001</v>
      </c>
      <c r="F25" s="983"/>
      <c r="G25" s="983"/>
      <c r="H25" s="983"/>
      <c r="I25" s="983"/>
      <c r="J25" s="983"/>
      <c r="K25" s="983"/>
      <c r="L25" s="983"/>
      <c r="M25" s="983"/>
      <c r="N25" s="983"/>
      <c r="O25" s="983"/>
      <c r="P25" s="983"/>
      <c r="Q25" s="984"/>
      <c r="R25" s="715">
        <f>SUM(C25:Q25)</f>
        <v>1608.8174310000002</v>
      </c>
      <c r="S25" s="67"/>
    </row>
    <row r="26" spans="1:19" s="474" customFormat="1" ht="15.75" thickBot="1">
      <c r="A26" s="720" t="s">
        <v>735</v>
      </c>
      <c r="B26" s="842"/>
      <c r="C26" s="837">
        <f>SUM(C24:C25)</f>
        <v>901.2313979999999</v>
      </c>
      <c r="D26" s="837">
        <f t="shared" ref="D26:R26" si="2">SUM(D24:D25)</f>
        <v>9000</v>
      </c>
      <c r="E26" s="837">
        <f t="shared" si="2"/>
        <v>5569.6556672999977</v>
      </c>
      <c r="F26" s="837">
        <f t="shared" si="2"/>
        <v>14.145391667324166</v>
      </c>
      <c r="G26" s="837">
        <f t="shared" si="2"/>
        <v>1601.7913919314001</v>
      </c>
      <c r="H26" s="837">
        <f t="shared" si="2"/>
        <v>0</v>
      </c>
      <c r="I26" s="837">
        <f t="shared" si="2"/>
        <v>0</v>
      </c>
      <c r="J26" s="837">
        <f t="shared" si="2"/>
        <v>0</v>
      </c>
      <c r="K26" s="837">
        <f t="shared" si="2"/>
        <v>124.87006340423852</v>
      </c>
      <c r="L26" s="837">
        <f t="shared" si="2"/>
        <v>0</v>
      </c>
      <c r="M26" s="837">
        <f t="shared" si="2"/>
        <v>0</v>
      </c>
      <c r="N26" s="837">
        <f t="shared" si="2"/>
        <v>0</v>
      </c>
      <c r="O26" s="837">
        <f t="shared" si="2"/>
        <v>0</v>
      </c>
      <c r="P26" s="837">
        <f t="shared" si="2"/>
        <v>0</v>
      </c>
      <c r="Q26" s="837">
        <f t="shared" si="2"/>
        <v>0</v>
      </c>
      <c r="R26" s="837">
        <f t="shared" si="2"/>
        <v>17211.693912302959</v>
      </c>
      <c r="S26" s="67"/>
    </row>
    <row r="27" spans="1:19" s="474" customFormat="1" ht="17.25" thickTop="1" thickBot="1">
      <c r="A27" s="721" t="s">
        <v>115</v>
      </c>
      <c r="B27" s="829"/>
      <c r="C27" s="722">
        <f ca="1">C22+C16+C26</f>
        <v>120566.71047762664</v>
      </c>
      <c r="D27" s="722">
        <f t="shared" ref="D27:R27" ca="1" si="3">D22+D16+D26</f>
        <v>9000</v>
      </c>
      <c r="E27" s="722">
        <f t="shared" ca="1" si="3"/>
        <v>190285.69225243808</v>
      </c>
      <c r="F27" s="722">
        <f t="shared" si="3"/>
        <v>23120.651491179018</v>
      </c>
      <c r="G27" s="722">
        <f t="shared" ca="1" si="3"/>
        <v>16210.271656239229</v>
      </c>
      <c r="H27" s="722">
        <f t="shared" si="3"/>
        <v>112816.86149030628</v>
      </c>
      <c r="I27" s="722">
        <f t="shared" si="3"/>
        <v>23584.597110796949</v>
      </c>
      <c r="J27" s="722">
        <f t="shared" si="3"/>
        <v>0</v>
      </c>
      <c r="K27" s="722">
        <f t="shared" si="3"/>
        <v>527.23937578234791</v>
      </c>
      <c r="L27" s="722">
        <f t="shared" si="3"/>
        <v>0</v>
      </c>
      <c r="M27" s="722">
        <f t="shared" ca="1" si="3"/>
        <v>0</v>
      </c>
      <c r="N27" s="722">
        <f t="shared" si="3"/>
        <v>8053.7903210103514</v>
      </c>
      <c r="O27" s="722">
        <f t="shared" ca="1" si="3"/>
        <v>25566.205447317752</v>
      </c>
      <c r="P27" s="722">
        <f t="shared" si="3"/>
        <v>423.38717549125204</v>
      </c>
      <c r="Q27" s="722">
        <f t="shared" si="3"/>
        <v>789.78563161251645</v>
      </c>
      <c r="R27" s="722">
        <f t="shared" ca="1" si="3"/>
        <v>530945.19242980029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3095.6157381624535</v>
      </c>
      <c r="D40" s="712">
        <f ca="1">tertiair!C20</f>
        <v>0</v>
      </c>
      <c r="E40" s="712">
        <f ca="1">tertiair!D20</f>
        <v>9715.2073261278201</v>
      </c>
      <c r="F40" s="712">
        <f>tertiair!E20</f>
        <v>83.359732990902046</v>
      </c>
      <c r="G40" s="712">
        <f ca="1">tertiair!F20</f>
        <v>737.68226356878642</v>
      </c>
      <c r="H40" s="712">
        <f>tertiair!G20</f>
        <v>0</v>
      </c>
      <c r="I40" s="712">
        <f>tertiair!H20</f>
        <v>0</v>
      </c>
      <c r="J40" s="712">
        <f>tertiair!I20</f>
        <v>0</v>
      </c>
      <c r="K40" s="712">
        <f>tertiair!J20</f>
        <v>1.3781819659343218E-2</v>
      </c>
      <c r="L40" s="712">
        <f>tertiair!K20</f>
        <v>0</v>
      </c>
      <c r="M40" s="712">
        <f ca="1">tertiair!L20</f>
        <v>0</v>
      </c>
      <c r="N40" s="712">
        <f>tertiair!M20</f>
        <v>0</v>
      </c>
      <c r="O40" s="712">
        <f ca="1">tertiair!N20</f>
        <v>0</v>
      </c>
      <c r="P40" s="712">
        <f>tertiair!O20</f>
        <v>0</v>
      </c>
      <c r="Q40" s="795">
        <f>tertiair!P20</f>
        <v>0</v>
      </c>
      <c r="R40" s="875">
        <f t="shared" ca="1" si="4"/>
        <v>13631.878842669623</v>
      </c>
    </row>
    <row r="41" spans="1:18">
      <c r="A41" s="847" t="s">
        <v>224</v>
      </c>
      <c r="B41" s="854"/>
      <c r="C41" s="712">
        <f ca="1">huishoudens!B12</f>
        <v>2329.1914525420589</v>
      </c>
      <c r="D41" s="712">
        <f ca="1">huishoudens!C12</f>
        <v>0</v>
      </c>
      <c r="E41" s="712">
        <f>huishoudens!D12</f>
        <v>10337.263292865522</v>
      </c>
      <c r="F41" s="712">
        <f>huishoudens!E12</f>
        <v>4426.0372771538605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17092.492022561441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8768.9484469334202</v>
      </c>
      <c r="D43" s="712">
        <f ca="1">industrie!C22</f>
        <v>0</v>
      </c>
      <c r="E43" s="712">
        <f>industrie!D22</f>
        <v>17197.745801660734</v>
      </c>
      <c r="F43" s="712">
        <f>industrie!E22</f>
        <v>674.81874230667268</v>
      </c>
      <c r="G43" s="712">
        <f>industrie!F22</f>
        <v>3162.7819670014042</v>
      </c>
      <c r="H43" s="712">
        <f>industrie!G22</f>
        <v>0</v>
      </c>
      <c r="I43" s="712">
        <f>industrie!H22</f>
        <v>0</v>
      </c>
      <c r="J43" s="712">
        <f>industrie!I22</f>
        <v>0</v>
      </c>
      <c r="K43" s="712">
        <f>industrie!J22</f>
        <v>142.42495476219136</v>
      </c>
      <c r="L43" s="712">
        <f>industrie!K22</f>
        <v>0</v>
      </c>
      <c r="M43" s="712">
        <f>industrie!L22</f>
        <v>0</v>
      </c>
      <c r="N43" s="712">
        <f>industrie!M22</f>
        <v>0</v>
      </c>
      <c r="O43" s="712">
        <f>industrie!N22</f>
        <v>0</v>
      </c>
      <c r="P43" s="712">
        <f>industrie!O22</f>
        <v>0</v>
      </c>
      <c r="Q43" s="795">
        <f>industrie!P22</f>
        <v>0</v>
      </c>
      <c r="R43" s="874">
        <f t="shared" ca="1" si="4"/>
        <v>29946.719912664423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14193.755637637933</v>
      </c>
      <c r="D46" s="748">
        <f t="shared" ref="D46:Q46" ca="1" si="5">SUM(D39:D45)</f>
        <v>0</v>
      </c>
      <c r="E46" s="748">
        <f t="shared" ca="1" si="5"/>
        <v>37250.216420654077</v>
      </c>
      <c r="F46" s="748">
        <f t="shared" si="5"/>
        <v>5184.215752451435</v>
      </c>
      <c r="G46" s="748">
        <f t="shared" ca="1" si="5"/>
        <v>3900.4642305701905</v>
      </c>
      <c r="H46" s="748">
        <f t="shared" si="5"/>
        <v>0</v>
      </c>
      <c r="I46" s="748">
        <f t="shared" si="5"/>
        <v>0</v>
      </c>
      <c r="J46" s="748">
        <f t="shared" si="5"/>
        <v>0</v>
      </c>
      <c r="K46" s="748">
        <f t="shared" si="5"/>
        <v>142.43873658185072</v>
      </c>
      <c r="L46" s="748">
        <f t="shared" si="5"/>
        <v>0</v>
      </c>
      <c r="M46" s="748">
        <f t="shared" ca="1" si="5"/>
        <v>0</v>
      </c>
      <c r="N46" s="748">
        <f t="shared" si="5"/>
        <v>0</v>
      </c>
      <c r="O46" s="748">
        <f t="shared" ca="1" si="5"/>
        <v>0</v>
      </c>
      <c r="P46" s="748">
        <f t="shared" si="5"/>
        <v>0</v>
      </c>
      <c r="Q46" s="748">
        <f t="shared" si="5"/>
        <v>0</v>
      </c>
      <c r="R46" s="748">
        <f ca="1">SUM(R39:R45)</f>
        <v>60671.090777895486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159.06173779067294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159.06173779067294</v>
      </c>
    </row>
    <row r="50" spans="1:18">
      <c r="A50" s="850" t="s">
        <v>306</v>
      </c>
      <c r="B50" s="860"/>
      <c r="C50" s="718">
        <f ca="1">transport!B18</f>
        <v>9.96324298214207</v>
      </c>
      <c r="D50" s="718">
        <f>transport!C18</f>
        <v>0</v>
      </c>
      <c r="E50" s="718">
        <f>transport!D18</f>
        <v>62.422969543818368</v>
      </c>
      <c r="F50" s="718">
        <f>transport!E18</f>
        <v>60.961132137719893</v>
      </c>
      <c r="G50" s="718">
        <f>transport!F18</f>
        <v>0</v>
      </c>
      <c r="H50" s="718">
        <f>transport!G18</f>
        <v>29963.040280121106</v>
      </c>
      <c r="I50" s="718">
        <f>transport!H18</f>
        <v>5872.5646805884398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35968.952305373226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9.96324298214207</v>
      </c>
      <c r="D52" s="748">
        <f t="shared" ref="D52:Q52" ca="1" si="6">SUM(D48:D51)</f>
        <v>0</v>
      </c>
      <c r="E52" s="748">
        <f t="shared" si="6"/>
        <v>62.422969543818368</v>
      </c>
      <c r="F52" s="748">
        <f t="shared" si="6"/>
        <v>60.961132137719893</v>
      </c>
      <c r="G52" s="748">
        <f t="shared" si="6"/>
        <v>0</v>
      </c>
      <c r="H52" s="748">
        <f t="shared" si="6"/>
        <v>30122.10201791178</v>
      </c>
      <c r="I52" s="748">
        <f t="shared" si="6"/>
        <v>5872.5646805884398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36128.014043163901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53.797114401912033</v>
      </c>
      <c r="D54" s="718">
        <f ca="1">+landbouw!C12</f>
        <v>2138.8235294117649</v>
      </c>
      <c r="E54" s="718">
        <f>+landbouw!D12</f>
        <v>890.58409920859958</v>
      </c>
      <c r="F54" s="718">
        <f>+landbouw!E12</f>
        <v>3.2110039084825859</v>
      </c>
      <c r="G54" s="718">
        <f>+landbouw!F12</f>
        <v>427.67830164568386</v>
      </c>
      <c r="H54" s="718">
        <f>+landbouw!G12</f>
        <v>0</v>
      </c>
      <c r="I54" s="718">
        <f>+landbouw!H12</f>
        <v>0</v>
      </c>
      <c r="J54" s="718">
        <f>+landbouw!I12</f>
        <v>0</v>
      </c>
      <c r="K54" s="718">
        <f>+landbouw!J12</f>
        <v>44.204002445100436</v>
      </c>
      <c r="L54" s="718">
        <f>+landbouw!K12</f>
        <v>0</v>
      </c>
      <c r="M54" s="718">
        <f>+landbouw!L12</f>
        <v>0</v>
      </c>
      <c r="N54" s="718">
        <f>+landbouw!M12</f>
        <v>0</v>
      </c>
      <c r="O54" s="718">
        <f>+landbouw!N12</f>
        <v>0</v>
      </c>
      <c r="P54" s="718">
        <f>+landbouw!O12</f>
        <v>0</v>
      </c>
      <c r="Q54" s="719">
        <f>+landbouw!P12</f>
        <v>0</v>
      </c>
      <c r="R54" s="747">
        <f ca="1">SUM(C54:Q54)</f>
        <v>3558.2980510215434</v>
      </c>
    </row>
    <row r="55" spans="1:18" ht="15" thickBot="1">
      <c r="A55" s="850" t="s">
        <v>734</v>
      </c>
      <c r="B55" s="860"/>
      <c r="C55" s="718">
        <f ca="1">C25*'EF ele_warmte'!B12</f>
        <v>53.174733469623391</v>
      </c>
      <c r="D55" s="718"/>
      <c r="E55" s="718">
        <f>E25*EF_CO2_aardgas</f>
        <v>234.48634558600003</v>
      </c>
      <c r="F55" s="718"/>
      <c r="G55" s="718"/>
      <c r="H55" s="718"/>
      <c r="I55" s="718"/>
      <c r="J55" s="718"/>
      <c r="K55" s="718"/>
      <c r="L55" s="718"/>
      <c r="M55" s="718"/>
      <c r="N55" s="718"/>
      <c r="O55" s="718"/>
      <c r="P55" s="718"/>
      <c r="Q55" s="719"/>
      <c r="R55" s="747">
        <f ca="1">SUM(C55:Q55)</f>
        <v>287.66107905562342</v>
      </c>
    </row>
    <row r="56" spans="1:18" ht="15.75" thickBot="1">
      <c r="A56" s="848" t="s">
        <v>735</v>
      </c>
      <c r="B56" s="861"/>
      <c r="C56" s="748">
        <f ca="1">SUM(C54:C55)</f>
        <v>106.97184787153543</v>
      </c>
      <c r="D56" s="748">
        <f t="shared" ref="D56:Q56" ca="1" si="7">SUM(D54:D55)</f>
        <v>2138.8235294117649</v>
      </c>
      <c r="E56" s="748">
        <f t="shared" si="7"/>
        <v>1125.0704447945996</v>
      </c>
      <c r="F56" s="748">
        <f t="shared" si="7"/>
        <v>3.2110039084825859</v>
      </c>
      <c r="G56" s="748">
        <f t="shared" si="7"/>
        <v>427.67830164568386</v>
      </c>
      <c r="H56" s="748">
        <f t="shared" si="7"/>
        <v>0</v>
      </c>
      <c r="I56" s="748">
        <f t="shared" si="7"/>
        <v>0</v>
      </c>
      <c r="J56" s="748">
        <f t="shared" si="7"/>
        <v>0</v>
      </c>
      <c r="K56" s="748">
        <f t="shared" si="7"/>
        <v>44.204002445100436</v>
      </c>
      <c r="L56" s="748">
        <f t="shared" si="7"/>
        <v>0</v>
      </c>
      <c r="M56" s="748">
        <f t="shared" si="7"/>
        <v>0</v>
      </c>
      <c r="N56" s="748">
        <f t="shared" si="7"/>
        <v>0</v>
      </c>
      <c r="O56" s="748">
        <f t="shared" si="7"/>
        <v>0</v>
      </c>
      <c r="P56" s="748">
        <f t="shared" si="7"/>
        <v>0</v>
      </c>
      <c r="Q56" s="749">
        <f t="shared" si="7"/>
        <v>0</v>
      </c>
      <c r="R56" s="750">
        <f ca="1">SUM(R54:R55)</f>
        <v>3845.9591300771667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14310.690728491609</v>
      </c>
      <c r="D61" s="756">
        <f t="shared" ref="D61:Q61" ca="1" si="8">D46+D52+D56</f>
        <v>2138.8235294117649</v>
      </c>
      <c r="E61" s="756">
        <f t="shared" ca="1" si="8"/>
        <v>38437.709834992493</v>
      </c>
      <c r="F61" s="756">
        <f t="shared" si="8"/>
        <v>5248.3878884976375</v>
      </c>
      <c r="G61" s="756">
        <f t="shared" ca="1" si="8"/>
        <v>4328.1425322158739</v>
      </c>
      <c r="H61" s="756">
        <f t="shared" si="8"/>
        <v>30122.10201791178</v>
      </c>
      <c r="I61" s="756">
        <f t="shared" si="8"/>
        <v>5872.5646805884398</v>
      </c>
      <c r="J61" s="756">
        <f t="shared" si="8"/>
        <v>0</v>
      </c>
      <c r="K61" s="756">
        <f t="shared" si="8"/>
        <v>186.64273902695115</v>
      </c>
      <c r="L61" s="756">
        <f t="shared" si="8"/>
        <v>0</v>
      </c>
      <c r="M61" s="756">
        <f t="shared" ca="1" si="8"/>
        <v>0</v>
      </c>
      <c r="N61" s="756">
        <f t="shared" si="8"/>
        <v>0</v>
      </c>
      <c r="O61" s="756">
        <f t="shared" ca="1" si="8"/>
        <v>0</v>
      </c>
      <c r="P61" s="756">
        <f t="shared" si="8"/>
        <v>0</v>
      </c>
      <c r="Q61" s="756">
        <f t="shared" si="8"/>
        <v>0</v>
      </c>
      <c r="R61" s="756">
        <f ca="1">R46+R52+R56</f>
        <v>100645.06395113656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0.11869520758922274</v>
      </c>
      <c r="D63" s="802">
        <f t="shared" ca="1" si="9"/>
        <v>0.23764705882352943</v>
      </c>
      <c r="E63" s="1008">
        <f t="shared" ca="1" si="9"/>
        <v>0.20200000000000001</v>
      </c>
      <c r="F63" s="802">
        <f t="shared" si="9"/>
        <v>0.22700000000000001</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44748.653027231259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1719.7821235023039</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8783.5728024434102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6300</v>
      </c>
      <c r="D76" s="991">
        <f>'lokale energieproductie'!C8</f>
        <v>7411.7647058823522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1497.1764705882354</v>
      </c>
      <c r="R76" s="877">
        <v>0</v>
      </c>
    </row>
    <row r="77" spans="1:18" ht="15.75" thickBot="1">
      <c r="A77" s="772" t="s">
        <v>801</v>
      </c>
      <c r="B77" s="769">
        <f>'lokale energieproductie'!B9*IFERROR(SUM(I77:O77)/SUM(D77:O77),0)</f>
        <v>1035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2957.1428571428573</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56287.007953176973</v>
      </c>
      <c r="C78" s="774">
        <f>SUM(C72:C77)</f>
        <v>6300</v>
      </c>
      <c r="D78" s="775">
        <f t="shared" ref="D78:H78" si="10">SUM(D76:D77)</f>
        <v>7411.7647058823522</v>
      </c>
      <c r="E78" s="775">
        <f t="shared" si="10"/>
        <v>0</v>
      </c>
      <c r="F78" s="775">
        <f t="shared" si="10"/>
        <v>0</v>
      </c>
      <c r="G78" s="775">
        <f t="shared" si="10"/>
        <v>0</v>
      </c>
      <c r="H78" s="775">
        <f t="shared" si="10"/>
        <v>0</v>
      </c>
      <c r="I78" s="775">
        <f>SUM(I76:I77)</f>
        <v>0</v>
      </c>
      <c r="J78" s="775">
        <f>SUM(J76:J77)</f>
        <v>2957.1428571428573</v>
      </c>
      <c r="K78" s="775">
        <f t="shared" ref="K78:L78" si="11">SUM(K76:K77)</f>
        <v>0</v>
      </c>
      <c r="L78" s="775">
        <f t="shared" si="11"/>
        <v>0</v>
      </c>
      <c r="M78" s="775">
        <f>SUM(M76:M77)</f>
        <v>0</v>
      </c>
      <c r="N78" s="775">
        <f>SUM(N76:N77)</f>
        <v>0</v>
      </c>
      <c r="O78" s="885">
        <f>SUM(O76:O77)</f>
        <v>0</v>
      </c>
      <c r="P78" s="776">
        <v>0</v>
      </c>
      <c r="Q78" s="776">
        <f>SUM(Q76:Q77)</f>
        <v>1497.1764705882354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9000</v>
      </c>
      <c r="D87" s="798">
        <f>'lokale energieproductie'!C17</f>
        <v>10588.235294117647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2138.8235294117649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9000</v>
      </c>
      <c r="D90" s="774">
        <f t="shared" ref="D90:H90" si="12">SUM(D87:D89)</f>
        <v>10588.235294117647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2138.8235294117649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44748.653027231259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1719.7821235023039</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8783.5728024434102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6300</v>
      </c>
      <c r="C8" s="574">
        <f>B101</f>
        <v>7411.7647058823522</v>
      </c>
      <c r="D8" s="575"/>
      <c r="E8" s="575">
        <f>E101</f>
        <v>0</v>
      </c>
      <c r="F8" s="576"/>
      <c r="G8" s="577"/>
      <c r="H8" s="575">
        <f>I101</f>
        <v>0</v>
      </c>
      <c r="I8" s="575">
        <f>G101+F101</f>
        <v>0</v>
      </c>
      <c r="J8" s="575">
        <f>H101+D101+C101</f>
        <v>0</v>
      </c>
      <c r="K8" s="575"/>
      <c r="L8" s="575"/>
      <c r="M8" s="575"/>
      <c r="N8" s="578"/>
      <c r="O8" s="579">
        <f>C8*$C$12+D8*$D$12+E8*$E$12+F8*$F$12+G8*$G$12+H8*$H$12+I8*$I$12+J8*$J$12</f>
        <v>1497.1764705882354</v>
      </c>
      <c r="P8" s="1291"/>
      <c r="Q8" s="1292"/>
      <c r="S8" s="569"/>
      <c r="T8" s="1288"/>
      <c r="U8" s="1288"/>
    </row>
    <row r="9" spans="1:21" s="560" customFormat="1" ht="17.45" customHeight="1" thickBot="1">
      <c r="A9" s="580" t="s">
        <v>247</v>
      </c>
      <c r="B9" s="581">
        <f>N89+'Eigen informatie GS &amp; warmtenet'!B12</f>
        <v>1035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62587.007953176973</v>
      </c>
      <c r="C10" s="589">
        <f t="shared" ref="C10:L10" si="0">SUM(C8:C9)</f>
        <v>7411.7647058823522</v>
      </c>
      <c r="D10" s="589">
        <f t="shared" si="0"/>
        <v>0</v>
      </c>
      <c r="E10" s="589">
        <f t="shared" si="0"/>
        <v>0</v>
      </c>
      <c r="F10" s="589">
        <f t="shared" si="0"/>
        <v>0</v>
      </c>
      <c r="G10" s="589">
        <f t="shared" si="0"/>
        <v>0</v>
      </c>
      <c r="H10" s="589">
        <f t="shared" si="0"/>
        <v>0</v>
      </c>
      <c r="I10" s="589">
        <f t="shared" si="0"/>
        <v>0</v>
      </c>
      <c r="J10" s="589">
        <f t="shared" si="0"/>
        <v>2957.1428571428573</v>
      </c>
      <c r="K10" s="589">
        <f t="shared" si="0"/>
        <v>0</v>
      </c>
      <c r="L10" s="589">
        <f t="shared" si="0"/>
        <v>0</v>
      </c>
      <c r="M10" s="1004"/>
      <c r="N10" s="1004"/>
      <c r="O10" s="590">
        <f>SUM(O4:O9)</f>
        <v>1497.1764705882354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9000</v>
      </c>
      <c r="C17" s="605">
        <f>B102</f>
        <v>10588.235294117647</v>
      </c>
      <c r="D17" s="606"/>
      <c r="E17" s="606">
        <f>E102</f>
        <v>0</v>
      </c>
      <c r="F17" s="607"/>
      <c r="G17" s="608"/>
      <c r="H17" s="605">
        <f>I102</f>
        <v>0</v>
      </c>
      <c r="I17" s="606">
        <f>G102+F102</f>
        <v>0</v>
      </c>
      <c r="J17" s="606">
        <f>H102+D102+C102</f>
        <v>0</v>
      </c>
      <c r="K17" s="606"/>
      <c r="L17" s="606"/>
      <c r="M17" s="606"/>
      <c r="N17" s="1005"/>
      <c r="O17" s="609">
        <f>C17*$C$22+E17*$E$22+H17*$H$22+I17*$I$22+J17*$J$22+D17*$D$22+F17*$F$22+G17*$G$22+K17*$K$22+L17*$L$22</f>
        <v>2138.8235294117649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9000</v>
      </c>
      <c r="C20" s="588">
        <f>SUM(C17:C19)</f>
        <v>10588.235294117647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2138.8235294117649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13029</v>
      </c>
      <c r="C28" s="817">
        <v>2250</v>
      </c>
      <c r="D28" s="666" t="s">
        <v>886</v>
      </c>
      <c r="E28" s="665" t="s">
        <v>887</v>
      </c>
      <c r="F28" s="665" t="s">
        <v>888</v>
      </c>
      <c r="G28" s="665" t="s">
        <v>889</v>
      </c>
      <c r="H28" s="665" t="s">
        <v>890</v>
      </c>
      <c r="I28" s="665" t="s">
        <v>887</v>
      </c>
      <c r="J28" s="816">
        <v>39462</v>
      </c>
      <c r="K28" s="816">
        <v>39462</v>
      </c>
      <c r="L28" s="665" t="s">
        <v>891</v>
      </c>
      <c r="M28" s="665">
        <v>1400</v>
      </c>
      <c r="N28" s="665">
        <v>6300</v>
      </c>
      <c r="O28" s="665">
        <v>9000</v>
      </c>
      <c r="P28" s="665">
        <v>18000</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1400</v>
      </c>
      <c r="N58" s="623">
        <f>SUM(N28:N57)</f>
        <v>6300</v>
      </c>
      <c r="O58" s="623">
        <f t="shared" ref="O58:W58" si="2">SUM(O28:O57)</f>
        <v>9000</v>
      </c>
      <c r="P58" s="623">
        <f t="shared" si="2"/>
        <v>18000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1400</v>
      </c>
      <c r="N61" s="628">
        <f t="shared" si="4"/>
        <v>6300</v>
      </c>
      <c r="O61" s="628">
        <f t="shared" si="4"/>
        <v>9000</v>
      </c>
      <c r="P61" s="628">
        <f t="shared" si="4"/>
        <v>18000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13029</v>
      </c>
      <c r="C64" s="817">
        <v>2250</v>
      </c>
      <c r="D64" s="668" t="s">
        <v>892</v>
      </c>
      <c r="E64" s="668" t="s">
        <v>893</v>
      </c>
      <c r="F64" s="668" t="s">
        <v>894</v>
      </c>
      <c r="G64" s="668" t="s">
        <v>895</v>
      </c>
      <c r="H64" s="668" t="s">
        <v>896</v>
      </c>
      <c r="I64" s="668" t="s">
        <v>897</v>
      </c>
      <c r="J64" s="816">
        <v>37067</v>
      </c>
      <c r="K64" s="816">
        <v>37653</v>
      </c>
      <c r="L64" s="668" t="s">
        <v>892</v>
      </c>
      <c r="M64" s="668">
        <v>230</v>
      </c>
      <c r="N64" s="668">
        <v>1035</v>
      </c>
      <c r="O64" s="668">
        <v>0</v>
      </c>
      <c r="P64" s="668">
        <v>0</v>
      </c>
      <c r="Q64" s="668">
        <v>0</v>
      </c>
      <c r="R64" s="668">
        <v>2957.1428571428573</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230</v>
      </c>
      <c r="N89" s="623">
        <f t="shared" ref="N89:W89" si="5">SUM(N64:N88)</f>
        <v>1035</v>
      </c>
      <c r="O89" s="623">
        <f t="shared" si="5"/>
        <v>0</v>
      </c>
      <c r="P89" s="623">
        <f t="shared" si="5"/>
        <v>0</v>
      </c>
      <c r="Q89" s="623">
        <f t="shared" si="5"/>
        <v>0</v>
      </c>
      <c r="R89" s="623">
        <f t="shared" si="5"/>
        <v>2957.1428571428573</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230</v>
      </c>
      <c r="N91" s="623">
        <f t="shared" si="7"/>
        <v>1035</v>
      </c>
      <c r="O91" s="623">
        <f t="shared" si="7"/>
        <v>0</v>
      </c>
      <c r="P91" s="623">
        <f t="shared" si="7"/>
        <v>0</v>
      </c>
      <c r="Q91" s="623">
        <f t="shared" si="7"/>
        <v>0</v>
      </c>
      <c r="R91" s="623">
        <f t="shared" si="7"/>
        <v>2957.1428571428573</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7411.7647058823522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10588.235294117647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19623.298192483588</v>
      </c>
      <c r="C4" s="478">
        <f>huishoudens!C8</f>
        <v>0</v>
      </c>
      <c r="D4" s="478">
        <f>huishoudens!D8</f>
        <v>51174.570756760004</v>
      </c>
      <c r="E4" s="478">
        <f>huishoudens!E8</f>
        <v>19497.961573365024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22282.399512351047</v>
      </c>
      <c r="O4" s="478">
        <f>huishoudens!O8</f>
        <v>408.69539319372859</v>
      </c>
      <c r="P4" s="479">
        <f>huishoudens!P8</f>
        <v>684.70735499952639</v>
      </c>
      <c r="Q4" s="480">
        <f>SUM(B4:P4)</f>
        <v>113671.63278315293</v>
      </c>
    </row>
    <row r="5" spans="1:17">
      <c r="A5" s="477" t="s">
        <v>155</v>
      </c>
      <c r="B5" s="478">
        <f ca="1">tertiair!B16</f>
        <v>25485.470798999999</v>
      </c>
      <c r="C5" s="478">
        <f ca="1">tertiair!C16</f>
        <v>0</v>
      </c>
      <c r="D5" s="478">
        <f ca="1">tertiair!D16</f>
        <v>48095.085772909995</v>
      </c>
      <c r="E5" s="478">
        <f>tertiair!E16</f>
        <v>367.22349335199135</v>
      </c>
      <c r="F5" s="478">
        <f ca="1">tertiair!F16</f>
        <v>2762.8549197332823</v>
      </c>
      <c r="G5" s="478">
        <f>tertiair!G16</f>
        <v>0</v>
      </c>
      <c r="H5" s="478">
        <f>tertiair!H16</f>
        <v>0</v>
      </c>
      <c r="I5" s="478">
        <f>tertiair!I16</f>
        <v>0</v>
      </c>
      <c r="J5" s="478">
        <f>tertiair!J16</f>
        <v>3.8931693952946947E-2</v>
      </c>
      <c r="K5" s="478">
        <f>tertiair!K16</f>
        <v>0</v>
      </c>
      <c r="L5" s="478">
        <f ca="1">tertiair!L16</f>
        <v>0</v>
      </c>
      <c r="M5" s="478">
        <f>tertiair!M16</f>
        <v>0</v>
      </c>
      <c r="N5" s="478">
        <f ca="1">tertiair!N16</f>
        <v>0</v>
      </c>
      <c r="O5" s="478">
        <f>tertiair!O16</f>
        <v>14.691782297523464</v>
      </c>
      <c r="P5" s="479">
        <f>tertiair!P16</f>
        <v>105.07827661299004</v>
      </c>
      <c r="Q5" s="477">
        <f t="shared" ref="Q5:Q14" ca="1" si="0">SUM(B5:P5)</f>
        <v>76830.44397559973</v>
      </c>
    </row>
    <row r="6" spans="1:17">
      <c r="A6" s="477" t="s">
        <v>193</v>
      </c>
      <c r="B6" s="478">
        <f>'openbare verlichting'!B8</f>
        <v>594.90599999999995</v>
      </c>
      <c r="C6" s="478"/>
      <c r="D6" s="478"/>
      <c r="E6" s="478"/>
      <c r="F6" s="478"/>
      <c r="G6" s="478"/>
      <c r="H6" s="478"/>
      <c r="I6" s="478"/>
      <c r="J6" s="478"/>
      <c r="K6" s="478"/>
      <c r="L6" s="478"/>
      <c r="M6" s="478"/>
      <c r="N6" s="478"/>
      <c r="O6" s="478"/>
      <c r="P6" s="479"/>
      <c r="Q6" s="477">
        <f t="shared" si="0"/>
        <v>594.90599999999995</v>
      </c>
    </row>
    <row r="7" spans="1:17">
      <c r="A7" s="477" t="s">
        <v>111</v>
      </c>
      <c r="B7" s="478">
        <f>landbouw!B8</f>
        <v>453.23745999999994</v>
      </c>
      <c r="C7" s="478">
        <f>landbouw!C8</f>
        <v>9000</v>
      </c>
      <c r="D7" s="478">
        <f>landbouw!D8</f>
        <v>4408.8321742999979</v>
      </c>
      <c r="E7" s="478">
        <f>landbouw!E8</f>
        <v>14.145391667324166</v>
      </c>
      <c r="F7" s="478">
        <f>landbouw!F8</f>
        <v>1601.7913919314001</v>
      </c>
      <c r="G7" s="478">
        <f>landbouw!G8</f>
        <v>0</v>
      </c>
      <c r="H7" s="478">
        <f>landbouw!H8</f>
        <v>0</v>
      </c>
      <c r="I7" s="478">
        <f>landbouw!I8</f>
        <v>0</v>
      </c>
      <c r="J7" s="478">
        <f>landbouw!J8</f>
        <v>124.87006340423852</v>
      </c>
      <c r="K7" s="478">
        <f>landbouw!K8</f>
        <v>0</v>
      </c>
      <c r="L7" s="478">
        <f>landbouw!L8</f>
        <v>0</v>
      </c>
      <c r="M7" s="478">
        <f>landbouw!M8</f>
        <v>0</v>
      </c>
      <c r="N7" s="478">
        <f>landbouw!N8</f>
        <v>0</v>
      </c>
      <c r="O7" s="478">
        <f>landbouw!O8</f>
        <v>0</v>
      </c>
      <c r="P7" s="479">
        <f>landbouw!P8</f>
        <v>0</v>
      </c>
      <c r="Q7" s="477">
        <f t="shared" si="0"/>
        <v>15602.876481302959</v>
      </c>
    </row>
    <row r="8" spans="1:17">
      <c r="A8" s="477" t="s">
        <v>629</v>
      </c>
      <c r="B8" s="478">
        <f>industrie!B18</f>
        <v>73877.864363999994</v>
      </c>
      <c r="C8" s="478">
        <f>industrie!C18</f>
        <v>0</v>
      </c>
      <c r="D8" s="478">
        <f>industrie!D18</f>
        <v>85137.355453766009</v>
      </c>
      <c r="E8" s="478">
        <f>industrie!E18</f>
        <v>2972.7697898972365</v>
      </c>
      <c r="F8" s="478">
        <f>industrie!F18</f>
        <v>11845.625344574546</v>
      </c>
      <c r="G8" s="478">
        <f>industrie!G18</f>
        <v>0</v>
      </c>
      <c r="H8" s="478">
        <f>industrie!H18</f>
        <v>0</v>
      </c>
      <c r="I8" s="478">
        <f>industrie!I18</f>
        <v>0</v>
      </c>
      <c r="J8" s="478">
        <f>industrie!J18</f>
        <v>402.33038068415641</v>
      </c>
      <c r="K8" s="478">
        <f>industrie!K18</f>
        <v>0</v>
      </c>
      <c r="L8" s="478">
        <f>industrie!L18</f>
        <v>0</v>
      </c>
      <c r="M8" s="478">
        <f>industrie!M18</f>
        <v>0</v>
      </c>
      <c r="N8" s="478">
        <f>industrie!N18</f>
        <v>3283.8059349667064</v>
      </c>
      <c r="O8" s="478">
        <f>industrie!O18</f>
        <v>0</v>
      </c>
      <c r="P8" s="479">
        <f>industrie!P18</f>
        <v>0</v>
      </c>
      <c r="Q8" s="477">
        <f t="shared" si="0"/>
        <v>177519.75126788861</v>
      </c>
    </row>
    <row r="9" spans="1:17" s="483" customFormat="1">
      <c r="A9" s="481" t="s">
        <v>555</v>
      </c>
      <c r="B9" s="482">
        <f>transport!B14</f>
        <v>83.939724143055543</v>
      </c>
      <c r="C9" s="482">
        <f>transport!C14</f>
        <v>0</v>
      </c>
      <c r="D9" s="482">
        <f>transport!D14</f>
        <v>309.0246017020711</v>
      </c>
      <c r="E9" s="482">
        <f>transport!E14</f>
        <v>268.55124289744447</v>
      </c>
      <c r="F9" s="482">
        <f>transport!F14</f>
        <v>0</v>
      </c>
      <c r="G9" s="482">
        <f>transport!G14</f>
        <v>112221.12464464833</v>
      </c>
      <c r="H9" s="482">
        <f>transport!H14</f>
        <v>23584.597110796949</v>
      </c>
      <c r="I9" s="482">
        <f>transport!I14</f>
        <v>0</v>
      </c>
      <c r="J9" s="482">
        <f>transport!J14</f>
        <v>0</v>
      </c>
      <c r="K9" s="482">
        <f>transport!K14</f>
        <v>0</v>
      </c>
      <c r="L9" s="482">
        <f>transport!L14</f>
        <v>0</v>
      </c>
      <c r="M9" s="482">
        <f>transport!M14</f>
        <v>8020.6792012140213</v>
      </c>
      <c r="N9" s="482">
        <f>transport!N14</f>
        <v>0</v>
      </c>
      <c r="O9" s="482">
        <f>transport!O14</f>
        <v>0</v>
      </c>
      <c r="P9" s="482">
        <f>transport!P14</f>
        <v>0</v>
      </c>
      <c r="Q9" s="481">
        <f>SUM(B9:P9)</f>
        <v>144487.91652540187</v>
      </c>
    </row>
    <row r="10" spans="1:17">
      <c r="A10" s="477" t="s">
        <v>545</v>
      </c>
      <c r="B10" s="478">
        <f>transport!B54</f>
        <v>0</v>
      </c>
      <c r="C10" s="478">
        <f>transport!C54</f>
        <v>0</v>
      </c>
      <c r="D10" s="478">
        <f>transport!D54</f>
        <v>0</v>
      </c>
      <c r="E10" s="478">
        <f>transport!E54</f>
        <v>0</v>
      </c>
      <c r="F10" s="478">
        <f>transport!F54</f>
        <v>0</v>
      </c>
      <c r="G10" s="478">
        <f>transport!G54</f>
        <v>595.73684565795099</v>
      </c>
      <c r="H10" s="478">
        <f>transport!H54</f>
        <v>0</v>
      </c>
      <c r="I10" s="478">
        <f>transport!I54</f>
        <v>0</v>
      </c>
      <c r="J10" s="478">
        <f>transport!J54</f>
        <v>0</v>
      </c>
      <c r="K10" s="478">
        <f>transport!K54</f>
        <v>0</v>
      </c>
      <c r="L10" s="478">
        <f>transport!L54</f>
        <v>0</v>
      </c>
      <c r="M10" s="478">
        <f>transport!M54</f>
        <v>33.111119796329866</v>
      </c>
      <c r="N10" s="478">
        <f>transport!N54</f>
        <v>0</v>
      </c>
      <c r="O10" s="478">
        <f>transport!O54</f>
        <v>0</v>
      </c>
      <c r="P10" s="479">
        <f>transport!P54</f>
        <v>0</v>
      </c>
      <c r="Q10" s="477">
        <f t="shared" si="0"/>
        <v>628.84796545428082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447.99393800000001</v>
      </c>
      <c r="C14" s="485"/>
      <c r="D14" s="485">
        <f>'SEAP template'!E25</f>
        <v>1160.8234930000001</v>
      </c>
      <c r="E14" s="485"/>
      <c r="F14" s="485"/>
      <c r="G14" s="485"/>
      <c r="H14" s="485"/>
      <c r="I14" s="485"/>
      <c r="J14" s="485"/>
      <c r="K14" s="485"/>
      <c r="L14" s="485"/>
      <c r="M14" s="485"/>
      <c r="N14" s="485"/>
      <c r="O14" s="485"/>
      <c r="P14" s="486"/>
      <c r="Q14" s="477">
        <f t="shared" si="0"/>
        <v>1608.8174310000002</v>
      </c>
    </row>
    <row r="15" spans="1:17" s="489" customFormat="1">
      <c r="A15" s="487" t="s">
        <v>549</v>
      </c>
      <c r="B15" s="488">
        <f ca="1">SUM(B4:B14)</f>
        <v>120566.71047762664</v>
      </c>
      <c r="C15" s="488">
        <f t="shared" ref="C15:Q15" ca="1" si="1">SUM(C4:C14)</f>
        <v>9000</v>
      </c>
      <c r="D15" s="488">
        <f t="shared" ca="1" si="1"/>
        <v>190285.69225243808</v>
      </c>
      <c r="E15" s="488">
        <f t="shared" si="1"/>
        <v>23120.651491179018</v>
      </c>
      <c r="F15" s="488">
        <f t="shared" ca="1" si="1"/>
        <v>16210.271656239229</v>
      </c>
      <c r="G15" s="488">
        <f t="shared" si="1"/>
        <v>112816.86149030628</v>
      </c>
      <c r="H15" s="488">
        <f t="shared" si="1"/>
        <v>23584.597110796949</v>
      </c>
      <c r="I15" s="488">
        <f t="shared" si="1"/>
        <v>0</v>
      </c>
      <c r="J15" s="488">
        <f t="shared" si="1"/>
        <v>527.23937578234791</v>
      </c>
      <c r="K15" s="488">
        <f t="shared" si="1"/>
        <v>0</v>
      </c>
      <c r="L15" s="488">
        <f t="shared" ca="1" si="1"/>
        <v>0</v>
      </c>
      <c r="M15" s="488">
        <f t="shared" si="1"/>
        <v>8053.7903210103514</v>
      </c>
      <c r="N15" s="488">
        <f t="shared" ca="1" si="1"/>
        <v>25566.205447317752</v>
      </c>
      <c r="O15" s="488">
        <f t="shared" si="1"/>
        <v>423.38717549125204</v>
      </c>
      <c r="P15" s="488">
        <f t="shared" si="1"/>
        <v>789.78563161251645</v>
      </c>
      <c r="Q15" s="488">
        <f t="shared" ca="1" si="1"/>
        <v>530945.1924298004</v>
      </c>
    </row>
    <row r="17" spans="1:17">
      <c r="A17" s="490" t="s">
        <v>550</v>
      </c>
      <c r="B17" s="807">
        <f ca="1">huishoudens!B10</f>
        <v>0.11869520758922275</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2329.1914525420589</v>
      </c>
      <c r="C22" s="478">
        <f t="shared" ref="C22:C32" ca="1" si="3">C4*$C$17</f>
        <v>0</v>
      </c>
      <c r="D22" s="478">
        <f t="shared" ref="D22:D32" si="4">D4*$D$17</f>
        <v>10337.263292865522</v>
      </c>
      <c r="E22" s="478">
        <f t="shared" ref="E22:E32" si="5">E4*$E$17</f>
        <v>4426.0372771538605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17092.492022561441</v>
      </c>
    </row>
    <row r="23" spans="1:17">
      <c r="A23" s="477" t="s">
        <v>155</v>
      </c>
      <c r="B23" s="478">
        <f t="shared" ca="1" si="2"/>
        <v>3025.0032469963794</v>
      </c>
      <c r="C23" s="478">
        <f t="shared" ca="1" si="3"/>
        <v>0</v>
      </c>
      <c r="D23" s="478">
        <f t="shared" ca="1" si="4"/>
        <v>9715.2073261278201</v>
      </c>
      <c r="E23" s="478">
        <f t="shared" si="5"/>
        <v>83.359732990902046</v>
      </c>
      <c r="F23" s="478">
        <f t="shared" ca="1" si="6"/>
        <v>737.68226356878642</v>
      </c>
      <c r="G23" s="478">
        <f t="shared" si="7"/>
        <v>0</v>
      </c>
      <c r="H23" s="478">
        <f t="shared" si="8"/>
        <v>0</v>
      </c>
      <c r="I23" s="478">
        <f t="shared" si="9"/>
        <v>0</v>
      </c>
      <c r="J23" s="478">
        <f t="shared" si="10"/>
        <v>1.3781819659343218E-2</v>
      </c>
      <c r="K23" s="478">
        <f t="shared" si="11"/>
        <v>0</v>
      </c>
      <c r="L23" s="478">
        <f t="shared" ca="1" si="12"/>
        <v>0</v>
      </c>
      <c r="M23" s="478">
        <f t="shared" si="13"/>
        <v>0</v>
      </c>
      <c r="N23" s="478">
        <f t="shared" ca="1" si="14"/>
        <v>0</v>
      </c>
      <c r="O23" s="478">
        <f t="shared" si="15"/>
        <v>0</v>
      </c>
      <c r="P23" s="479">
        <f t="shared" si="16"/>
        <v>0</v>
      </c>
      <c r="Q23" s="477">
        <f t="shared" ref="Q23:Q31" ca="1" si="17">SUM(B23:P23)</f>
        <v>13561.266351503547</v>
      </c>
    </row>
    <row r="24" spans="1:17">
      <c r="A24" s="477" t="s">
        <v>193</v>
      </c>
      <c r="B24" s="478">
        <f t="shared" ca="1" si="2"/>
        <v>70.61249116607415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70.61249116607415</v>
      </c>
    </row>
    <row r="25" spans="1:17">
      <c r="A25" s="477" t="s">
        <v>111</v>
      </c>
      <c r="B25" s="478">
        <f t="shared" ca="1" si="2"/>
        <v>53.797114401912033</v>
      </c>
      <c r="C25" s="478">
        <f t="shared" ca="1" si="3"/>
        <v>2138.8235294117649</v>
      </c>
      <c r="D25" s="478">
        <f t="shared" si="4"/>
        <v>890.58409920859958</v>
      </c>
      <c r="E25" s="478">
        <f t="shared" si="5"/>
        <v>3.2110039084825859</v>
      </c>
      <c r="F25" s="478">
        <f t="shared" si="6"/>
        <v>427.67830164568386</v>
      </c>
      <c r="G25" s="478">
        <f t="shared" si="7"/>
        <v>0</v>
      </c>
      <c r="H25" s="478">
        <f t="shared" si="8"/>
        <v>0</v>
      </c>
      <c r="I25" s="478">
        <f t="shared" si="9"/>
        <v>0</v>
      </c>
      <c r="J25" s="478">
        <f t="shared" si="10"/>
        <v>44.204002445100436</v>
      </c>
      <c r="K25" s="478">
        <f t="shared" si="11"/>
        <v>0</v>
      </c>
      <c r="L25" s="478">
        <f t="shared" si="12"/>
        <v>0</v>
      </c>
      <c r="M25" s="478">
        <f t="shared" si="13"/>
        <v>0</v>
      </c>
      <c r="N25" s="478">
        <f t="shared" si="14"/>
        <v>0</v>
      </c>
      <c r="O25" s="478">
        <f t="shared" si="15"/>
        <v>0</v>
      </c>
      <c r="P25" s="479">
        <f t="shared" si="16"/>
        <v>0</v>
      </c>
      <c r="Q25" s="477">
        <f t="shared" ca="1" si="17"/>
        <v>3558.2980510215434</v>
      </c>
    </row>
    <row r="26" spans="1:17">
      <c r="A26" s="477" t="s">
        <v>629</v>
      </c>
      <c r="B26" s="478">
        <f t="shared" ca="1" si="2"/>
        <v>8768.9484469334202</v>
      </c>
      <c r="C26" s="478">
        <f t="shared" ca="1" si="3"/>
        <v>0</v>
      </c>
      <c r="D26" s="478">
        <f t="shared" si="4"/>
        <v>17197.745801660734</v>
      </c>
      <c r="E26" s="478">
        <f t="shared" si="5"/>
        <v>674.81874230667268</v>
      </c>
      <c r="F26" s="478">
        <f t="shared" si="6"/>
        <v>3162.7819670014042</v>
      </c>
      <c r="G26" s="478">
        <f t="shared" si="7"/>
        <v>0</v>
      </c>
      <c r="H26" s="478">
        <f t="shared" si="8"/>
        <v>0</v>
      </c>
      <c r="I26" s="478">
        <f t="shared" si="9"/>
        <v>0</v>
      </c>
      <c r="J26" s="478">
        <f t="shared" si="10"/>
        <v>142.42495476219136</v>
      </c>
      <c r="K26" s="478">
        <f t="shared" si="11"/>
        <v>0</v>
      </c>
      <c r="L26" s="478">
        <f t="shared" si="12"/>
        <v>0</v>
      </c>
      <c r="M26" s="478">
        <f t="shared" si="13"/>
        <v>0</v>
      </c>
      <c r="N26" s="478">
        <f t="shared" si="14"/>
        <v>0</v>
      </c>
      <c r="O26" s="478">
        <f t="shared" si="15"/>
        <v>0</v>
      </c>
      <c r="P26" s="479">
        <f t="shared" si="16"/>
        <v>0</v>
      </c>
      <c r="Q26" s="477">
        <f t="shared" ca="1" si="17"/>
        <v>29946.719912664423</v>
      </c>
    </row>
    <row r="27" spans="1:17" s="483" customFormat="1">
      <c r="A27" s="481" t="s">
        <v>555</v>
      </c>
      <c r="B27" s="801">
        <f t="shared" ca="1" si="2"/>
        <v>9.96324298214207</v>
      </c>
      <c r="C27" s="482">
        <f t="shared" ca="1" si="3"/>
        <v>0</v>
      </c>
      <c r="D27" s="482">
        <f t="shared" si="4"/>
        <v>62.422969543818368</v>
      </c>
      <c r="E27" s="482">
        <f t="shared" si="5"/>
        <v>60.961132137719893</v>
      </c>
      <c r="F27" s="482">
        <f t="shared" si="6"/>
        <v>0</v>
      </c>
      <c r="G27" s="482">
        <f t="shared" si="7"/>
        <v>29963.040280121106</v>
      </c>
      <c r="H27" s="482">
        <f t="shared" si="8"/>
        <v>5872.5646805884398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35968.952305373226</v>
      </c>
    </row>
    <row r="28" spans="1:17" ht="16.5" customHeight="1">
      <c r="A28" s="477" t="s">
        <v>545</v>
      </c>
      <c r="B28" s="478">
        <f t="shared" ca="1" si="2"/>
        <v>0</v>
      </c>
      <c r="C28" s="478">
        <f t="shared" ca="1" si="3"/>
        <v>0</v>
      </c>
      <c r="D28" s="478">
        <f t="shared" si="4"/>
        <v>0</v>
      </c>
      <c r="E28" s="478">
        <f t="shared" si="5"/>
        <v>0</v>
      </c>
      <c r="F28" s="478">
        <f t="shared" si="6"/>
        <v>0</v>
      </c>
      <c r="G28" s="478">
        <f t="shared" si="7"/>
        <v>159.06173779067294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159.06173779067294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53.174733469623391</v>
      </c>
      <c r="C32" s="478">
        <f t="shared" ca="1" si="3"/>
        <v>0</v>
      </c>
      <c r="D32" s="478">
        <f t="shared" si="4"/>
        <v>234.48634558600003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287.66107905562342</v>
      </c>
    </row>
    <row r="33" spans="1:17" s="489" customFormat="1">
      <c r="A33" s="487" t="s">
        <v>549</v>
      </c>
      <c r="B33" s="488">
        <f ca="1">SUM(B22:B32)</f>
        <v>14310.690728491611</v>
      </c>
      <c r="C33" s="488">
        <f t="shared" ref="C33:Q33" ca="1" si="19">SUM(C22:C32)</f>
        <v>2138.8235294117649</v>
      </c>
      <c r="D33" s="488">
        <f t="shared" ca="1" si="19"/>
        <v>38437.7098349925</v>
      </c>
      <c r="E33" s="488">
        <f t="shared" si="19"/>
        <v>5248.3878884976375</v>
      </c>
      <c r="F33" s="488">
        <f t="shared" ca="1" si="19"/>
        <v>4328.1425322158739</v>
      </c>
      <c r="G33" s="488">
        <f t="shared" si="19"/>
        <v>30122.10201791178</v>
      </c>
      <c r="H33" s="488">
        <f t="shared" si="19"/>
        <v>5872.5646805884398</v>
      </c>
      <c r="I33" s="488">
        <f t="shared" si="19"/>
        <v>0</v>
      </c>
      <c r="J33" s="488">
        <f t="shared" si="19"/>
        <v>186.64273902695115</v>
      </c>
      <c r="K33" s="488">
        <f t="shared" si="19"/>
        <v>0</v>
      </c>
      <c r="L33" s="488">
        <f t="shared" ca="1" si="19"/>
        <v>0</v>
      </c>
      <c r="M33" s="488">
        <f t="shared" si="19"/>
        <v>0</v>
      </c>
      <c r="N33" s="488">
        <f t="shared" ca="1" si="19"/>
        <v>0</v>
      </c>
      <c r="O33" s="488">
        <f t="shared" si="19"/>
        <v>0</v>
      </c>
      <c r="P33" s="488">
        <f t="shared" si="19"/>
        <v>0</v>
      </c>
      <c r="Q33" s="488">
        <f t="shared" ca="1" si="19"/>
        <v>100645.06395113656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44748.653027231259</v>
      </c>
      <c r="C4" s="1062"/>
      <c r="D4" s="1062"/>
      <c r="E4" s="1062"/>
      <c r="F4" s="1062"/>
      <c r="G4" s="1062"/>
      <c r="H4" s="1062"/>
      <c r="I4" s="1062"/>
      <c r="J4" s="1062"/>
      <c r="K4" s="1062"/>
      <c r="L4" s="1062"/>
      <c r="M4" s="1062"/>
      <c r="N4" s="1062"/>
      <c r="O4" s="1062"/>
      <c r="P4" s="1063">
        <f>'SEAP template'!Q72</f>
        <v>0</v>
      </c>
    </row>
    <row r="5" spans="1:16">
      <c r="A5" s="1067" t="s">
        <v>249</v>
      </c>
      <c r="B5" s="1062">
        <f>'SEAP template'!B73</f>
        <v>1719.7821235023039</v>
      </c>
      <c r="C5" s="1062"/>
      <c r="D5" s="1062"/>
      <c r="E5" s="1062"/>
      <c r="F5" s="1062"/>
      <c r="G5" s="1062"/>
      <c r="H5" s="1062"/>
      <c r="I5" s="1062"/>
      <c r="J5" s="1062"/>
      <c r="K5" s="1062"/>
      <c r="L5" s="1062"/>
      <c r="M5" s="1062"/>
      <c r="N5" s="1062"/>
      <c r="O5" s="1062"/>
      <c r="P5" s="1063">
        <f>'SEAP template'!Q73</f>
        <v>0</v>
      </c>
    </row>
    <row r="6" spans="1:16">
      <c r="A6" s="1067" t="s">
        <v>250</v>
      </c>
      <c r="B6" s="1062">
        <f>'SEAP template'!B74</f>
        <v>8783.5728024434102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6300</v>
      </c>
      <c r="D8" s="1062">
        <f>'SEAP template'!D76</f>
        <v>7411.7647058823522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1497.1764705882354</v>
      </c>
    </row>
    <row r="9" spans="1:16">
      <c r="A9" s="1068" t="s">
        <v>802</v>
      </c>
      <c r="B9" s="1062">
        <f>'SEAP template'!B77</f>
        <v>1035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2957.1428571428573</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56287.007953176973</v>
      </c>
      <c r="C10" s="1064">
        <f>SUM(C4:C9)</f>
        <v>6300</v>
      </c>
      <c r="D10" s="1064">
        <f t="shared" ref="D10:H10" si="0">SUM(D8:D9)</f>
        <v>7411.7647058823522</v>
      </c>
      <c r="E10" s="1064">
        <f t="shared" si="0"/>
        <v>0</v>
      </c>
      <c r="F10" s="1064">
        <f t="shared" si="0"/>
        <v>0</v>
      </c>
      <c r="G10" s="1064">
        <f t="shared" si="0"/>
        <v>0</v>
      </c>
      <c r="H10" s="1064">
        <f t="shared" si="0"/>
        <v>0</v>
      </c>
      <c r="I10" s="1064">
        <f>SUM(I8:I9)</f>
        <v>0</v>
      </c>
      <c r="J10" s="1064">
        <f>SUM(J8:J9)</f>
        <v>2957.1428571428573</v>
      </c>
      <c r="K10" s="1064">
        <f t="shared" ref="K10:L10" si="1">SUM(K8:K9)</f>
        <v>0</v>
      </c>
      <c r="L10" s="1064">
        <f t="shared" si="1"/>
        <v>0</v>
      </c>
      <c r="M10" s="1064">
        <f>SUM(M8:M9)</f>
        <v>0</v>
      </c>
      <c r="N10" s="1064">
        <f>SUM(N8:N9)</f>
        <v>0</v>
      </c>
      <c r="O10" s="1064">
        <f>SUM(O8:O9)</f>
        <v>0</v>
      </c>
      <c r="P10" s="1064">
        <f>SUM(P8:P9)</f>
        <v>1497.1764705882354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0.11869520758922275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9000</v>
      </c>
      <c r="D17" s="1063">
        <f>'SEAP template'!D87</f>
        <v>10588.235294117647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2138.8235294117649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9000</v>
      </c>
      <c r="D20" s="1064">
        <f t="shared" ref="D20:H20" si="2">SUM(D17:D19)</f>
        <v>10588.235294117647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2138.8235294117649</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0.11869520758922275</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2019-08-12T08:38:23Z</dcterms:modified>
</cp:coreProperties>
</file>