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L20"/>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C31"/>
  <c r="C26"/>
  <c r="F27" i="14"/>
  <c r="F63" s="1"/>
  <c r="C78"/>
  <c r="B78"/>
  <c r="B12" i="6" l="1"/>
  <c r="B10" i="17" s="1"/>
  <c r="B12" s="1"/>
  <c r="B4" i="6"/>
  <c r="C22" i="48"/>
  <c r="C28"/>
  <c r="C23"/>
  <c r="C30"/>
  <c r="C27"/>
  <c r="C33" s="1"/>
  <c r="C29"/>
  <c r="C12" i="59"/>
  <c r="B16" i="22"/>
  <c r="B18" s="1"/>
  <c r="B18" i="15"/>
  <c r="B20" s="1"/>
  <c r="B20" i="16"/>
  <c r="B22" s="1"/>
  <c r="B17" i="19"/>
  <c r="B19" s="1"/>
  <c r="B29" i="20" l="1"/>
  <c r="B31" s="1"/>
  <c r="C48" i="14" s="1"/>
  <c r="R48" s="1"/>
  <c r="B10" i="9"/>
  <c r="B12" s="1"/>
  <c r="C55" i="14"/>
  <c r="R55" s="1"/>
  <c r="B10" i="13"/>
  <c r="B56" i="22"/>
  <c r="B58" s="1"/>
  <c r="B17" i="49"/>
  <c r="B19" s="1"/>
  <c r="C42" i="14" s="1"/>
  <c r="R42" s="1"/>
  <c r="C54"/>
  <c r="R54" s="1"/>
  <c r="R56" s="1"/>
  <c r="C43"/>
  <c r="R43" s="1"/>
  <c r="C49"/>
  <c r="R49" s="1"/>
  <c r="C39"/>
  <c r="R3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<sst xmlns="http://schemas.openxmlformats.org/spreadsheetml/2006/main" count="2515" uniqueCount="940">
  <si>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</si>
  <si>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</si>
  <si>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</si>
  <si>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</si>
  <si>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</si>
  <si>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</si>
  <si>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</si>
  <si>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</si>
  <si>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</si>
  <si>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</si>
  <si>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</si>
  <si>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</si>
  <si>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</si>
  <si>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</si>
  <si>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</si>
  <si>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</si>
  <si>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</si>
  <si>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</si>
  <si>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</si>
  <si>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</si>
  <si>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</si>
  <si>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</si>
  <si>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</si>
  <si>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</si>
  <si>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</si>
  <si>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</si>
  <si>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</si>
  <si>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</si>
  <si>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</si>
  <si>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</si>
  <si>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</si>
  <si>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</si>
  <si>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</si>
  <si>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</si>
  <si>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</si>
  <si>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</si>
  <si>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</si>
  <si>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</si>
  <si>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</si>
  <si>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</si>
  <si>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</si>
  <si>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</si>
  <si>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</si>
  <si>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</si>
  <si>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</si>
  <si>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</si>
  <si>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</si>
  <si>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</si>
  <si>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</si>
  <si>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</si>
  <si>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</si>
  <si>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</si>
  <si>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</si>
  <si>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</si>
  <si>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</si>
  <si>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</si>
  <si>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</si>
  <si>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</si>
  <si>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</si>
  <si>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</si>
  <si>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</si>
  <si>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</si>
  <si>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</si>
  <si>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</si>
  <si>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</si>
  <si>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</si>
  <si>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</si>
  <si>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</si>
  <si>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</si>
  <si>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</si>
  <si>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</si>
  <si>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</si>
  <si>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</si>
  <si>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</si>
  <si>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</si>
  <si>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</si>
  <si>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</si>
  <si>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</si>
  <si>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</si>
  <si>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</si>
  <si>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</si>
  <si>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</si>
  <si>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</si>
  <si>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</si>
  <si>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</si>
  <si>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</si>
  <si>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</si>
  <si>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</si>
  <si>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</si>
  <si>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</si>
  <si>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</si>
  <si>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</si>
  <si>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</si>
  <si>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</si>
  <si>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</si>
  <si>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</si>
  <si>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</si>
  <si>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</si>
  <si>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</si>
  <si>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</si>
  <si>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</si>
  <si>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</si>
  <si>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</si>
  <si>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</si>
  <si>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</si>
  <si>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</si>
  <si>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</si>
  <si>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</si>
  <si>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</si>
  <si>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</si>
  <si>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</si>
  <si>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</si>
  <si>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</si>
  <si>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</si>
  <si>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</si>
  <si>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</si>
  <si>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</si>
  <si>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</si>
  <si>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</si>
  <si>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</si>
  <si>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</si>
  <si>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</si>
  <si>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</si>
  <si>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</si>
  <si>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</si>
  <si>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</si>
  <si>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</si>
  <si>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</si>
  <si>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</si>
  <si>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</si>
  <si>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</si>
  <si>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</si>
  <si>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</si>
  <si>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</si>
  <si>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</si>
  <si>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</si>
  <si>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</si>
  <si>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</si>
  <si>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</si>
  <si>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</si>
  <si>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</si>
  <si>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</si>
  <si>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</si>
  <si>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</si>
  <si>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</si>
  <si>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</si>
  <si>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</si>
  <si>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</si>
  <si>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</si>
  <si>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</si>
  <si>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</si>
  <si>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</si>
  <si>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</si>
  <si>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</si>
  <si>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</si>
  <si>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</si>
  <si>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</si>
  <si>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</si>
  <si>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</si>
  <si>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</si>
  <si>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</si>
  <si>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</si>
  <si>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</si>
  <si>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</si>
  <si>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</si>
  <si>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</si>
  <si>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</si>
  <si>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</si>
  <si>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</si>
  <si>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</si>
  <si>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</si>
  <si>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</si>
  <si>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</si>
  <si>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</si>
  <si>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</si>
  <si>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</si>
  <si>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</si>
  <si>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</si>
  <si>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</si>
  <si>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</si>
  <si>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</si>
  <si>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</si>
  <si>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</si>
  <si>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</si>
  <si>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</si>
  <si>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</si>
  <si>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</si>
  <si>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</si>
  <si>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</si>
  <si>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</si>
  <si>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</si>
  <si>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</si>
  <si>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</si>
  <si>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</si>
  <si>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</si>
  <si>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</si>
  <si>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</si>
  <si>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</si>
  <si>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</si>
  <si>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</si>
  <si>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</si>
  <si>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</si>
  <si>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</si>
  <si>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</si>
  <si>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</si>
  <si>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</si>
  <si>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</si>
  <si>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</si>
  <si>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</si>
  <si>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</si>
  <si>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</si>
  <si>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</si>
  <si>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</si>
  <si>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</si>
  <si>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</si>
  <si>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</si>
  <si>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</si>
  <si>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</si>
  <si>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</si>
  <si>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</si>
  <si>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</si>
  <si>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</si>
  <si>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</si>
  <si>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</si>
  <si>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</si>
  <si>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</si>
  <si>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</si>
  <si>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</si>
  <si>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</si>
  <si>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</si>
  <si>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</si>
  <si>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</si>
  <si>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</si>
  <si>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</si>
  <si>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</si>
  <si>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</si>
  <si>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</si>
  <si>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</si>
  <si>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</si>
  <si>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</si>
  <si>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</si>
  <si>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</si>
  <si>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</si>
  <si>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</si>
  <si>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</si>
  <si>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</si>
  <si>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</si>
  <si>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</si>
  <si>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</si>
  <si>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</si>
  <si>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</si>
  <si>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</si>
  <si>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</si>
  <si>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</si>
  <si>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</si>
  <si>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</si>
  <si>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</si>
  <si>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</si>
  <si>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</si>
  <si>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</si>
  <si>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</si>
  <si>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</si>
  <si>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</si>
  <si>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</si>
  <si>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</si>
  <si>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</si>
  <si>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</si>
  <si>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</si>
  <si>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</si>
  <si>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</si>
  <si>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</si>
  <si>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</si>
  <si>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</si>
  <si>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</si>
  <si>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</si>
  <si>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</si>
  <si>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</si>
  <si>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</si>
  <si>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</si>
  <si>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</si>
  <si>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</si>
  <si>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</si>
  <si>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</si>
  <si>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</si>
  <si>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</si>
  <si>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</si>
  <si>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</si>
  <si>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</si>
  <si>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</si>
  <si>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</si>
  <si>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</si>
  <si>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</si>
  <si>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</si>
  <si>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</si>
  <si>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</si>
  <si>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</si>
  <si>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</si>
  <si>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</si>
  <si>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</si>
  <si>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</si>
  <si>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</si>
  <si>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</si>
  <si>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</si>
  <si>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</si>
  <si>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</si>
  <si>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</si>
  <si>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</si>
  <si>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</si>
  <si>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</si>
  <si>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</si>
  <si>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</si>
  <si>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</si>
  <si>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</si>
  <si>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</si>
  <si>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</si>
  <si>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</si>
  <si>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</si>
  <si>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</si>
  <si>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</si>
  <si>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</si>
  <si>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</si>
  <si>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</si>
  <si>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</si>
  <si>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</si>
  <si>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</si>
  <si>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</si>
  <si>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</si>
  <si>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</si>
  <si>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</si>
  <si>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</si>
  <si>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</si>
  <si>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</si>
  <si>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</si>
  <si>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</si>
  <si>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</si>
  <si>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</si>
  <si>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</si>
  <si>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</si>
  <si>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</si>
  <si>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</si>
  <si>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</si>
  <si>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</si>
  <si>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</si>
  <si>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</si>
  <si>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</si>
  <si>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</si>
  <si>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</si>
  <si>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</si>
  <si>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</si>
  <si>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</si>
  <si>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</si>
  <si>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</si>
  <si>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</si>
  <si>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</si>
  <si>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</si>
  <si>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</si>
  <si>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</si>
  <si>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</si>
  <si>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</si>
  <si>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</si>
  <si>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</si>
  <si>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</si>
  <si>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</si>
  <si>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</si>
  <si>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</si>
  <si>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</si>
  <si>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</si>
  <si>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</si>
  <si>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</si>
  <si>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</si>
  <si>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</si>
  <si>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</si>
  <si>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</si>
  <si>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</si>
  <si>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</si>
  <si>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</si>
  <si>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</si>
  <si>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</si>
  <si>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</si>
  <si>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</si>
  <si>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</si>
  <si>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</si>
  <si>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</si>
  <si>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</si>
  <si>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</si>
  <si>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</si>
  <si>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</si>
  <si>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</si>
  <si>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</si>
  <si>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</si>
  <si>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</si>
  <si>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</si>
  <si>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</si>
  <si>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</si>
  <si>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</si>
  <si>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</si>
  <si>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</si>
  <si>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</si>
  <si>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</si>
  <si>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</si>
  <si>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</si>
  <si>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</si>
  <si>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</si>
  <si>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</si>
  <si>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</si>
  <si>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</si>
  <si>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</si>
  <si>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</si>
  <si>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</si>
  <si>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</si>
  <si>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</si>
  <si>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</si>
  <si>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</si>
  <si>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</si>
  <si>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</si>
  <si>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</si>
  <si>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</si>
  <si>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</si>
  <si>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</si>
  <si>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</si>
  <si>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</si>
  <si>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</si>
  <si>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</si>
  <si>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</si>
  <si>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</si>
  <si>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</si>
  <si>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</si>
  <si>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</si>
  <si>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</si>
  <si>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</si>
  <si>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</si>
  <si>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</si>
  <si>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</si>
  <si>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</si>
  <si>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</si>
  <si>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</si>
  <si>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</si>
  <si>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</si>
  <si>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</si>
  <si>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</si>
  <si>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</si>
  <si>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</si>
  <si>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</si>
  <si>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</si>
  <si>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</si>
  <si>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</si>
  <si>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</si>
  <si>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</si>
  <si>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</si>
  <si>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</si>
  <si>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</si>
  <si>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</si>
  <si>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</si>
  <si>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</si>
  <si>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</si>
  <si>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</si>
  <si>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</si>
  <si>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</si>
  <si>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</si>
  <si>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</si>
  <si>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</si>
  <si>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</si>
  <si>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</si>
  <si>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</si>
  <si>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</si>
  <si>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</si>
  <si>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</si>
  <si>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</si>
  <si>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</si>
  <si>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</si>
  <si>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</si>
  <si>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</si>
  <si>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</si>
  <si>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</si>
  <si>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</si>
  <si>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</si>
  <si>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</si>
  <si>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</si>
  <si>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</si>
  <si>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</si>
  <si>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</si>
  <si>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</si>
  <si>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</si>
  <si>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</si>
  <si>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</si>
  <si>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</si>
  <si>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</si>
  <si>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</si>
  <si>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</si>
  <si>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</si>
  <si>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</si>
  <si>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</si>
  <si>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</si>
  <si>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</si>
  <si>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</si>
  <si>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</si>
  <si>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</si>
  <si>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</si>
  <si>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</si>
  <si>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</si>
  <si>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</si>
  <si>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</si>
  <si>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</si>
  <si>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</si>
  <si>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</si>
  <si>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</si>
  <si>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</si>
  <si>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</si>
  <si>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</si>
  <si>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</si>
  <si>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</si>
  <si>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</si>
  <si>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</si>
  <si>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</si>
  <si>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</si>
  <si>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</si>
  <si>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</si>
  <si>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</si>
  <si>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</si>
  <si>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</si>
  <si>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</si>
  <si>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</si>
  <si>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</si>
  <si>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</si>
  <si>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</si>
  <si>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</si>
  <si>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</si>
  <si>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</si>
  <si>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</si>
  <si>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</si>
  <si>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</si>
  <si>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</si>
  <si>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</si>
  <si>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</si>
  <si>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</si>
  <si>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</si>
  <si>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</si>
  <si>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</si>
  <si>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</si>
  <si>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</si>
  <si>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</si>
  <si>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</si>
  <si>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</si>
  <si>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</si>
  <si>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</si>
  <si>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</si>
  <si>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</si>
  <si>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</si>
  <si>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</si>
  <si>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</si>
  <si>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</si>
  <si>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</si>
  <si>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</si>
  <si>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</si>
  <si>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</si>
  <si>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</si>
  <si>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</si>
  <si>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</si>
  <si>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</si>
  <si>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</si>
  <si>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</si>
  <si>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</si>
  <si>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</si>
  <si>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</si>
  <si>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</si>
  <si>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</si>
  <si>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</si>
  <si>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</si>
  <si>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</si>
  <si>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</si>
  <si>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</si>
  <si>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</si>
  <si>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</si>
  <si>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</si>
  <si>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</si>
  <si>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</si>
  <si>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</si>
  <si>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</si>
  <si>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</si>
  <si>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</si>
  <si>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</si>
  <si>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</si>
  <si>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</si>
  <si>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</si>
  <si>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</si>
  <si>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</si>
  <si>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</si>
  <si>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</si>
  <si>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</si>
  <si>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</si>
  <si>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</si>
  <si>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</si>
  <si>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</si>
  <si>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</si>
  <si>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</si>
  <si>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</si>
  <si>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</si>
  <si>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</si>
  <si>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</si>
  <si>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</si>
  <si>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</si>
  <si>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</si>
  <si>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</si>
  <si>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</si>
  <si>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</si>
  <si>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</si>
  <si>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</si>
  <si>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</si>
  <si>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</si>
  <si>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</si>
  <si>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</si>
  <si>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</si>
  <si>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</si>
  <si>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</si>
  <si>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</si>
  <si>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</si>
  <si>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</si>
  <si>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</si>
  <si>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</si>
  <si>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</si>
  <si>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</si>
  <si>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</si>
  <si>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</si>
  <si>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</si>
  <si>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</si>
  <si>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</si>
  <si>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</si>
  <si>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</si>
  <si>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</si>
  <si>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</si>
  <si>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</si>
  <si>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</si>
  <si>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</si>
  <si>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</si>
  <si>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</si>
  <si>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</si>
  <si>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</si>
  <si>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</si>
  <si>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</si>
  <si>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</si>
  <si>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</si>
  <si>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</si>
  <si>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</si>
  <si>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</si>
  <si>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</si>
  <si>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</si>
  <si>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</si>
  <si>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</si>
  <si>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</si>
  <si>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</si>
  <si>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</si>
  <si>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</si>
  <si>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</si>
  <si>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</si>
  <si>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</si>
  <si>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</si>
  <si>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</si>
  <si>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</si>
  <si>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</si>
  <si>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</si>
  <si>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</si>
  <si>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</si>
  <si>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</si>
  <si>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</si>
  <si>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</si>
  <si>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</si>
  <si>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</si>
  <si>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</si>
  <si>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</si>
  <si>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</si>
  <si>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</si>
  <si>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</si>
  <si>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</si>
  <si>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</si>
  <si>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</si>
  <si>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</si>
  <si>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</si>
  <si>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</si>
  <si>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</si>
  <si>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</si>
  <si>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</si>
  <si>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</si>
  <si>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</si>
  <si>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</si>
  <si>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</si>
  <si>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</si>
  <si>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</si>
  <si>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</si>
  <si>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</si>
  <si>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</si>
  <si>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</si>
  <si>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</si>
  <si>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</si>
  <si>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</si>
  <si>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</si>
  <si>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</si>
  <si>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</si>
  <si>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</si>
  <si>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</si>
  <si>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</si>
  <si>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</si>
  <si>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</si>
  <si>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</si>
  <si>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</si>
  <si>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</si>
  <si>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</si>
  <si>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</si>
  <si>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</si>
  <si>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</si>
  <si>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</si>
  <si>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</si>
  <si>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</si>
  <si>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</si>
  <si>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</si>
  <si>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</si>
  <si>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</si>
  <si>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</si>
  <si>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</si>
  <si>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</si>
  <si>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</si>
  <si>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</si>
  <si>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</si>
  <si>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</si>
  <si>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</si>
  <si>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</si>
  <si>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</si>
  <si>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</si>
  <si>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</si>
  <si>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</si>
  <si>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</si>
  <si>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</si>
  <si>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</si>
  <si>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</si>
  <si>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</si>
  <si>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</si>
  <si>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</si>
  <si>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</si>
  <si>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</si>
  <si>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</si>
  <si>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</si>
  <si>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</si>
  <si>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</si>
  <si>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</si>
  <si>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</si>
  <si>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</si>
  <si>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</si>
  <si>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</si>
  <si>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</si>
  <si>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</si>
  <si>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</si>
  <si>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</si>
  <si>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</si>
  <si>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</si>
  <si>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</si>
  <si>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</si>
  <si>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</si>
  <si>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</si>
  <si>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</si>
  <si>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</si>
  <si>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</si>
  <si>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</si>
  <si>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</si>
  <si>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</si>
  <si>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</si>
  <si>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</si>
  <si>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</si>
  <si>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</si>
  <si>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</si>
  <si>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</si>
  <si>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</si>
  <si>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</si>
  <si>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</si>
  <si>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</si>
  <si>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</si>
  <si>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</si>
  <si>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</si>
  <si>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</si>
  <si>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</si>
  <si>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</si>
  <si>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</si>
  <si>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</si>
  <si>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</si>
  <si>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</si>
  <si>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</si>
  <si>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</si>
  <si>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</si>
  <si>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</si>
  <si>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</si>
  <si>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</si>
  <si>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</si>
  <si>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</si>
  <si>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</si>
  <si>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</si>
  <si>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</si>
  <si>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</si>
  <si>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</si>
  <si>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</si>
  <si>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</si>
  <si>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</si>
  <si>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</si>
  <si>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</si>
  <si>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</si>
  <si>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</si>
  <si>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</si>
  <si>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</si>
  <si>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</si>
  <si>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</si>
  <si>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</si>
  <si>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</si>
  <si>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</si>
  <si>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</si>
  <si>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</si>
  <si>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</si>
  <si>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</si>
  <si>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</si>
  <si>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</si>
  <si>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</si>
  <si>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</si>
  <si>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</si>
  <si>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</si>
  <si>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</si>
  <si>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</si>
  <si>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</si>
  <si>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</si>
  <si>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</si>
  <si>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</si>
  <si>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</si>
  <si>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</si>
  <si>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</si>
  <si>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</si>
  <si>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</si>
  <si>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</si>
  <si>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</si>
  <si>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</si>
  <si>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</si>
  <si>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</si>
  <si>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</si>
  <si>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</si>
  <si>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</si>
  <si>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</si>
  <si>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</si>
  <si>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</si>
  <si>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</si>
  <si>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</si>
  <si>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</si>
  <si>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</si>
  <si>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</si>
  <si>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</si>
  <si>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</si>
  <si>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</si>
  <si>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</si>
  <si>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</si>
  <si>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</si>
  <si>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</si>
  <si>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</si>
  <si>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</si>
  <si>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</si>
  <si>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</si>
  <si>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</si>
  <si>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</si>
  <si>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</si>
  <si>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</si>
  <si>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</si>
  <si>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</si>
  <si>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</si>
  <si>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</si>
  <si>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</si>
  <si>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</si>
  <si>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</si>
  <si>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</si>
  <si>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</si>
  <si>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</si>
  <si>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</si>
  <si>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</si>
  <si>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</si>
  <si>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</si>
  <si>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</si>
  <si>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</si>
  <si>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13023</t>
  </si>
  <si>
    <t>MERKSPLAS</t>
  </si>
  <si>
    <t>Mestbank (maart 2019)</t>
  </si>
  <si>
    <t>Fluvius (februari 2019)</t>
  </si>
  <si>
    <t>referentietaak LNE (2017); Jaarverslag De Lijn (2018)</t>
  </si>
  <si>
    <t>VEA (30 april 2019)</t>
  </si>
  <si>
    <t>VEA (mei 2018)</t>
  </si>
  <si>
    <t>VEA (mei 2019)</t>
  </si>
  <si>
    <t>Groeikracht Merksplas nv</t>
  </si>
  <si>
    <t>Horst 8, 2330 Merksplas</t>
  </si>
  <si>
    <t>WKK-0012a Groeikracht Merksplas</t>
  </si>
  <si>
    <t>interne verbrandingsmotor</t>
  </si>
  <si>
    <t>WKK interne verbrandinsgmotor (gas)</t>
  </si>
  <si>
    <t>IVEG</t>
  </si>
  <si>
    <t>Groeikracht De Markvallei nv</t>
  </si>
  <si>
    <t>Horst 12,, 2330 Merksplas</t>
  </si>
  <si>
    <t>WKK-0034a Groeikracht de Markvallei</t>
  </si>
  <si>
    <t>BVBA De Groentuin</t>
  </si>
  <si>
    <t>Koekhoven 41 A, 2330 Merksplas</t>
  </si>
  <si>
    <t>WKK-0052 De Groentuin</t>
  </si>
  <si>
    <t>Koekhoven 31, 2330 Merksplas</t>
  </si>
  <si>
    <t>Groeikracht Marvado NV</t>
  </si>
  <si>
    <t>Geheul 13, 2330 Merksplas</t>
  </si>
  <si>
    <t>WKK-0071 Groeikracht Marvado</t>
  </si>
  <si>
    <t>Kurt Dielis FV</t>
  </si>
  <si>
    <t>Koekhoven 59, 2330 Merksplas</t>
  </si>
  <si>
    <t>WKK-0126 Kurt Dielis</t>
  </si>
  <si>
    <t>Lauwerysen-Krijnen bvba</t>
  </si>
  <si>
    <t>Koekhoven 37, 2330 Merksplas</t>
  </si>
  <si>
    <t>WKK-0131 Lauwerysen-Krijnen</t>
  </si>
  <si>
    <t>Den Berk bvba</t>
  </si>
  <si>
    <t>Berkelaar 10 , 2330 Merksplas</t>
  </si>
  <si>
    <t>WKK-0243 Den Berk</t>
  </si>
  <si>
    <t>Hortipower bvba</t>
  </si>
  <si>
    <t>Berkelaar 7 , 2330 Merksplas</t>
  </si>
  <si>
    <t>WKK-0294 Hortipower</t>
  </si>
  <si>
    <t>Quirijnen Energy Farming BVBA</t>
  </si>
  <si>
    <t>Koekhoven 38 1, 2330 Merksplas</t>
  </si>
  <si>
    <t>WKK-0196 Quirijnen Energy Farming</t>
  </si>
  <si>
    <t>Koekhoven 44a , 2330 Merksplas</t>
  </si>
  <si>
    <t>Hegro.Di bvba</t>
  </si>
  <si>
    <t>Koekhoven 38 , 2330 Merksplas</t>
  </si>
  <si>
    <t>WKK-0568 HegroDi</t>
  </si>
  <si>
    <t>Geri Comm.V</t>
  </si>
  <si>
    <t>Steenweg op Turnhout 218 , 2330 Merksplas</t>
  </si>
  <si>
    <t>WKK-0606 Geri</t>
  </si>
  <si>
    <t>WKK-0667 Lauwerysen-Krijnen II</t>
  </si>
  <si>
    <t>Koekhoven 37 , 2330 Merksplas</t>
  </si>
  <si>
    <t>De Groentuin II</t>
  </si>
  <si>
    <t>WKK-0654 De groentuin II</t>
  </si>
  <si>
    <t>Koekhoven 41 / a, 2330 Merksplas, BE</t>
  </si>
  <si>
    <t>IVEG (via INFRAX)</t>
  </si>
  <si>
    <t>Dielis B</t>
  </si>
  <si>
    <t>WKK-0692</t>
  </si>
  <si>
    <t>Interne verbrandingsmotor</t>
  </si>
  <si>
    <t>Koekhoven  59</t>
  </si>
  <si>
    <t>EBEM BVBA</t>
  </si>
  <si>
    <t>Industrieweg 3-5 , 2330 Merksplas</t>
  </si>
  <si>
    <t>BGS-0025 IOK Merksplas-Beerse (GSC rest)</t>
  </si>
  <si>
    <t>biogas - stortgas</t>
  </si>
  <si>
    <t>niet WKK interne verbrandingsmotor (gas)</t>
  </si>
  <si>
    <t>Moerstraat - , 2330 Merksplas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</si>
</sst>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82092.087691833338</c:v>
                </c:pt>
                <c:pt idx="1">
                  <c:v>34184.472951308911</c:v>
                </c:pt>
                <c:pt idx="2">
                  <c:v>472.13400000000001</c:v>
                </c:pt>
                <c:pt idx="3">
                  <c:v>453719.28144572786</c:v>
                </c:pt>
                <c:pt idx="4">
                  <c:v>7725.9905967095501</c:v>
                </c:pt>
                <c:pt idx="5">
                  <c:v>44428.21833404497</c:v>
                </c:pt>
                <c:pt idx="6">
                  <c:v>840.31412081889073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57760"/>
        <c:axId val="181959296"/>
      </c:barChart>
      <c:catAx>
        <c:axId val="181957760"/>
        <c:scaling>
          <c:orientation val="minMax"/>
        </c:scaling>
        <c:axPos val="b"/>
        <c:numFmt formatCode="General" sourceLinked="0"/>
        <c:tickLblPos val="nextTo"/>
        <c:crossAx val="181959296"/>
        <c:crosses val="autoZero"/>
        <c:auto val="1"/>
        <c:lblAlgn val="ctr"/>
        <c:lblOffset val="100"/>
      </c:catAx>
      <c:valAx>
        <c:axId val="181959296"/>
        <c:scaling>
          <c:orientation val="minMax"/>
        </c:scaling>
        <c:axPos val="l"/>
        <c:majorGridlines/>
        <c:numFmt formatCode="#,##0" sourceLinked="1"/>
        <c:tickLblPos val="nextTo"/>
        <c:crossAx val="1819577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82092.087691833338</c:v>
                </c:pt>
                <c:pt idx="1">
                  <c:v>34184.472951308911</c:v>
                </c:pt>
                <c:pt idx="2">
                  <c:v>472.13400000000001</c:v>
                </c:pt>
                <c:pt idx="3">
                  <c:v>453719.28144572786</c:v>
                </c:pt>
                <c:pt idx="4">
                  <c:v>7725.9905967095501</c:v>
                </c:pt>
                <c:pt idx="5">
                  <c:v>44428.21833404497</c:v>
                </c:pt>
                <c:pt idx="6">
                  <c:v>840.31412081889073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12482.769505179451</c:v>
                </c:pt>
                <c:pt idx="1">
                  <c:v>6997.5288582626836</c:v>
                </c:pt>
                <c:pt idx="2">
                  <c:v>95.103844598928035</c:v>
                </c:pt>
                <c:pt idx="3">
                  <c:v>96767.520538437093</c:v>
                </c:pt>
                <c:pt idx="4">
                  <c:v>1600.6731236782628</c:v>
                </c:pt>
                <c:pt idx="5">
                  <c:v>11035.055647012994</c:v>
                </c:pt>
                <c:pt idx="6">
                  <c:v>212.55030101105075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12482.769505179451</c:v>
                </c:pt>
                <c:pt idx="1">
                  <c:v>6997.5288582626836</c:v>
                </c:pt>
                <c:pt idx="2">
                  <c:v>95.103844598928035</c:v>
                </c:pt>
                <c:pt idx="3">
                  <c:v>96767.520538437093</c:v>
                </c:pt>
                <c:pt idx="4">
                  <c:v>1600.6731236782628</c:v>
                </c:pt>
                <c:pt idx="5">
                  <c:v>11035.055647012994</c:v>
                </c:pt>
                <c:pt idx="6">
                  <c:v>212.55030101105075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13023</v>
      </c>
      <c r="B6" s="415"/>
      <c r="C6" s="416"/>
    </row>
    <row r="7" spans="1:7" s="413" customFormat="1" ht="15.75" customHeight="1">
      <c r="A7" s="417" t="str">
        <f>txtMunicipality</f>
        <v>MERKSPLAS</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14709.636738000001</v>
      </c>
      <c r="D10" s="712">
        <f ca="1">tertiair!C16</f>
        <v>0</v>
      </c>
      <c r="E10" s="712">
        <f ca="1">tertiair!D16</f>
        <v>18267.515929410001</v>
      </c>
      <c r="F10" s="712">
        <f>tertiair!E16</f>
        <v>123.08949676957894</v>
      </c>
      <c r="G10" s="712">
        <f ca="1">tertiair!F16</f>
        <v>1541.6112581715092</v>
      </c>
      <c r="H10" s="712">
        <f>tertiair!G16</f>
        <v>0</v>
      </c>
      <c r="I10" s="712">
        <f>tertiair!H16</f>
        <v>0</v>
      </c>
      <c r="J10" s="712">
        <f>tertiair!I16</f>
        <v>0</v>
      </c>
      <c r="K10" s="712">
        <f>tertiair!J16</f>
        <v>6.1746660303304939E-2</v>
      </c>
      <c r="L10" s="712">
        <f>tertiair!K16</f>
        <v>0</v>
      </c>
      <c r="M10" s="712">
        <f ca="1">tertiair!L16</f>
        <v>0</v>
      </c>
      <c r="N10" s="712">
        <f>tertiair!M16</f>
        <v>0</v>
      </c>
      <c r="O10" s="712">
        <f ca="1">tertiair!N16</f>
        <v>0</v>
      </c>
      <c r="P10" s="712">
        <f>tertiair!O16</f>
        <v>14.691782297523464</v>
      </c>
      <c r="Q10" s="713">
        <f>tertiair!P16</f>
        <v>0</v>
      </c>
      <c r="R10" s="715">
        <f ca="1">SUM(C10:Q10)</f>
        <v>34656.60695130891</v>
      </c>
      <c r="S10" s="67"/>
    </row>
    <row r="11" spans="1:19" s="474" customFormat="1">
      <c r="A11" s="834" t="s">
        <v>224</v>
      </c>
      <c r="B11" s="839"/>
      <c r="C11" s="712">
        <f>huishoudens!B8</f>
        <v>13960.250799647689</v>
      </c>
      <c r="D11" s="712">
        <f>huishoudens!C8</f>
        <v>0</v>
      </c>
      <c r="E11" s="712">
        <f>huishoudens!D8</f>
        <v>37637.144617819999</v>
      </c>
      <c r="F11" s="712">
        <f>huishoudens!E8</f>
        <v>9110.1189490452325</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21020.51518806316</v>
      </c>
      <c r="P11" s="712">
        <f>huishoudens!O8</f>
        <v>142.84499179586629</v>
      </c>
      <c r="Q11" s="713">
        <f>huishoudens!P8</f>
        <v>221.21314546138547</v>
      </c>
      <c r="R11" s="715">
        <f>SUM(C11:Q11)</f>
        <v>82092.087691833338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3491.8089500000001</v>
      </c>
      <c r="D13" s="712">
        <f>industrie!C18</f>
        <v>0</v>
      </c>
      <c r="E13" s="712">
        <f>industrie!D18</f>
        <v>2605.3802908319999</v>
      </c>
      <c r="F13" s="712">
        <f>industrie!E18</f>
        <v>327.89077603375034</v>
      </c>
      <c r="G13" s="712">
        <f>industrie!F18</f>
        <v>1109.6810692202769</v>
      </c>
      <c r="H13" s="712">
        <f>industrie!G18</f>
        <v>0</v>
      </c>
      <c r="I13" s="712">
        <f>industrie!H18</f>
        <v>0</v>
      </c>
      <c r="J13" s="712">
        <f>industrie!I18</f>
        <v>0</v>
      </c>
      <c r="K13" s="712">
        <f>industrie!J18</f>
        <v>0.85078077800428031</v>
      </c>
      <c r="L13" s="712">
        <f>industrie!K18</f>
        <v>0</v>
      </c>
      <c r="M13" s="712">
        <f>industrie!L18</f>
        <v>0</v>
      </c>
      <c r="N13" s="712">
        <f>industrie!M18</f>
        <v>0</v>
      </c>
      <c r="O13" s="712">
        <f>industrie!N18</f>
        <v>190.37872984551819</v>
      </c>
      <c r="P13" s="712">
        <f>industrie!O18</f>
        <v>0</v>
      </c>
      <c r="Q13" s="713">
        <f>industrie!P18</f>
        <v>0</v>
      </c>
      <c r="R13" s="715">
        <f>SUM(C13:Q13)</f>
        <v>7725.9905967095501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32161.696487647689</v>
      </c>
      <c r="D16" s="748">
        <f t="shared" ref="D16:R16" ca="1" si="0">SUM(D9:D15)</f>
        <v>0</v>
      </c>
      <c r="E16" s="748">
        <f t="shared" ca="1" si="0"/>
        <v>58510.040838061999</v>
      </c>
      <c r="F16" s="748">
        <f t="shared" si="0"/>
        <v>9561.0992218485608</v>
      </c>
      <c r="G16" s="748">
        <f t="shared" ca="1" si="0"/>
        <v>2651.2923273917859</v>
      </c>
      <c r="H16" s="748">
        <f t="shared" si="0"/>
        <v>0</v>
      </c>
      <c r="I16" s="748">
        <f t="shared" si="0"/>
        <v>0</v>
      </c>
      <c r="J16" s="748">
        <f t="shared" si="0"/>
        <v>0</v>
      </c>
      <c r="K16" s="748">
        <f t="shared" si="0"/>
        <v>0.9125274383075852</v>
      </c>
      <c r="L16" s="748">
        <f t="shared" si="0"/>
        <v>0</v>
      </c>
      <c r="M16" s="748">
        <f t="shared" ca="1" si="0"/>
        <v>0</v>
      </c>
      <c r="N16" s="748">
        <f t="shared" si="0"/>
        <v>0</v>
      </c>
      <c r="O16" s="748">
        <f t="shared" ca="1" si="0"/>
        <v>21210.893917908677</v>
      </c>
      <c r="P16" s="748">
        <f t="shared" si="0"/>
        <v>157.53677409338977</v>
      </c>
      <c r="Q16" s="748">
        <f t="shared" si="0"/>
        <v>221.21314546138547</v>
      </c>
      <c r="R16" s="748">
        <f t="shared" ca="1" si="0"/>
        <v>124474.68523985181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796.06854311254961</v>
      </c>
      <c r="I19" s="712">
        <f>transport!H54</f>
        <v>0</v>
      </c>
      <c r="J19" s="712">
        <f>transport!I54</f>
        <v>0</v>
      </c>
      <c r="K19" s="712">
        <f>transport!J54</f>
        <v>0</v>
      </c>
      <c r="L19" s="712">
        <f>transport!K54</f>
        <v>0</v>
      </c>
      <c r="M19" s="712">
        <f>transport!L54</f>
        <v>0</v>
      </c>
      <c r="N19" s="712">
        <f>transport!M54</f>
        <v>44.245577706341123</v>
      </c>
      <c r="O19" s="712">
        <f>transport!N54</f>
        <v>0</v>
      </c>
      <c r="P19" s="712">
        <f>transport!O54</f>
        <v>0</v>
      </c>
      <c r="Q19" s="713">
        <f>transport!P54</f>
        <v>0</v>
      </c>
      <c r="R19" s="715">
        <f>SUM(C19:Q19)</f>
        <v>840.31412081889073</v>
      </c>
      <c r="S19" s="67"/>
    </row>
    <row r="20" spans="1:19" s="474" customFormat="1">
      <c r="A20" s="834" t="s">
        <v>306</v>
      </c>
      <c r="B20" s="839"/>
      <c r="C20" s="712">
        <f>transport!B14</f>
        <v>29.430580318055554</v>
      </c>
      <c r="D20" s="712">
        <f>transport!C14</f>
        <v>0</v>
      </c>
      <c r="E20" s="712">
        <f>transport!D14</f>
        <v>114.43282777387999</v>
      </c>
      <c r="F20" s="712">
        <f>transport!E14</f>
        <v>88.555918277715278</v>
      </c>
      <c r="G20" s="712">
        <f>transport!F14</f>
        <v>0</v>
      </c>
      <c r="H20" s="712">
        <f>transport!G14</f>
        <v>33184.549563564979</v>
      </c>
      <c r="I20" s="712">
        <f>transport!H14</f>
        <v>8536.6866228475556</v>
      </c>
      <c r="J20" s="712">
        <f>transport!I14</f>
        <v>0</v>
      </c>
      <c r="K20" s="712">
        <f>transport!J14</f>
        <v>0</v>
      </c>
      <c r="L20" s="712">
        <f>transport!K14</f>
        <v>0</v>
      </c>
      <c r="M20" s="712">
        <f>transport!L14</f>
        <v>0</v>
      </c>
      <c r="N20" s="712">
        <f>transport!M14</f>
        <v>2474.562821262783</v>
      </c>
      <c r="O20" s="712">
        <f>transport!N14</f>
        <v>0</v>
      </c>
      <c r="P20" s="712">
        <f>transport!O14</f>
        <v>0</v>
      </c>
      <c r="Q20" s="713">
        <f>transport!P14</f>
        <v>0</v>
      </c>
      <c r="R20" s="715">
        <f>SUM(C20:Q20)</f>
        <v>44428.21833404497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29.430580318055554</v>
      </c>
      <c r="D22" s="837">
        <f t="shared" ref="D22:R22" si="1">SUM(D18:D21)</f>
        <v>0</v>
      </c>
      <c r="E22" s="837">
        <f t="shared" si="1"/>
        <v>114.43282777387999</v>
      </c>
      <c r="F22" s="837">
        <f t="shared" si="1"/>
        <v>88.555918277715278</v>
      </c>
      <c r="G22" s="837">
        <f t="shared" si="1"/>
        <v>0</v>
      </c>
      <c r="H22" s="837">
        <f t="shared" si="1"/>
        <v>33980.618106677532</v>
      </c>
      <c r="I22" s="837">
        <f t="shared" si="1"/>
        <v>8536.6866228475556</v>
      </c>
      <c r="J22" s="837">
        <f t="shared" si="1"/>
        <v>0</v>
      </c>
      <c r="K22" s="837">
        <f t="shared" si="1"/>
        <v>0</v>
      </c>
      <c r="L22" s="837">
        <f t="shared" si="1"/>
        <v>0</v>
      </c>
      <c r="M22" s="837">
        <f t="shared" si="1"/>
        <v>0</v>
      </c>
      <c r="N22" s="837">
        <f t="shared" si="1"/>
        <v>2518.808398969124</v>
      </c>
      <c r="O22" s="837">
        <f t="shared" si="1"/>
        <v>0</v>
      </c>
      <c r="P22" s="837">
        <f t="shared" si="1"/>
        <v>0</v>
      </c>
      <c r="Q22" s="837">
        <f t="shared" si="1"/>
        <v>0</v>
      </c>
      <c r="R22" s="837">
        <f t="shared" si="1"/>
        <v>45268.53245486386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13635.610893999999</v>
      </c>
      <c r="D24" s="712">
        <f>+landbouw!C8</f>
        <v>387711.64285714284</v>
      </c>
      <c r="E24" s="712">
        <f>+landbouw!D8</f>
        <v>0</v>
      </c>
      <c r="F24" s="712">
        <f>+landbouw!E8</f>
        <v>425.56291953198706</v>
      </c>
      <c r="G24" s="712">
        <f>+landbouw!F8</f>
        <v>48189.759411623258</v>
      </c>
      <c r="H24" s="712">
        <f>+landbouw!G8</f>
        <v>0</v>
      </c>
      <c r="I24" s="712">
        <f>+landbouw!H8</f>
        <v>0</v>
      </c>
      <c r="J24" s="712">
        <f>+landbouw!I8</f>
        <v>0</v>
      </c>
      <c r="K24" s="712">
        <f>+landbouw!J8</f>
        <v>3756.7053634298127</v>
      </c>
      <c r="L24" s="712">
        <f>+landbouw!K8</f>
        <v>0</v>
      </c>
      <c r="M24" s="712">
        <f>+landbouw!L8</f>
        <v>0</v>
      </c>
      <c r="N24" s="712">
        <f>+landbouw!M8</f>
        <v>0</v>
      </c>
      <c r="O24" s="712">
        <f>+landbouw!N8</f>
        <v>0</v>
      </c>
      <c r="P24" s="712">
        <f>+landbouw!O8</f>
        <v>0</v>
      </c>
      <c r="Q24" s="713">
        <f>+landbouw!P8</f>
        <v>0</v>
      </c>
      <c r="R24" s="715">
        <f>SUM(C24:Q24)</f>
        <v>453719.28144572786</v>
      </c>
      <c r="S24" s="67"/>
    </row>
    <row r="25" spans="1:19" s="474" customFormat="1" ht="15" thickBot="1">
      <c r="A25" s="856" t="s">
        <v>734</v>
      </c>
      <c r="B25" s="982"/>
      <c r="C25" s="983">
        <f>IF(Onbekend_ele_kWh="---",0,Onbekend_ele_kWh)/1000+IF(REST_rest_ele_kWh="---",0,REST_rest_ele_kWh)/1000</f>
        <v>677.13834999999995</v>
      </c>
      <c r="D25" s="983"/>
      <c r="E25" s="983">
        <f>IF(onbekend_gas_kWh="---",0,onbekend_gas_kWh)/1000+IF(REST_rest_gas_kWh="---",0,REST_rest_gas_kWh)/1000</f>
        <v>165.00190700000002</v>
      </c>
      <c r="F25" s="983"/>
      <c r="G25" s="983"/>
      <c r="H25" s="983"/>
      <c r="I25" s="983"/>
      <c r="J25" s="983"/>
      <c r="K25" s="983"/>
      <c r="L25" s="983"/>
      <c r="M25" s="983"/>
      <c r="N25" s="983"/>
      <c r="O25" s="983"/>
      <c r="P25" s="983"/>
      <c r="Q25" s="984"/>
      <c r="R25" s="715">
        <f>SUM(C25:Q25)</f>
        <v>842.14025700000002</v>
      </c>
      <c r="S25" s="67"/>
    </row>
    <row r="26" spans="1:19" s="474" customFormat="1" ht="15.75" thickBot="1">
      <c r="A26" s="720" t="s">
        <v>735</v>
      </c>
      <c r="B26" s="842"/>
      <c r="C26" s="837">
        <f>SUM(C24:C25)</f>
        <v>14312.749243999999</v>
      </c>
      <c r="D26" s="837">
        <f t="shared" ref="D26:R26" si="2">SUM(D24:D25)</f>
        <v>387711.64285714284</v>
      </c>
      <c r="E26" s="837">
        <f t="shared" si="2"/>
        <v>165.00190700000002</v>
      </c>
      <c r="F26" s="837">
        <f t="shared" si="2"/>
        <v>425.56291953198706</v>
      </c>
      <c r="G26" s="837">
        <f t="shared" si="2"/>
        <v>48189.759411623258</v>
      </c>
      <c r="H26" s="837">
        <f t="shared" si="2"/>
        <v>0</v>
      </c>
      <c r="I26" s="837">
        <f t="shared" si="2"/>
        <v>0</v>
      </c>
      <c r="J26" s="837">
        <f t="shared" si="2"/>
        <v>0</v>
      </c>
      <c r="K26" s="837">
        <f t="shared" si="2"/>
        <v>3756.7053634298127</v>
      </c>
      <c r="L26" s="837">
        <f t="shared" si="2"/>
        <v>0</v>
      </c>
      <c r="M26" s="837">
        <f t="shared" si="2"/>
        <v>0</v>
      </c>
      <c r="N26" s="837">
        <f t="shared" si="2"/>
        <v>0</v>
      </c>
      <c r="O26" s="837">
        <f t="shared" si="2"/>
        <v>0</v>
      </c>
      <c r="P26" s="837">
        <f t="shared" si="2"/>
        <v>0</v>
      </c>
      <c r="Q26" s="837">
        <f t="shared" si="2"/>
        <v>0</v>
      </c>
      <c r="R26" s="837">
        <f t="shared" si="2"/>
        <v>454561.42170272785</v>
      </c>
      <c r="S26" s="67"/>
    </row>
    <row r="27" spans="1:19" s="474" customFormat="1" ht="17.25" thickTop="1" thickBot="1">
      <c r="A27" s="721" t="s">
        <v>115</v>
      </c>
      <c r="B27" s="829"/>
      <c r="C27" s="722">
        <f ca="1">C22+C16+C26</f>
        <v>46503.876311965738</v>
      </c>
      <c r="D27" s="722">
        <f t="shared" ref="D27:R27" ca="1" si="3">D22+D16+D26</f>
        <v>387711.64285714284</v>
      </c>
      <c r="E27" s="722">
        <f t="shared" ca="1" si="3"/>
        <v>58789.47557283588</v>
      </c>
      <c r="F27" s="722">
        <f t="shared" si="3"/>
        <v>10075.218059658264</v>
      </c>
      <c r="G27" s="722">
        <f t="shared" ca="1" si="3"/>
        <v>50841.051739015042</v>
      </c>
      <c r="H27" s="722">
        <f t="shared" si="3"/>
        <v>33980.618106677532</v>
      </c>
      <c r="I27" s="722">
        <f t="shared" si="3"/>
        <v>8536.6866228475556</v>
      </c>
      <c r="J27" s="722">
        <f t="shared" si="3"/>
        <v>0</v>
      </c>
      <c r="K27" s="722">
        <f t="shared" si="3"/>
        <v>3757.6178908681204</v>
      </c>
      <c r="L27" s="722">
        <f t="shared" si="3"/>
        <v>0</v>
      </c>
      <c r="M27" s="722">
        <f t="shared" ca="1" si="3"/>
        <v>0</v>
      </c>
      <c r="N27" s="722">
        <f t="shared" si="3"/>
        <v>2518.808398969124</v>
      </c>
      <c r="O27" s="722">
        <f t="shared" ca="1" si="3"/>
        <v>21210.893917908677</v>
      </c>
      <c r="P27" s="722">
        <f t="shared" si="3"/>
        <v>157.53677409338977</v>
      </c>
      <c r="Q27" s="722">
        <f t="shared" si="3"/>
        <v>221.21314546138547</v>
      </c>
      <c r="R27" s="722">
        <f t="shared" ca="1" si="3"/>
        <v>624304.63939744351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2963.0211051045562</v>
      </c>
      <c r="D40" s="712">
        <f ca="1">tertiair!C20</f>
        <v>0</v>
      </c>
      <c r="E40" s="712">
        <f ca="1">tertiair!D20</f>
        <v>3690.0382177408205</v>
      </c>
      <c r="F40" s="712">
        <f>tertiair!E20</f>
        <v>27.941315766694419</v>
      </c>
      <c r="G40" s="712">
        <f ca="1">tertiair!F20</f>
        <v>411.61020593179296</v>
      </c>
      <c r="H40" s="712">
        <f>tertiair!G20</f>
        <v>0</v>
      </c>
      <c r="I40" s="712">
        <f>tertiair!H20</f>
        <v>0</v>
      </c>
      <c r="J40" s="712">
        <f>tertiair!I20</f>
        <v>0</v>
      </c>
      <c r="K40" s="712">
        <f>tertiair!J20</f>
        <v>2.1858317747369946E-2</v>
      </c>
      <c r="L40" s="712">
        <f>tertiair!K20</f>
        <v>0</v>
      </c>
      <c r="M40" s="712">
        <f ca="1">tertiair!L20</f>
        <v>0</v>
      </c>
      <c r="N40" s="712">
        <f>tertiair!M20</f>
        <v>0</v>
      </c>
      <c r="O40" s="712">
        <f ca="1">tertiair!N20</f>
        <v>0</v>
      </c>
      <c r="P40" s="712">
        <f>tertiair!O20</f>
        <v>0</v>
      </c>
      <c r="Q40" s="795">
        <f>tertiair!P20</f>
        <v>0</v>
      </c>
      <c r="R40" s="875">
        <f t="shared" ca="1" si="4"/>
        <v>7092.6327028616106</v>
      </c>
    </row>
    <row r="41" spans="1:18">
      <c r="A41" s="847" t="s">
        <v>224</v>
      </c>
      <c r="B41" s="854"/>
      <c r="C41" s="712">
        <f ca="1">huishoudens!B12</f>
        <v>2812.0692909465415</v>
      </c>
      <c r="D41" s="712">
        <f ca="1">huishoudens!C12</f>
        <v>0</v>
      </c>
      <c r="E41" s="712">
        <f>huishoudens!D12</f>
        <v>7602.7032127996399</v>
      </c>
      <c r="F41" s="712">
        <f>huishoudens!E12</f>
        <v>2067.997001433268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12482.769505179451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703.36907689331008</v>
      </c>
      <c r="D43" s="712">
        <f ca="1">industrie!C22</f>
        <v>0</v>
      </c>
      <c r="E43" s="712">
        <f>industrie!D22</f>
        <v>526.28681874806398</v>
      </c>
      <c r="F43" s="712">
        <f>industrie!E22</f>
        <v>74.431206159661329</v>
      </c>
      <c r="G43" s="712">
        <f>industrie!F22</f>
        <v>296.28484548181393</v>
      </c>
      <c r="H43" s="712">
        <f>industrie!G22</f>
        <v>0</v>
      </c>
      <c r="I43" s="712">
        <f>industrie!H22</f>
        <v>0</v>
      </c>
      <c r="J43" s="712">
        <f>industrie!I22</f>
        <v>0</v>
      </c>
      <c r="K43" s="712">
        <f>industrie!J22</f>
        <v>0.30117639541351521</v>
      </c>
      <c r="L43" s="712">
        <f>industrie!K22</f>
        <v>0</v>
      </c>
      <c r="M43" s="712">
        <f>industrie!L22</f>
        <v>0</v>
      </c>
      <c r="N43" s="712">
        <f>industrie!M22</f>
        <v>0</v>
      </c>
      <c r="O43" s="712">
        <f>industrie!N22</f>
        <v>0</v>
      </c>
      <c r="P43" s="712">
        <f>industrie!O22</f>
        <v>0</v>
      </c>
      <c r="Q43" s="795">
        <f>industrie!P22</f>
        <v>0</v>
      </c>
      <c r="R43" s="874">
        <f t="shared" ca="1" si="4"/>
        <v>1600.6731236782628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6478.4594729444079</v>
      </c>
      <c r="D46" s="748">
        <f t="shared" ref="D46:Q46" ca="1" si="5">SUM(D39:D45)</f>
        <v>0</v>
      </c>
      <c r="E46" s="748">
        <f t="shared" ca="1" si="5"/>
        <v>11819.028249288524</v>
      </c>
      <c r="F46" s="748">
        <f t="shared" si="5"/>
        <v>2170.3695233596241</v>
      </c>
      <c r="G46" s="748">
        <f t="shared" ca="1" si="5"/>
        <v>707.89505141360689</v>
      </c>
      <c r="H46" s="748">
        <f t="shared" si="5"/>
        <v>0</v>
      </c>
      <c r="I46" s="748">
        <f t="shared" si="5"/>
        <v>0</v>
      </c>
      <c r="J46" s="748">
        <f t="shared" si="5"/>
        <v>0</v>
      </c>
      <c r="K46" s="748">
        <f t="shared" si="5"/>
        <v>0.32303471316088517</v>
      </c>
      <c r="L46" s="748">
        <f t="shared" si="5"/>
        <v>0</v>
      </c>
      <c r="M46" s="748">
        <f t="shared" ca="1" si="5"/>
        <v>0</v>
      </c>
      <c r="N46" s="748">
        <f t="shared" si="5"/>
        <v>0</v>
      </c>
      <c r="O46" s="748">
        <f t="shared" ca="1" si="5"/>
        <v>0</v>
      </c>
      <c r="P46" s="748">
        <f t="shared" si="5"/>
        <v>0</v>
      </c>
      <c r="Q46" s="748">
        <f t="shared" si="5"/>
        <v>0</v>
      </c>
      <c r="R46" s="748">
        <f ca="1">SUM(R39:R45)</f>
        <v>21176.075331719323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212.55030101105075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212.55030101105075</v>
      </c>
    </row>
    <row r="50" spans="1:18">
      <c r="A50" s="850" t="s">
        <v>306</v>
      </c>
      <c r="B50" s="860"/>
      <c r="C50" s="718">
        <f ca="1">transport!B18</f>
        <v>5.9283197927381321</v>
      </c>
      <c r="D50" s="718">
        <f>transport!C18</f>
        <v>0</v>
      </c>
      <c r="E50" s="718">
        <f>transport!D18</f>
        <v>23.115431210323759</v>
      </c>
      <c r="F50" s="718">
        <f>transport!E18</f>
        <v>20.102193449041369</v>
      </c>
      <c r="G50" s="718">
        <f>transport!F18</f>
        <v>0</v>
      </c>
      <c r="H50" s="718">
        <f>transport!G18</f>
        <v>8860.2747334718497</v>
      </c>
      <c r="I50" s="718">
        <f>transport!H18</f>
        <v>2125.6349690890415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11035.055647012994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5.9283197927381321</v>
      </c>
      <c r="D52" s="748">
        <f t="shared" ref="D52:Q52" ca="1" si="6">SUM(D48:D51)</f>
        <v>0</v>
      </c>
      <c r="E52" s="748">
        <f t="shared" si="6"/>
        <v>23.115431210323759</v>
      </c>
      <c r="F52" s="748">
        <f t="shared" si="6"/>
        <v>20.102193449041369</v>
      </c>
      <c r="G52" s="748">
        <f t="shared" si="6"/>
        <v>0</v>
      </c>
      <c r="H52" s="748">
        <f t="shared" si="6"/>
        <v>9072.8250344829012</v>
      </c>
      <c r="I52" s="748">
        <f t="shared" si="6"/>
        <v>2125.6349690890415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11247.605948024046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2746.6757731373423</v>
      </c>
      <c r="D54" s="718">
        <f ca="1">+landbouw!C12</f>
        <v>79727.702521008425</v>
      </c>
      <c r="E54" s="718">
        <f>+landbouw!D12</f>
        <v>0</v>
      </c>
      <c r="F54" s="718">
        <f>+landbouw!E12</f>
        <v>96.60278273376106</v>
      </c>
      <c r="G54" s="718">
        <f>+landbouw!F12</f>
        <v>12866.665762903411</v>
      </c>
      <c r="H54" s="718">
        <f>+landbouw!G12</f>
        <v>0</v>
      </c>
      <c r="I54" s="718">
        <f>+landbouw!H12</f>
        <v>0</v>
      </c>
      <c r="J54" s="718">
        <f>+landbouw!I12</f>
        <v>0</v>
      </c>
      <c r="K54" s="718">
        <f>+landbouw!J12</f>
        <v>1329.8736986541537</v>
      </c>
      <c r="L54" s="718">
        <f>+landbouw!K12</f>
        <v>0</v>
      </c>
      <c r="M54" s="718">
        <f>+landbouw!L12</f>
        <v>0</v>
      </c>
      <c r="N54" s="718">
        <f>+landbouw!M12</f>
        <v>0</v>
      </c>
      <c r="O54" s="718">
        <f>+landbouw!N12</f>
        <v>0</v>
      </c>
      <c r="P54" s="718">
        <f>+landbouw!O12</f>
        <v>0</v>
      </c>
      <c r="Q54" s="719">
        <f>+landbouw!P12</f>
        <v>0</v>
      </c>
      <c r="R54" s="747">
        <f ca="1">SUM(C54:Q54)</f>
        <v>96767.520538437093</v>
      </c>
    </row>
    <row r="55" spans="1:18" ht="15" thickBot="1">
      <c r="A55" s="850" t="s">
        <v>734</v>
      </c>
      <c r="B55" s="860"/>
      <c r="C55" s="718">
        <f ca="1">C25*'EF ele_warmte'!B12</f>
        <v>136.39869276598282</v>
      </c>
      <c r="D55" s="718"/>
      <c r="E55" s="718">
        <f>E25*EF_CO2_aardgas</f>
        <v>33.330385214000003</v>
      </c>
      <c r="F55" s="718"/>
      <c r="G55" s="718"/>
      <c r="H55" s="718"/>
      <c r="I55" s="718"/>
      <c r="J55" s="718"/>
      <c r="K55" s="718"/>
      <c r="L55" s="718"/>
      <c r="M55" s="718"/>
      <c r="N55" s="718"/>
      <c r="O55" s="718"/>
      <c r="P55" s="718"/>
      <c r="Q55" s="719"/>
      <c r="R55" s="747">
        <f ca="1">SUM(C55:Q55)</f>
        <v>169.72907797998283</v>
      </c>
    </row>
    <row r="56" spans="1:18" ht="15.75" thickBot="1">
      <c r="A56" s="848" t="s">
        <v>735</v>
      </c>
      <c r="B56" s="861"/>
      <c r="C56" s="748">
        <f ca="1">SUM(C54:C55)</f>
        <v>2883.0744659033253</v>
      </c>
      <c r="D56" s="748">
        <f t="shared" ref="D56:Q56" ca="1" si="7">SUM(D54:D55)</f>
        <v>79727.702521008425</v>
      </c>
      <c r="E56" s="748">
        <f t="shared" si="7"/>
        <v>33.330385214000003</v>
      </c>
      <c r="F56" s="748">
        <f t="shared" si="7"/>
        <v>96.60278273376106</v>
      </c>
      <c r="G56" s="748">
        <f t="shared" si="7"/>
        <v>12866.665762903411</v>
      </c>
      <c r="H56" s="748">
        <f t="shared" si="7"/>
        <v>0</v>
      </c>
      <c r="I56" s="748">
        <f t="shared" si="7"/>
        <v>0</v>
      </c>
      <c r="J56" s="748">
        <f t="shared" si="7"/>
        <v>0</v>
      </c>
      <c r="K56" s="748">
        <f t="shared" si="7"/>
        <v>1329.8736986541537</v>
      </c>
      <c r="L56" s="748">
        <f t="shared" si="7"/>
        <v>0</v>
      </c>
      <c r="M56" s="748">
        <f t="shared" si="7"/>
        <v>0</v>
      </c>
      <c r="N56" s="748">
        <f t="shared" si="7"/>
        <v>0</v>
      </c>
      <c r="O56" s="748">
        <f t="shared" si="7"/>
        <v>0</v>
      </c>
      <c r="P56" s="748">
        <f t="shared" si="7"/>
        <v>0</v>
      </c>
      <c r="Q56" s="749">
        <f t="shared" si="7"/>
        <v>0</v>
      </c>
      <c r="R56" s="750">
        <f ca="1">SUM(R54:R55)</f>
        <v>96937.249616417073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9367.4622586404712</v>
      </c>
      <c r="D61" s="756">
        <f t="shared" ref="D61:Q61" ca="1" si="8">D46+D52+D56</f>
        <v>79727.702521008425</v>
      </c>
      <c r="E61" s="756">
        <f t="shared" ca="1" si="8"/>
        <v>11875.474065712848</v>
      </c>
      <c r="F61" s="756">
        <f t="shared" si="8"/>
        <v>2287.0744995424266</v>
      </c>
      <c r="G61" s="756">
        <f t="shared" ca="1" si="8"/>
        <v>13574.560814317018</v>
      </c>
      <c r="H61" s="756">
        <f t="shared" si="8"/>
        <v>9072.8250344829012</v>
      </c>
      <c r="I61" s="756">
        <f t="shared" si="8"/>
        <v>2125.6349690890415</v>
      </c>
      <c r="J61" s="756">
        <f t="shared" si="8"/>
        <v>0</v>
      </c>
      <c r="K61" s="756">
        <f t="shared" si="8"/>
        <v>1330.1967333673147</v>
      </c>
      <c r="L61" s="756">
        <f t="shared" si="8"/>
        <v>0</v>
      </c>
      <c r="M61" s="756">
        <f t="shared" ca="1" si="8"/>
        <v>0</v>
      </c>
      <c r="N61" s="756">
        <f t="shared" si="8"/>
        <v>0</v>
      </c>
      <c r="O61" s="756">
        <f t="shared" ca="1" si="8"/>
        <v>0</v>
      </c>
      <c r="P61" s="756">
        <f t="shared" si="8"/>
        <v>0</v>
      </c>
      <c r="Q61" s="756">
        <f t="shared" si="8"/>
        <v>0</v>
      </c>
      <c r="R61" s="756">
        <f ca="1">R46+R52+R56</f>
        <v>129360.93089616044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0.20143400941031156</v>
      </c>
      <c r="D63" s="802">
        <f t="shared" ca="1" si="9"/>
        <v>0.20563659614004701</v>
      </c>
      <c r="E63" s="1008">
        <f t="shared" ca="1" si="9"/>
        <v>0.20200000000000001</v>
      </c>
      <c r="F63" s="802">
        <f t="shared" si="9"/>
        <v>0.22700000000000006</v>
      </c>
      <c r="G63" s="802">
        <f t="shared" ca="1" si="9"/>
        <v>0.26700000000000002</v>
      </c>
      <c r="H63" s="802">
        <f t="shared" si="9"/>
        <v>0.26700000000000002</v>
      </c>
      <c r="I63" s="802">
        <f t="shared" si="9"/>
        <v>0.24900000000000003</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4015.272557666528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30566.885382336892</v>
      </c>
      <c r="C76" s="769">
        <f>'lokale energieproductie'!B8*IFERROR(SUM(D76:H76)/SUM(D76:O76),0)</f>
        <v>240831.26461766314</v>
      </c>
      <c r="D76" s="991">
        <f>'lokale energieproductie'!C8</f>
        <v>276284.11764705885</v>
      </c>
      <c r="E76" s="992">
        <f>'lokale energieproductie'!D8</f>
        <v>0</v>
      </c>
      <c r="F76" s="992">
        <f>'lokale energieproductie'!E8</f>
        <v>0</v>
      </c>
      <c r="G76" s="992">
        <f>'lokale energieproductie'!F8</f>
        <v>0</v>
      </c>
      <c r="H76" s="992">
        <f>'lokale energieproductie'!G8</f>
        <v>0</v>
      </c>
      <c r="I76" s="992">
        <f>'lokale energieproductie'!I8</f>
        <v>0</v>
      </c>
      <c r="J76" s="992">
        <f>'lokale energieproductie'!J8</f>
        <v>35066.647058823539</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55809.391764705892</v>
      </c>
      <c r="R76" s="877">
        <v>0</v>
      </c>
    </row>
    <row r="77" spans="1:18" ht="15.75" thickBot="1">
      <c r="A77" s="772" t="s">
        <v>801</v>
      </c>
      <c r="B77" s="769">
        <f>'lokale energieproductie'!B9*IFERROR(SUM(I77:O77)/SUM(D77:O77),0)</f>
        <v>1647</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4705.7142857142862</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36229.157940003417</v>
      </c>
      <c r="C78" s="774">
        <f>SUM(C72:C77)</f>
        <v>240831.26461766314</v>
      </c>
      <c r="D78" s="775">
        <f t="shared" ref="D78:H78" si="10">SUM(D76:D77)</f>
        <v>276284.11764705885</v>
      </c>
      <c r="E78" s="775">
        <f t="shared" si="10"/>
        <v>0</v>
      </c>
      <c r="F78" s="775">
        <f t="shared" si="10"/>
        <v>0</v>
      </c>
      <c r="G78" s="775">
        <f t="shared" si="10"/>
        <v>0</v>
      </c>
      <c r="H78" s="775">
        <f t="shared" si="10"/>
        <v>0</v>
      </c>
      <c r="I78" s="775">
        <f>SUM(I76:I77)</f>
        <v>0</v>
      </c>
      <c r="J78" s="775">
        <f>SUM(J76:J77)</f>
        <v>39772.361344537829</v>
      </c>
      <c r="K78" s="775">
        <f t="shared" ref="K78:L78" si="11">SUM(K76:K77)</f>
        <v>0</v>
      </c>
      <c r="L78" s="775">
        <f t="shared" si="11"/>
        <v>0</v>
      </c>
      <c r="M78" s="775">
        <f>SUM(M76:M77)</f>
        <v>0</v>
      </c>
      <c r="N78" s="775">
        <f>SUM(N76:N77)</f>
        <v>0</v>
      </c>
      <c r="O78" s="885">
        <f>SUM(O76:O77)</f>
        <v>0</v>
      </c>
      <c r="P78" s="776">
        <v>0</v>
      </c>
      <c r="Q78" s="776">
        <f>SUM(Q76:Q77)</f>
        <v>55809.391764705892</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43666.979117624134</v>
      </c>
      <c r="C87" s="787">
        <f>'lokale energieproductie'!B17*IFERROR(SUM(D87:H87)/SUM(D87:O87),0)</f>
        <v>344044.66373951873</v>
      </c>
      <c r="D87" s="798">
        <f>'lokale energieproductie'!C17</f>
        <v>394691.59663865552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50095.210084033628</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79727.702521008425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43666.979117624134</v>
      </c>
      <c r="C90" s="774">
        <f>SUM(C87:C89)</f>
        <v>344044.66373951873</v>
      </c>
      <c r="D90" s="774">
        <f t="shared" ref="D90:H90" si="12">SUM(D87:D89)</f>
        <v>394691.59663865552</v>
      </c>
      <c r="E90" s="774">
        <f t="shared" si="12"/>
        <v>0</v>
      </c>
      <c r="F90" s="774">
        <f t="shared" si="12"/>
        <v>0</v>
      </c>
      <c r="G90" s="774">
        <f t="shared" si="12"/>
        <v>0</v>
      </c>
      <c r="H90" s="774">
        <f t="shared" si="12"/>
        <v>0</v>
      </c>
      <c r="I90" s="774">
        <f>SUM(I87:I89)</f>
        <v>0</v>
      </c>
      <c r="J90" s="774">
        <f>SUM(J87:J89)</f>
        <v>50095.210084033628</v>
      </c>
      <c r="K90" s="774">
        <f t="shared" ref="K90:L90" si="13">SUM(K87:K89)</f>
        <v>0</v>
      </c>
      <c r="L90" s="774">
        <f t="shared" si="13"/>
        <v>0</v>
      </c>
      <c r="M90" s="774">
        <f>SUM(M87:M89)</f>
        <v>0</v>
      </c>
      <c r="N90" s="774">
        <f>SUM(N87:N89)</f>
        <v>0</v>
      </c>
      <c r="O90" s="774">
        <f>SUM(O87:O89)</f>
        <v>0</v>
      </c>
      <c r="P90" s="774">
        <v>0</v>
      </c>
      <c r="Q90" s="774">
        <f>SUM(Q87:Q89)</f>
        <v>79727.702521008425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13960.250799647689</v>
      </c>
      <c r="C4" s="478">
        <f>huishoudens!C8</f>
        <v>0</v>
      </c>
      <c r="D4" s="478">
        <f>huishoudens!D8</f>
        <v>37637.144617819999</v>
      </c>
      <c r="E4" s="478">
        <f>huishoudens!E8</f>
        <v>9110.1189490452325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21020.51518806316</v>
      </c>
      <c r="O4" s="478">
        <f>huishoudens!O8</f>
        <v>142.84499179586629</v>
      </c>
      <c r="P4" s="479">
        <f>huishoudens!P8</f>
        <v>221.21314546138547</v>
      </c>
      <c r="Q4" s="480">
        <f>SUM(B4:P4)</f>
        <v>82092.087691833338</v>
      </c>
    </row>
    <row r="5" spans="1:17">
      <c r="A5" s="477" t="s">
        <v>155</v>
      </c>
      <c r="B5" s="478">
        <f ca="1">tertiair!B16</f>
        <v>14237.502738000001</v>
      </c>
      <c r="C5" s="478">
        <f ca="1">tertiair!C16</f>
        <v>0</v>
      </c>
      <c r="D5" s="478">
        <f ca="1">tertiair!D16</f>
        <v>18267.515929410001</v>
      </c>
      <c r="E5" s="478">
        <f>tertiair!E16</f>
        <v>123.08949676957894</v>
      </c>
      <c r="F5" s="478">
        <f ca="1">tertiair!F16</f>
        <v>1541.6112581715092</v>
      </c>
      <c r="G5" s="478">
        <f>tertiair!G16</f>
        <v>0</v>
      </c>
      <c r="H5" s="478">
        <f>tertiair!H16</f>
        <v>0</v>
      </c>
      <c r="I5" s="478">
        <f>tertiair!I16</f>
        <v>0</v>
      </c>
      <c r="J5" s="478">
        <f>tertiair!J16</f>
        <v>6.1746660303304939E-2</v>
      </c>
      <c r="K5" s="478">
        <f>tertiair!K16</f>
        <v>0</v>
      </c>
      <c r="L5" s="478">
        <f ca="1">tertiair!L16</f>
        <v>0</v>
      </c>
      <c r="M5" s="478">
        <f>tertiair!M16</f>
        <v>0</v>
      </c>
      <c r="N5" s="478">
        <f ca="1">tertiair!N16</f>
        <v>0</v>
      </c>
      <c r="O5" s="478">
        <f>tertiair!O16</f>
        <v>14.691782297523464</v>
      </c>
      <c r="P5" s="479">
        <f>tertiair!P16</f>
        <v>0</v>
      </c>
      <c r="Q5" s="477">
        <f t="shared" ref="Q5:Q14" ca="1" si="0">SUM(B5:P5)</f>
        <v>34184.472951308911</v>
      </c>
    </row>
    <row r="6" spans="1:17">
      <c r="A6" s="477" t="s">
        <v>193</v>
      </c>
      <c r="B6" s="478">
        <f>'openbare verlichting'!B8</f>
        <v>472.13400000000001</v>
      </c>
      <c r="C6" s="478"/>
      <c r="D6" s="478"/>
      <c r="E6" s="478"/>
      <c r="F6" s="478"/>
      <c r="G6" s="478"/>
      <c r="H6" s="478"/>
      <c r="I6" s="478"/>
      <c r="J6" s="478"/>
      <c r="K6" s="478"/>
      <c r="L6" s="478"/>
      <c r="M6" s="478"/>
      <c r="N6" s="478"/>
      <c r="O6" s="478"/>
      <c r="P6" s="479"/>
      <c r="Q6" s="477">
        <f t="shared" si="0"/>
        <v>472.13400000000001</v>
      </c>
    </row>
    <row r="7" spans="1:17">
      <c r="A7" s="477" t="s">
        <v>111</v>
      </c>
      <c r="B7" s="478">
        <f>landbouw!B8</f>
        <v>13635.610893999999</v>
      </c>
      <c r="C7" s="478">
        <f>landbouw!C8</f>
        <v>387711.64285714284</v>
      </c>
      <c r="D7" s="478">
        <f>landbouw!D8</f>
        <v>0</v>
      </c>
      <c r="E7" s="478">
        <f>landbouw!E8</f>
        <v>425.56291953198706</v>
      </c>
      <c r="F7" s="478">
        <f>landbouw!F8</f>
        <v>48189.759411623258</v>
      </c>
      <c r="G7" s="478">
        <f>landbouw!G8</f>
        <v>0</v>
      </c>
      <c r="H7" s="478">
        <f>landbouw!H8</f>
        <v>0</v>
      </c>
      <c r="I7" s="478">
        <f>landbouw!I8</f>
        <v>0</v>
      </c>
      <c r="J7" s="478">
        <f>landbouw!J8</f>
        <v>3756.7053634298127</v>
      </c>
      <c r="K7" s="478">
        <f>landbouw!K8</f>
        <v>0</v>
      </c>
      <c r="L7" s="478">
        <f>landbouw!L8</f>
        <v>0</v>
      </c>
      <c r="M7" s="478">
        <f>landbouw!M8</f>
        <v>0</v>
      </c>
      <c r="N7" s="478">
        <f>landbouw!N8</f>
        <v>0</v>
      </c>
      <c r="O7" s="478">
        <f>landbouw!O8</f>
        <v>0</v>
      </c>
      <c r="P7" s="479">
        <f>landbouw!P8</f>
        <v>0</v>
      </c>
      <c r="Q7" s="477">
        <f t="shared" si="0"/>
        <v>453719.28144572786</v>
      </c>
    </row>
    <row r="8" spans="1:17">
      <c r="A8" s="477" t="s">
        <v>629</v>
      </c>
      <c r="B8" s="478">
        <f>industrie!B18</f>
        <v>3491.8089500000001</v>
      </c>
      <c r="C8" s="478">
        <f>industrie!C18</f>
        <v>0</v>
      </c>
      <c r="D8" s="478">
        <f>industrie!D18</f>
        <v>2605.3802908319999</v>
      </c>
      <c r="E8" s="478">
        <f>industrie!E18</f>
        <v>327.89077603375034</v>
      </c>
      <c r="F8" s="478">
        <f>industrie!F18</f>
        <v>1109.6810692202769</v>
      </c>
      <c r="G8" s="478">
        <f>industrie!G18</f>
        <v>0</v>
      </c>
      <c r="H8" s="478">
        <f>industrie!H18</f>
        <v>0</v>
      </c>
      <c r="I8" s="478">
        <f>industrie!I18</f>
        <v>0</v>
      </c>
      <c r="J8" s="478">
        <f>industrie!J18</f>
        <v>0.85078077800428031</v>
      </c>
      <c r="K8" s="478">
        <f>industrie!K18</f>
        <v>0</v>
      </c>
      <c r="L8" s="478">
        <f>industrie!L18</f>
        <v>0</v>
      </c>
      <c r="M8" s="478">
        <f>industrie!M18</f>
        <v>0</v>
      </c>
      <c r="N8" s="478">
        <f>industrie!N18</f>
        <v>190.37872984551819</v>
      </c>
      <c r="O8" s="478">
        <f>industrie!O18</f>
        <v>0</v>
      </c>
      <c r="P8" s="479">
        <f>industrie!P18</f>
        <v>0</v>
      </c>
      <c r="Q8" s="477">
        <f t="shared" si="0"/>
        <v>7725.9905967095501</v>
      </c>
    </row>
    <row r="9" spans="1:17" s="483" customFormat="1">
      <c r="A9" s="481" t="s">
        <v>555</v>
      </c>
      <c r="B9" s="482">
        <f>transport!B14</f>
        <v>29.430580318055554</v>
      </c>
      <c r="C9" s="482">
        <f>transport!C14</f>
        <v>0</v>
      </c>
      <c r="D9" s="482">
        <f>transport!D14</f>
        <v>114.43282777387999</v>
      </c>
      <c r="E9" s="482">
        <f>transport!E14</f>
        <v>88.555918277715278</v>
      </c>
      <c r="F9" s="482">
        <f>transport!F14</f>
        <v>0</v>
      </c>
      <c r="G9" s="482">
        <f>transport!G14</f>
        <v>33184.549563564979</v>
      </c>
      <c r="H9" s="482">
        <f>transport!H14</f>
        <v>8536.6866228475556</v>
      </c>
      <c r="I9" s="482">
        <f>transport!I14</f>
        <v>0</v>
      </c>
      <c r="J9" s="482">
        <f>transport!J14</f>
        <v>0</v>
      </c>
      <c r="K9" s="482">
        <f>transport!K14</f>
        <v>0</v>
      </c>
      <c r="L9" s="482">
        <f>transport!L14</f>
        <v>0</v>
      </c>
      <c r="M9" s="482">
        <f>transport!M14</f>
        <v>2474.562821262783</v>
      </c>
      <c r="N9" s="482">
        <f>transport!N14</f>
        <v>0</v>
      </c>
      <c r="O9" s="482">
        <f>transport!O14</f>
        <v>0</v>
      </c>
      <c r="P9" s="482">
        <f>transport!P14</f>
        <v>0</v>
      </c>
      <c r="Q9" s="481">
        <f>SUM(B9:P9)</f>
        <v>44428.21833404497</v>
      </c>
    </row>
    <row r="10" spans="1:17">
      <c r="A10" s="477" t="s">
        <v>545</v>
      </c>
      <c r="B10" s="478">
        <f>transport!B54</f>
        <v>0</v>
      </c>
      <c r="C10" s="478">
        <f>transport!C54</f>
        <v>0</v>
      </c>
      <c r="D10" s="478">
        <f>transport!D54</f>
        <v>0</v>
      </c>
      <c r="E10" s="478">
        <f>transport!E54</f>
        <v>0</v>
      </c>
      <c r="F10" s="478">
        <f>transport!F54</f>
        <v>0</v>
      </c>
      <c r="G10" s="478">
        <f>transport!G54</f>
        <v>796.06854311254961</v>
      </c>
      <c r="H10" s="478">
        <f>transport!H54</f>
        <v>0</v>
      </c>
      <c r="I10" s="478">
        <f>transport!I54</f>
        <v>0</v>
      </c>
      <c r="J10" s="478">
        <f>transport!J54</f>
        <v>0</v>
      </c>
      <c r="K10" s="478">
        <f>transport!K54</f>
        <v>0</v>
      </c>
      <c r="L10" s="478">
        <f>transport!L54</f>
        <v>0</v>
      </c>
      <c r="M10" s="478">
        <f>transport!M54</f>
        <v>44.245577706341123</v>
      </c>
      <c r="N10" s="478">
        <f>transport!N54</f>
        <v>0</v>
      </c>
      <c r="O10" s="478">
        <f>transport!O54</f>
        <v>0</v>
      </c>
      <c r="P10" s="479">
        <f>transport!P54</f>
        <v>0</v>
      </c>
      <c r="Q10" s="477">
        <f t="shared" si="0"/>
        <v>840.31412081889073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677.13834999999995</v>
      </c>
      <c r="C14" s="485"/>
      <c r="D14" s="485">
        <f>'SEAP template'!E25</f>
        <v>165.00190700000002</v>
      </c>
      <c r="E14" s="485"/>
      <c r="F14" s="485"/>
      <c r="G14" s="485"/>
      <c r="H14" s="485"/>
      <c r="I14" s="485"/>
      <c r="J14" s="485"/>
      <c r="K14" s="485"/>
      <c r="L14" s="485"/>
      <c r="M14" s="485"/>
      <c r="N14" s="485"/>
      <c r="O14" s="485"/>
      <c r="P14" s="486"/>
      <c r="Q14" s="477">
        <f t="shared" si="0"/>
        <v>842.14025700000002</v>
      </c>
    </row>
    <row r="15" spans="1:17" s="489" customFormat="1">
      <c r="A15" s="487" t="s">
        <v>549</v>
      </c>
      <c r="B15" s="488">
        <f ca="1">SUM(B4:B14)</f>
        <v>46503.876311965738</v>
      </c>
      <c r="C15" s="488">
        <f t="shared" ref="C15:Q15" ca="1" si="1">SUM(C4:C14)</f>
        <v>387711.64285714284</v>
      </c>
      <c r="D15" s="488">
        <f t="shared" ca="1" si="1"/>
        <v>58789.47557283588</v>
      </c>
      <c r="E15" s="488">
        <f t="shared" si="1"/>
        <v>10075.218059658264</v>
      </c>
      <c r="F15" s="488">
        <f t="shared" ca="1" si="1"/>
        <v>50841.051739015042</v>
      </c>
      <c r="G15" s="488">
        <f t="shared" si="1"/>
        <v>33980.618106677532</v>
      </c>
      <c r="H15" s="488">
        <f t="shared" si="1"/>
        <v>8536.6866228475556</v>
      </c>
      <c r="I15" s="488">
        <f t="shared" si="1"/>
        <v>0</v>
      </c>
      <c r="J15" s="488">
        <f t="shared" si="1"/>
        <v>3757.6178908681204</v>
      </c>
      <c r="K15" s="488">
        <f t="shared" si="1"/>
        <v>0</v>
      </c>
      <c r="L15" s="488">
        <f t="shared" ca="1" si="1"/>
        <v>0</v>
      </c>
      <c r="M15" s="488">
        <f t="shared" si="1"/>
        <v>2518.808398969124</v>
      </c>
      <c r="N15" s="488">
        <f t="shared" ca="1" si="1"/>
        <v>21210.893917908677</v>
      </c>
      <c r="O15" s="488">
        <f t="shared" si="1"/>
        <v>157.53677409338977</v>
      </c>
      <c r="P15" s="488">
        <f t="shared" si="1"/>
        <v>221.21314546138547</v>
      </c>
      <c r="Q15" s="488">
        <f t="shared" ca="1" si="1"/>
        <v>624304.63939744351</v>
      </c>
    </row>
    <row r="17" spans="1:17">
      <c r="A17" s="490" t="s">
        <v>550</v>
      </c>
      <c r="B17" s="807">
        <f ca="1">huishoudens!B10</f>
        <v>0.20143400941031153</v>
      </c>
      <c r="C17" s="807">
        <f ca="1">huishoudens!C10</f>
        <v>0.20563659614004701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2812.0692909465415</v>
      </c>
      <c r="C22" s="478">
        <f t="shared" ref="C22:C32" ca="1" si="3">C4*$C$17</f>
        <v>0</v>
      </c>
      <c r="D22" s="478">
        <f t="shared" ref="D22:D32" si="4">D4*$D$17</f>
        <v>7602.7032127996399</v>
      </c>
      <c r="E22" s="478">
        <f t="shared" ref="E22:E32" si="5">E4*$E$17</f>
        <v>2067.997001433268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12482.769505179451</v>
      </c>
    </row>
    <row r="23" spans="1:17">
      <c r="A23" s="477" t="s">
        <v>155</v>
      </c>
      <c r="B23" s="478">
        <f t="shared" ca="1" si="2"/>
        <v>2867.9172605056283</v>
      </c>
      <c r="C23" s="478">
        <f t="shared" ca="1" si="3"/>
        <v>0</v>
      </c>
      <c r="D23" s="478">
        <f t="shared" ca="1" si="4"/>
        <v>3690.0382177408205</v>
      </c>
      <c r="E23" s="478">
        <f t="shared" si="5"/>
        <v>27.941315766694419</v>
      </c>
      <c r="F23" s="478">
        <f t="shared" ca="1" si="6"/>
        <v>411.61020593179296</v>
      </c>
      <c r="G23" s="478">
        <f t="shared" si="7"/>
        <v>0</v>
      </c>
      <c r="H23" s="478">
        <f t="shared" si="8"/>
        <v>0</v>
      </c>
      <c r="I23" s="478">
        <f t="shared" si="9"/>
        <v>0</v>
      </c>
      <c r="J23" s="478">
        <f t="shared" si="10"/>
        <v>2.1858317747369946E-2</v>
      </c>
      <c r="K23" s="478">
        <f t="shared" si="11"/>
        <v>0</v>
      </c>
      <c r="L23" s="478">
        <f t="shared" ca="1" si="12"/>
        <v>0</v>
      </c>
      <c r="M23" s="478">
        <f t="shared" si="13"/>
        <v>0</v>
      </c>
      <c r="N23" s="478">
        <f t="shared" ca="1" si="14"/>
        <v>0</v>
      </c>
      <c r="O23" s="478">
        <f t="shared" si="15"/>
        <v>0</v>
      </c>
      <c r="P23" s="479">
        <f t="shared" si="16"/>
        <v>0</v>
      </c>
      <c r="Q23" s="477">
        <f t="shared" ref="Q23:Q31" ca="1" si="17">SUM(B23:P23)</f>
        <v>6997.5288582626836</v>
      </c>
    </row>
    <row r="24" spans="1:17">
      <c r="A24" s="477" t="s">
        <v>193</v>
      </c>
      <c r="B24" s="478">
        <f t="shared" ca="1" si="2"/>
        <v>95.103844598928035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95.103844598928035</v>
      </c>
    </row>
    <row r="25" spans="1:17">
      <c r="A25" s="477" t="s">
        <v>111</v>
      </c>
      <c r="B25" s="478">
        <f t="shared" ca="1" si="2"/>
        <v>2746.6757731373423</v>
      </c>
      <c r="C25" s="478">
        <f t="shared" ca="1" si="3"/>
        <v>79727.702521008425</v>
      </c>
      <c r="D25" s="478">
        <f t="shared" si="4"/>
        <v>0</v>
      </c>
      <c r="E25" s="478">
        <f t="shared" si="5"/>
        <v>96.60278273376106</v>
      </c>
      <c r="F25" s="478">
        <f t="shared" si="6"/>
        <v>12866.665762903411</v>
      </c>
      <c r="G25" s="478">
        <f t="shared" si="7"/>
        <v>0</v>
      </c>
      <c r="H25" s="478">
        <f t="shared" si="8"/>
        <v>0</v>
      </c>
      <c r="I25" s="478">
        <f t="shared" si="9"/>
        <v>0</v>
      </c>
      <c r="J25" s="478">
        <f t="shared" si="10"/>
        <v>1329.8736986541537</v>
      </c>
      <c r="K25" s="478">
        <f t="shared" si="11"/>
        <v>0</v>
      </c>
      <c r="L25" s="478">
        <f t="shared" si="12"/>
        <v>0</v>
      </c>
      <c r="M25" s="478">
        <f t="shared" si="13"/>
        <v>0</v>
      </c>
      <c r="N25" s="478">
        <f t="shared" si="14"/>
        <v>0</v>
      </c>
      <c r="O25" s="478">
        <f t="shared" si="15"/>
        <v>0</v>
      </c>
      <c r="P25" s="479">
        <f t="shared" si="16"/>
        <v>0</v>
      </c>
      <c r="Q25" s="477">
        <f t="shared" ca="1" si="17"/>
        <v>96767.520538437093</v>
      </c>
    </row>
    <row r="26" spans="1:17">
      <c r="A26" s="477" t="s">
        <v>629</v>
      </c>
      <c r="B26" s="478">
        <f t="shared" ca="1" si="2"/>
        <v>703.36907689331008</v>
      </c>
      <c r="C26" s="478">
        <f t="shared" ca="1" si="3"/>
        <v>0</v>
      </c>
      <c r="D26" s="478">
        <f t="shared" si="4"/>
        <v>526.28681874806398</v>
      </c>
      <c r="E26" s="478">
        <f t="shared" si="5"/>
        <v>74.431206159661329</v>
      </c>
      <c r="F26" s="478">
        <f t="shared" si="6"/>
        <v>296.28484548181393</v>
      </c>
      <c r="G26" s="478">
        <f t="shared" si="7"/>
        <v>0</v>
      </c>
      <c r="H26" s="478">
        <f t="shared" si="8"/>
        <v>0</v>
      </c>
      <c r="I26" s="478">
        <f t="shared" si="9"/>
        <v>0</v>
      </c>
      <c r="J26" s="478">
        <f t="shared" si="10"/>
        <v>0.30117639541351521</v>
      </c>
      <c r="K26" s="478">
        <f t="shared" si="11"/>
        <v>0</v>
      </c>
      <c r="L26" s="478">
        <f t="shared" si="12"/>
        <v>0</v>
      </c>
      <c r="M26" s="478">
        <f t="shared" si="13"/>
        <v>0</v>
      </c>
      <c r="N26" s="478">
        <f t="shared" si="14"/>
        <v>0</v>
      </c>
      <c r="O26" s="478">
        <f t="shared" si="15"/>
        <v>0</v>
      </c>
      <c r="P26" s="479">
        <f t="shared" si="16"/>
        <v>0</v>
      </c>
      <c r="Q26" s="477">
        <f t="shared" ca="1" si="17"/>
        <v>1600.6731236782628</v>
      </c>
    </row>
    <row r="27" spans="1:17" s="483" customFormat="1">
      <c r="A27" s="481" t="s">
        <v>555</v>
      </c>
      <c r="B27" s="801">
        <f t="shared" ca="1" si="2"/>
        <v>5.9283197927381321</v>
      </c>
      <c r="C27" s="482">
        <f t="shared" ca="1" si="3"/>
        <v>0</v>
      </c>
      <c r="D27" s="482">
        <f t="shared" si="4"/>
        <v>23.115431210323759</v>
      </c>
      <c r="E27" s="482">
        <f t="shared" si="5"/>
        <v>20.102193449041369</v>
      </c>
      <c r="F27" s="482">
        <f t="shared" si="6"/>
        <v>0</v>
      </c>
      <c r="G27" s="482">
        <f t="shared" si="7"/>
        <v>8860.2747334718497</v>
      </c>
      <c r="H27" s="482">
        <f t="shared" si="8"/>
        <v>2125.6349690890415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11035.055647012994</v>
      </c>
    </row>
    <row r="28" spans="1:17" ht="16.5" customHeight="1">
      <c r="A28" s="477" t="s">
        <v>545</v>
      </c>
      <c r="B28" s="478">
        <f t="shared" ca="1" si="2"/>
        <v>0</v>
      </c>
      <c r="C28" s="478">
        <f t="shared" ca="1" si="3"/>
        <v>0</v>
      </c>
      <c r="D28" s="478">
        <f t="shared" si="4"/>
        <v>0</v>
      </c>
      <c r="E28" s="478">
        <f t="shared" si="5"/>
        <v>0</v>
      </c>
      <c r="F28" s="478">
        <f t="shared" si="6"/>
        <v>0</v>
      </c>
      <c r="G28" s="478">
        <f t="shared" si="7"/>
        <v>212.55030101105075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212.55030101105075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136.39869276598282</v>
      </c>
      <c r="C32" s="478">
        <f t="shared" ca="1" si="3"/>
        <v>0</v>
      </c>
      <c r="D32" s="478">
        <f t="shared" si="4"/>
        <v>33.330385214000003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169.72907797998283</v>
      </c>
    </row>
    <row r="33" spans="1:17" s="489" customFormat="1">
      <c r="A33" s="487" t="s">
        <v>549</v>
      </c>
      <c r="B33" s="488">
        <f ca="1">SUM(B22:B32)</f>
        <v>9367.4622586404712</v>
      </c>
      <c r="C33" s="488">
        <f t="shared" ref="C33:Q33" ca="1" si="19">SUM(C22:C32)</f>
        <v>79727.702521008425</v>
      </c>
      <c r="D33" s="488">
        <f t="shared" ca="1" si="19"/>
        <v>11875.474065712848</v>
      </c>
      <c r="E33" s="488">
        <f t="shared" si="19"/>
        <v>2287.0744995424266</v>
      </c>
      <c r="F33" s="488">
        <f t="shared" ca="1" si="19"/>
        <v>13574.560814317018</v>
      </c>
      <c r="G33" s="488">
        <f t="shared" si="19"/>
        <v>9072.8250344829012</v>
      </c>
      <c r="H33" s="488">
        <f t="shared" si="19"/>
        <v>2125.6349690890415</v>
      </c>
      <c r="I33" s="488">
        <f t="shared" si="19"/>
        <v>0</v>
      </c>
      <c r="J33" s="488">
        <f t="shared" si="19"/>
        <v>1330.1967333673144</v>
      </c>
      <c r="K33" s="488">
        <f t="shared" si="19"/>
        <v>0</v>
      </c>
      <c r="L33" s="488">
        <f t="shared" ca="1" si="19"/>
        <v>0</v>
      </c>
      <c r="M33" s="488">
        <f t="shared" si="19"/>
        <v>0</v>
      </c>
      <c r="N33" s="488">
        <f t="shared" ca="1" si="19"/>
        <v>0</v>
      </c>
      <c r="O33" s="488">
        <f t="shared" si="19"/>
        <v>0</v>
      </c>
      <c r="P33" s="488">
        <f t="shared" si="19"/>
        <v>0</v>
      </c>
      <c r="Q33" s="488">
        <f t="shared" ca="1" si="19"/>
        <v>129360.93089616045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4015.272557666528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30566.885382336892</v>
      </c>
      <c r="C8" s="1062">
        <f>'SEAP template'!C76</f>
        <v>240831.26461766314</v>
      </c>
      <c r="D8" s="1062">
        <f>'SEAP template'!D76</f>
        <v>276284.11764705885</v>
      </c>
      <c r="E8" s="1062">
        <f>'SEAP template'!E76</f>
        <v>0</v>
      </c>
      <c r="F8" s="1062">
        <f>'SEAP template'!F76</f>
        <v>0</v>
      </c>
      <c r="G8" s="1062">
        <f>'SEAP template'!G76</f>
        <v>0</v>
      </c>
      <c r="H8" s="1062">
        <f>'SEAP template'!H76</f>
        <v>0</v>
      </c>
      <c r="I8" s="1062">
        <f>'SEAP template'!I76</f>
        <v>0</v>
      </c>
      <c r="J8" s="1062">
        <f>'SEAP template'!J76</f>
        <v>35066.647058823539</v>
      </c>
      <c r="K8" s="1062">
        <f>'SEAP template'!K76</f>
        <v>0</v>
      </c>
      <c r="L8" s="1062">
        <f>'SEAP template'!L76</f>
        <v>0</v>
      </c>
      <c r="M8" s="1062">
        <f>'SEAP template'!M76</f>
        <v>0</v>
      </c>
      <c r="N8" s="1062">
        <f>'SEAP template'!N76</f>
        <v>0</v>
      </c>
      <c r="O8" s="1062">
        <f>'SEAP template'!O76</f>
        <v>0</v>
      </c>
      <c r="P8" s="1063">
        <f>'SEAP template'!Q76</f>
        <v>55809.391764705892</v>
      </c>
    </row>
    <row r="9" spans="1:16">
      <c r="A9" s="1068" t="s">
        <v>802</v>
      </c>
      <c r="B9" s="1062">
        <f>'SEAP template'!B77</f>
        <v>1647</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4705.7142857142862</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36229.157940003417</v>
      </c>
      <c r="C10" s="1064">
        <f>SUM(C4:C9)</f>
        <v>240831.26461766314</v>
      </c>
      <c r="D10" s="1064">
        <f t="shared" ref="D10:H10" si="0">SUM(D8:D9)</f>
        <v>276284.11764705885</v>
      </c>
      <c r="E10" s="1064">
        <f t="shared" si="0"/>
        <v>0</v>
      </c>
      <c r="F10" s="1064">
        <f t="shared" si="0"/>
        <v>0</v>
      </c>
      <c r="G10" s="1064">
        <f t="shared" si="0"/>
        <v>0</v>
      </c>
      <c r="H10" s="1064">
        <f t="shared" si="0"/>
        <v>0</v>
      </c>
      <c r="I10" s="1064">
        <f>SUM(I8:I9)</f>
        <v>0</v>
      </c>
      <c r="J10" s="1064">
        <f>SUM(J8:J9)</f>
        <v>39772.361344537829</v>
      </c>
      <c r="K10" s="1064">
        <f t="shared" ref="K10:L10" si="1">SUM(K8:K9)</f>
        <v>0</v>
      </c>
      <c r="L10" s="1064">
        <f t="shared" si="1"/>
        <v>0</v>
      </c>
      <c r="M10" s="1064">
        <f>SUM(M8:M9)</f>
        <v>0</v>
      </c>
      <c r="N10" s="1064">
        <f>SUM(N8:N9)</f>
        <v>0</v>
      </c>
      <c r="O10" s="1064">
        <f>SUM(O8:O9)</f>
        <v>0</v>
      </c>
      <c r="P10" s="1064">
        <f>SUM(P8:P9)</f>
        <v>55809.391764705892</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0.20143400941031153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43666.979117624134</v>
      </c>
      <c r="C17" s="1065">
        <f>'SEAP template'!C87</f>
        <v>344044.66373951873</v>
      </c>
      <c r="D17" s="1063">
        <f>'SEAP template'!D87</f>
        <v>394691.59663865552</v>
      </c>
      <c r="E17" s="1063">
        <f>'SEAP template'!E87</f>
        <v>0</v>
      </c>
      <c r="F17" s="1063">
        <f>'SEAP template'!F87</f>
        <v>0</v>
      </c>
      <c r="G17" s="1063">
        <f>'SEAP template'!G87</f>
        <v>0</v>
      </c>
      <c r="H17" s="1063">
        <f>'SEAP template'!H87</f>
        <v>0</v>
      </c>
      <c r="I17" s="1063">
        <f>'SEAP template'!I87</f>
        <v>0</v>
      </c>
      <c r="J17" s="1063">
        <f>'SEAP template'!J87</f>
        <v>50095.210084033628</v>
      </c>
      <c r="K17" s="1063">
        <f>'SEAP template'!K87</f>
        <v>0</v>
      </c>
      <c r="L17" s="1063">
        <f>'SEAP template'!L87</f>
        <v>0</v>
      </c>
      <c r="M17" s="1063">
        <f>'SEAP template'!M87</f>
        <v>0</v>
      </c>
      <c r="N17" s="1063">
        <f>'SEAP template'!N87</f>
        <v>0</v>
      </c>
      <c r="O17" s="1063">
        <f>'SEAP template'!O87</f>
        <v>0</v>
      </c>
      <c r="P17" s="1063">
        <f>'SEAP template'!Q87</f>
        <v>79727.702521008425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43666.979117624134</v>
      </c>
      <c r="C20" s="1064">
        <f>SUM(C17:C19)</f>
        <v>344044.66373951873</v>
      </c>
      <c r="D20" s="1064">
        <f t="shared" ref="D20:H20" si="2">SUM(D17:D19)</f>
        <v>394691.59663865552</v>
      </c>
      <c r="E20" s="1064">
        <f t="shared" si="2"/>
        <v>0</v>
      </c>
      <c r="F20" s="1064">
        <f t="shared" si="2"/>
        <v>0</v>
      </c>
      <c r="G20" s="1064">
        <f t="shared" si="2"/>
        <v>0</v>
      </c>
      <c r="H20" s="1064">
        <f t="shared" si="2"/>
        <v>0</v>
      </c>
      <c r="I20" s="1064">
        <f>SUM(I17:I19)</f>
        <v>0</v>
      </c>
      <c r="J20" s="1064">
        <f>SUM(J17:J19)</f>
        <v>50095.210084033628</v>
      </c>
      <c r="K20" s="1064">
        <f t="shared" ref="K20:L20" si="3">SUM(K17:K19)</f>
        <v>0</v>
      </c>
      <c r="L20" s="1064">
        <f t="shared" si="3"/>
        <v>0</v>
      </c>
      <c r="M20" s="1064">
        <f>SUM(M17:M19)</f>
        <v>0</v>
      </c>
      <c r="N20" s="1064">
        <f>SUM(N17:N19)</f>
        <v>0</v>
      </c>
      <c r="O20" s="1064">
        <f>SUM(O17:O19)</f>
        <v>0</v>
      </c>
      <c r="P20" s="1064">
        <f>SUM(P17:P19)</f>
        <v>79727.702521008425</v>
      </c>
    </row>
    <row r="21" spans="1:16">
      <c r="B21" s="913"/>
    </row>
    <row r="22" spans="1:16">
      <c r="A22" s="490" t="s">
        <v>814</v>
      </c>
      <c r="B22" s="807" t="s">
        <v>812</v>
      </c>
      <c r="C22" s="807">
        <f ca="1">'EF ele_warmte'!B22</f>
        <v>0.20563659614004701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0.20143400941031153</v>
      </c>
      <c r="C17" s="527">
        <f ca="1">'EF ele_warmte'!B22</f>
        <v>0.20563659614004701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0.20143400941031153</v>
      </c>
      <c r="C17" s="527">
        <f ca="1">'EF ele_warmte'!B22</f>
        <v>0.20563659614004701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0.20143400941031153</v>
      </c>
      <c r="C29" s="528">
        <f ca="1">'EF ele_warmte'!B22</f>
        <v>0.20563659614004701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3230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2514.56</v>
      </c>
    </row>
    <row r="15" spans="1:6">
      <c r="A15" s="348" t="s">
        <v>183</v>
      </c>
      <c r="B15" s="334">
        <v>12431</v>
      </c>
    </row>
    <row r="16" spans="1:6">
      <c r="A16" s="348" t="s">
        <v>6</v>
      </c>
      <c r="B16" s="334">
        <v>3747</v>
      </c>
    </row>
    <row r="17" spans="1:6">
      <c r="A17" s="348" t="s">
        <v>7</v>
      </c>
      <c r="B17" s="334">
        <v>453</v>
      </c>
    </row>
    <row r="18" spans="1:6">
      <c r="A18" s="348" t="s">
        <v>8</v>
      </c>
      <c r="B18" s="334">
        <v>2055</v>
      </c>
    </row>
    <row r="19" spans="1:6">
      <c r="A19" s="348" t="s">
        <v>9</v>
      </c>
      <c r="B19" s="334">
        <v>1916</v>
      </c>
    </row>
    <row r="20" spans="1:6">
      <c r="A20" s="348" t="s">
        <v>10</v>
      </c>
      <c r="B20" s="334">
        <v>1083</v>
      </c>
    </row>
    <row r="21" spans="1:6">
      <c r="A21" s="348" t="s">
        <v>11</v>
      </c>
      <c r="B21" s="334">
        <v>21751</v>
      </c>
    </row>
    <row r="22" spans="1:6">
      <c r="A22" s="348" t="s">
        <v>12</v>
      </c>
      <c r="B22" s="334">
        <v>41665</v>
      </c>
    </row>
    <row r="23" spans="1:6">
      <c r="A23" s="348" t="s">
        <v>13</v>
      </c>
      <c r="B23" s="334">
        <v>995</v>
      </c>
    </row>
    <row r="24" spans="1:6">
      <c r="A24" s="348" t="s">
        <v>14</v>
      </c>
      <c r="B24" s="334">
        <v>30</v>
      </c>
    </row>
    <row r="25" spans="1:6">
      <c r="A25" s="348" t="s">
        <v>15</v>
      </c>
      <c r="B25" s="334">
        <v>5023</v>
      </c>
    </row>
    <row r="26" spans="1:6">
      <c r="A26" s="348" t="s">
        <v>16</v>
      </c>
      <c r="B26" s="334">
        <v>86</v>
      </c>
    </row>
    <row r="27" spans="1:6">
      <c r="A27" s="348" t="s">
        <v>17</v>
      </c>
      <c r="B27" s="334">
        <v>1664</v>
      </c>
    </row>
    <row r="28" spans="1:6" s="356" customFormat="1">
      <c r="A28" s="355" t="s">
        <v>18</v>
      </c>
      <c r="B28" s="355">
        <v>749303</v>
      </c>
    </row>
    <row r="29" spans="1:6">
      <c r="A29" s="355" t="s">
        <v>713</v>
      </c>
      <c r="B29" s="355">
        <v>104</v>
      </c>
      <c r="C29" s="356"/>
      <c r="D29" s="356"/>
      <c r="E29" s="356"/>
      <c r="F29" s="356"/>
    </row>
    <row r="30" spans="1:6">
      <c r="A30" s="341" t="s">
        <v>714</v>
      </c>
      <c r="B30" s="341">
        <v>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67327</v>
      </c>
    </row>
    <row r="36" spans="1:6">
      <c r="A36" s="348" t="s">
        <v>24</v>
      </c>
      <c r="B36" s="348" t="s">
        <v>26</v>
      </c>
      <c r="C36" s="334">
        <v>0</v>
      </c>
      <c r="D36" s="334">
        <v>0</v>
      </c>
      <c r="E36" s="334">
        <v>10</v>
      </c>
      <c r="F36" s="334">
        <v>522959</v>
      </c>
    </row>
    <row r="37" spans="1:6">
      <c r="A37" s="348" t="s">
        <v>24</v>
      </c>
      <c r="B37" s="348" t="s">
        <v>27</v>
      </c>
      <c r="C37" s="334">
        <v>0</v>
      </c>
      <c r="D37" s="334">
        <v>0</v>
      </c>
      <c r="E37" s="334">
        <v>0</v>
      </c>
      <c r="F37" s="334">
        <v>0</v>
      </c>
    </row>
    <row r="38" spans="1:6">
      <c r="A38" s="348" t="s">
        <v>24</v>
      </c>
      <c r="B38" s="348" t="s">
        <v>28</v>
      </c>
      <c r="C38" s="334">
        <v>4</v>
      </c>
      <c r="D38" s="334">
        <v>30248378.969999999</v>
      </c>
      <c r="E38" s="334">
        <v>1</v>
      </c>
      <c r="F38" s="334">
        <v>5191</v>
      </c>
    </row>
    <row r="39" spans="1:6">
      <c r="A39" s="348" t="s">
        <v>29</v>
      </c>
      <c r="B39" s="348" t="s">
        <v>30</v>
      </c>
      <c r="C39" s="334">
        <v>2347</v>
      </c>
      <c r="D39" s="334">
        <v>41726324.409999996</v>
      </c>
      <c r="E39" s="334">
        <v>3228</v>
      </c>
      <c r="F39" s="334">
        <v>11388480.374</v>
      </c>
    </row>
    <row r="40" spans="1:6">
      <c r="A40" s="348" t="s">
        <v>29</v>
      </c>
      <c r="B40" s="348" t="s">
        <v>28</v>
      </c>
      <c r="C40" s="334">
        <v>0</v>
      </c>
      <c r="D40" s="334">
        <v>0</v>
      </c>
      <c r="E40" s="334">
        <v>0</v>
      </c>
      <c r="F40" s="334">
        <v>0</v>
      </c>
    </row>
    <row r="41" spans="1:6">
      <c r="A41" s="348" t="s">
        <v>31</v>
      </c>
      <c r="B41" s="348" t="s">
        <v>32</v>
      </c>
      <c r="C41" s="334">
        <v>31</v>
      </c>
      <c r="D41" s="334">
        <v>1475735.7239999999</v>
      </c>
      <c r="E41" s="334">
        <v>94</v>
      </c>
      <c r="F41" s="334">
        <v>1151595.95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v>
      </c>
      <c r="D44" s="334">
        <v>124915.495</v>
      </c>
      <c r="E44" s="334">
        <v>24</v>
      </c>
      <c r="F44" s="334">
        <v>631160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24</v>
      </c>
      <c r="D48" s="334">
        <v>794960.3</v>
      </c>
      <c r="E48" s="334">
        <v>3</v>
      </c>
      <c r="F48" s="334">
        <v>26141</v>
      </c>
    </row>
    <row r="49" spans="1:6">
      <c r="A49" s="348" t="s">
        <v>31</v>
      </c>
      <c r="B49" s="348" t="s">
        <v>39</v>
      </c>
      <c r="C49" s="334">
        <v>0</v>
      </c>
      <c r="D49" s="334">
        <v>0</v>
      </c>
      <c r="E49" s="334">
        <v>0</v>
      </c>
      <c r="F49" s="334">
        <v>0</v>
      </c>
    </row>
    <row r="50" spans="1:6">
      <c r="A50" s="348" t="s">
        <v>31</v>
      </c>
      <c r="B50" s="348" t="s">
        <v>40</v>
      </c>
      <c r="C50" s="334">
        <v>3</v>
      </c>
      <c r="D50" s="334">
        <v>492836.69699999999</v>
      </c>
      <c r="E50" s="334">
        <v>7</v>
      </c>
      <c r="F50" s="334">
        <v>1682912</v>
      </c>
    </row>
    <row r="51" spans="1:6">
      <c r="A51" s="348" t="s">
        <v>41</v>
      </c>
      <c r="B51" s="348" t="s">
        <v>42</v>
      </c>
      <c r="C51" s="334">
        <v>15</v>
      </c>
      <c r="D51" s="334">
        <v>669062471.29999995</v>
      </c>
      <c r="E51" s="334">
        <v>139</v>
      </c>
      <c r="F51" s="334">
        <v>13635610.893999999</v>
      </c>
    </row>
    <row r="52" spans="1:6">
      <c r="A52" s="348" t="s">
        <v>41</v>
      </c>
      <c r="B52" s="348" t="s">
        <v>28</v>
      </c>
      <c r="C52" s="334">
        <v>8</v>
      </c>
      <c r="D52" s="334">
        <v>2236460.8429999999</v>
      </c>
      <c r="E52" s="334">
        <v>0</v>
      </c>
      <c r="F52" s="334">
        <v>0</v>
      </c>
    </row>
    <row r="53" spans="1:6">
      <c r="A53" s="348" t="s">
        <v>43</v>
      </c>
      <c r="B53" s="348" t="s">
        <v>44</v>
      </c>
      <c r="C53" s="334">
        <v>12</v>
      </c>
      <c r="D53" s="334">
        <v>165001.90700000001</v>
      </c>
      <c r="E53" s="334">
        <v>33</v>
      </c>
      <c r="F53" s="334">
        <v>677138.35</v>
      </c>
    </row>
    <row r="54" spans="1:6">
      <c r="A54" s="348" t="s">
        <v>45</v>
      </c>
      <c r="B54" s="348" t="s">
        <v>46</v>
      </c>
      <c r="C54" s="334">
        <v>0</v>
      </c>
      <c r="D54" s="334">
        <v>0</v>
      </c>
      <c r="E54" s="334">
        <v>1</v>
      </c>
      <c r="F54" s="334">
        <v>472134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v>
      </c>
      <c r="D57" s="334">
        <v>136898.41</v>
      </c>
      <c r="E57" s="334">
        <v>48</v>
      </c>
      <c r="F57" s="334">
        <v>3630261</v>
      </c>
    </row>
    <row r="58" spans="1:6">
      <c r="A58" s="348" t="s">
        <v>48</v>
      </c>
      <c r="B58" s="348" t="s">
        <v>50</v>
      </c>
      <c r="C58" s="334">
        <v>11</v>
      </c>
      <c r="D58" s="334">
        <v>4115438.4819999998</v>
      </c>
      <c r="E58" s="334">
        <v>26</v>
      </c>
      <c r="F58" s="334">
        <v>1132789</v>
      </c>
    </row>
    <row r="59" spans="1:6">
      <c r="A59" s="348" t="s">
        <v>48</v>
      </c>
      <c r="B59" s="348" t="s">
        <v>51</v>
      </c>
      <c r="C59" s="334">
        <v>25</v>
      </c>
      <c r="D59" s="334">
        <v>1177008.716</v>
      </c>
      <c r="E59" s="334">
        <v>101</v>
      </c>
      <c r="F59" s="334">
        <v>2561832</v>
      </c>
    </row>
    <row r="60" spans="1:6">
      <c r="A60" s="348" t="s">
        <v>48</v>
      </c>
      <c r="B60" s="348" t="s">
        <v>52</v>
      </c>
      <c r="C60" s="334">
        <v>16</v>
      </c>
      <c r="D60" s="334">
        <v>652234.17599999998</v>
      </c>
      <c r="E60" s="334">
        <v>34</v>
      </c>
      <c r="F60" s="334">
        <v>1466235</v>
      </c>
    </row>
    <row r="61" spans="1:6">
      <c r="A61" s="348" t="s">
        <v>48</v>
      </c>
      <c r="B61" s="348" t="s">
        <v>53</v>
      </c>
      <c r="C61" s="334">
        <v>44</v>
      </c>
      <c r="D61" s="334">
        <v>11222501.810000001</v>
      </c>
      <c r="E61" s="334">
        <v>97</v>
      </c>
      <c r="F61" s="334">
        <v>3737212.7379999999</v>
      </c>
    </row>
    <row r="62" spans="1:6">
      <c r="A62" s="348" t="s">
        <v>48</v>
      </c>
      <c r="B62" s="348" t="s">
        <v>54</v>
      </c>
      <c r="C62" s="334">
        <v>0</v>
      </c>
      <c r="D62" s="334">
        <v>0</v>
      </c>
      <c r="E62" s="334">
        <v>0</v>
      </c>
      <c r="F62" s="334">
        <v>0</v>
      </c>
    </row>
    <row r="63" spans="1:6">
      <c r="A63" s="348" t="s">
        <v>48</v>
      </c>
      <c r="B63" s="348" t="s">
        <v>28</v>
      </c>
      <c r="C63" s="334">
        <v>62</v>
      </c>
      <c r="D63" s="334">
        <v>2948153.361</v>
      </c>
      <c r="E63" s="334">
        <v>2</v>
      </c>
      <c r="F63" s="334">
        <v>62173</v>
      </c>
    </row>
    <row r="64" spans="1:6">
      <c r="A64" s="348" t="s">
        <v>55</v>
      </c>
      <c r="B64" s="348" t="s">
        <v>56</v>
      </c>
      <c r="C64" s="334">
        <v>0</v>
      </c>
      <c r="D64" s="334">
        <v>0</v>
      </c>
      <c r="E64" s="334">
        <v>0</v>
      </c>
      <c r="F64" s="334">
        <v>0</v>
      </c>
    </row>
    <row r="65" spans="1:6">
      <c r="A65" s="348" t="s">
        <v>55</v>
      </c>
      <c r="B65" s="348" t="s">
        <v>28</v>
      </c>
      <c r="C65" s="334">
        <v>1</v>
      </c>
      <c r="D65" s="334">
        <v>15622.954</v>
      </c>
      <c r="E65" s="334">
        <v>2</v>
      </c>
      <c r="F65" s="334">
        <v>9191</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6</v>
      </c>
      <c r="F68" s="334">
        <v>69543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45871296</v>
      </c>
      <c r="E73" s="476"/>
    </row>
    <row r="74" spans="1:6">
      <c r="A74" s="348" t="s">
        <v>63</v>
      </c>
      <c r="B74" s="348" t="s">
        <v>651</v>
      </c>
      <c r="C74" s="1307" t="s">
        <v>653</v>
      </c>
      <c r="D74" s="476">
        <v>3329971</v>
      </c>
      <c r="E74" s="476"/>
    </row>
    <row r="75" spans="1:6">
      <c r="A75" s="348" t="s">
        <v>64</v>
      </c>
      <c r="B75" s="348" t="s">
        <v>650</v>
      </c>
      <c r="C75" s="1307" t="s">
        <v>654</v>
      </c>
      <c r="D75" s="476">
        <v>8323123</v>
      </c>
      <c r="E75" s="476"/>
    </row>
    <row r="76" spans="1:6">
      <c r="A76" s="348" t="s">
        <v>64</v>
      </c>
      <c r="B76" s="348" t="s">
        <v>651</v>
      </c>
      <c r="C76" s="1307" t="s">
        <v>655</v>
      </c>
      <c r="D76" s="476">
        <v>216058</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233450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2571.7704256476882</v>
      </c>
    </row>
    <row r="92" spans="1:6">
      <c r="A92" s="341" t="s">
        <v>68</v>
      </c>
      <c r="B92" s="342">
        <v>1443.5021320188398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1528</v>
      </c>
    </row>
    <row r="98" spans="1:6">
      <c r="A98" s="348" t="s">
        <v>71</v>
      </c>
      <c r="B98" s="334">
        <v>2</v>
      </c>
    </row>
    <row r="99" spans="1:6">
      <c r="A99" s="348" t="s">
        <v>72</v>
      </c>
      <c r="B99" s="334">
        <v>75</v>
      </c>
    </row>
    <row r="100" spans="1:6">
      <c r="A100" s="348" t="s">
        <v>73</v>
      </c>
      <c r="B100" s="334">
        <v>103</v>
      </c>
    </row>
    <row r="101" spans="1:6">
      <c r="A101" s="348" t="s">
        <v>74</v>
      </c>
      <c r="B101" s="334">
        <v>100</v>
      </c>
    </row>
    <row r="102" spans="1:6">
      <c r="A102" s="348" t="s">
        <v>75</v>
      </c>
      <c r="B102" s="334">
        <v>31</v>
      </c>
    </row>
    <row r="103" spans="1:6">
      <c r="A103" s="348" t="s">
        <v>76</v>
      </c>
      <c r="B103" s="334">
        <v>63</v>
      </c>
    </row>
    <row r="104" spans="1:6">
      <c r="A104" s="348" t="s">
        <v>77</v>
      </c>
      <c r="B104" s="334">
        <v>786</v>
      </c>
    </row>
    <row r="105" spans="1:6">
      <c r="A105" s="341" t="s">
        <v>78</v>
      </c>
      <c r="B105" s="341">
        <v>7</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14</v>
      </c>
      <c r="C123" s="334">
        <v>8</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63</v>
      </c>
    </row>
    <row r="130" spans="1:6">
      <c r="A130" s="348" t="s">
        <v>294</v>
      </c>
      <c r="B130" s="334">
        <v>3</v>
      </c>
    </row>
    <row r="131" spans="1:6">
      <c r="A131" s="348" t="s">
        <v>295</v>
      </c>
      <c r="B131" s="334">
        <v>0</v>
      </c>
    </row>
    <row r="132" spans="1:6">
      <c r="A132" s="341" t="s">
        <v>296</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46503.876311965738</v>
      </c>
      <c r="C3" s="43" t="s">
        <v>169</v>
      </c>
      <c r="D3" s="43"/>
      <c r="E3" s="154"/>
      <c r="F3" s="43"/>
      <c r="G3" s="43"/>
      <c r="H3" s="43"/>
      <c r="I3" s="43"/>
      <c r="J3" s="43"/>
      <c r="K3" s="96"/>
    </row>
    <row r="4" spans="1:11">
      <c r="A4" s="383" t="s">
        <v>170</v>
      </c>
      <c r="B4" s="49">
        <f>IF(ISERROR('SEAP template'!B78+'SEAP template'!C78),0,'SEAP template'!B78+'SEAP template'!C78)</f>
        <v>277060.42255766655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55809.391764705892</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0.20143400941031153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79727.702521008425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387711.64285714284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0.20563659614004701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472.13400000000001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472.13400000000001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0.20143400941031153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95.103844598928035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11388.480374000001</v>
      </c>
      <c r="C5" s="17">
        <f>IF(ISERROR('Eigen informatie GS &amp; warmtenet'!B59),0,'Eigen informatie GS &amp; warmtenet'!B59)</f>
        <v>0</v>
      </c>
      <c r="D5" s="30">
        <f>(SUM(HH_hh_gas_kWh,HH_rest_gas_kWh)/1000)*0.902</f>
        <v>37637.144617819999</v>
      </c>
      <c r="E5" s="17">
        <f>B46*B57</f>
        <v>9110.1189490452325</v>
      </c>
      <c r="F5" s="17">
        <f>B51*B62</f>
        <v>0</v>
      </c>
      <c r="G5" s="18"/>
      <c r="H5" s="17"/>
      <c r="I5" s="17"/>
      <c r="J5" s="17">
        <f>B50*B61+C50*C61</f>
        <v>0</v>
      </c>
      <c r="K5" s="17"/>
      <c r="L5" s="17"/>
      <c r="M5" s="17"/>
      <c r="N5" s="17">
        <f>B48*B59+C48*C59</f>
        <v>21020.51518806316</v>
      </c>
      <c r="O5" s="17">
        <f>B69*B70*B71</f>
        <v>142.84499179586629</v>
      </c>
      <c r="P5" s="17">
        <f>B77*B78*B79/1000-B77*B78*B79/1000/B80</f>
        <v>221.21314546138547</v>
      </c>
    </row>
    <row r="6" spans="1:16">
      <c r="A6" s="16" t="s">
        <v>615</v>
      </c>
      <c r="B6" s="809">
        <f>kWh_PV_kleiner_dan_10kW</f>
        <v>2571.7704256476882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13960.250799647689</v>
      </c>
      <c r="C8" s="21">
        <f>C5</f>
        <v>0</v>
      </c>
      <c r="D8" s="21">
        <f>D5</f>
        <v>37637.144617819999</v>
      </c>
      <c r="E8" s="21">
        <f>E5</f>
        <v>9110.1189490452325</v>
      </c>
      <c r="F8" s="21">
        <f>F5</f>
        <v>0</v>
      </c>
      <c r="G8" s="21"/>
      <c r="H8" s="21"/>
      <c r="I8" s="21"/>
      <c r="J8" s="21">
        <f>J5</f>
        <v>0</v>
      </c>
      <c r="K8" s="21"/>
      <c r="L8" s="21">
        <f>L5</f>
        <v>0</v>
      </c>
      <c r="M8" s="21">
        <f>M5</f>
        <v>0</v>
      </c>
      <c r="N8" s="21">
        <f>N5</f>
        <v>21020.51518806316</v>
      </c>
      <c r="O8" s="21">
        <f>O5</f>
        <v>142.84499179586629</v>
      </c>
      <c r="P8" s="21">
        <f>P5</f>
        <v>221.21314546138547</v>
      </c>
    </row>
    <row r="9" spans="1:16">
      <c r="B9" s="19"/>
      <c r="C9" s="19"/>
      <c r="D9" s="258"/>
      <c r="E9" s="19"/>
      <c r="F9" s="19"/>
      <c r="G9" s="19"/>
      <c r="H9" s="19"/>
      <c r="I9" s="19"/>
      <c r="J9" s="19"/>
      <c r="K9" s="19"/>
      <c r="L9" s="19"/>
      <c r="M9" s="19"/>
      <c r="N9" s="19"/>
      <c r="O9" s="19"/>
      <c r="P9" s="19"/>
    </row>
    <row r="10" spans="1:16">
      <c r="A10" s="24" t="s">
        <v>213</v>
      </c>
      <c r="B10" s="25">
        <f ca="1">'EF ele_warmte'!B12</f>
        <v>0.20143400941031153</v>
      </c>
      <c r="C10" s="25">
        <f ca="1">'EF ele_warmte'!B22</f>
        <v>0.20563659614004701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2812.0692909465415</v>
      </c>
      <c r="C12" s="23">
        <f ca="1">C10*C8</f>
        <v>0</v>
      </c>
      <c r="D12" s="23">
        <f>D8*D10</f>
        <v>7602.7032127996399</v>
      </c>
      <c r="E12" s="23">
        <f>E10*E8</f>
        <v>2067.997001433268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1528</v>
      </c>
      <c r="C18" s="166" t="s">
        <v>110</v>
      </c>
      <c r="D18" s="228"/>
      <c r="E18" s="15"/>
    </row>
    <row r="19" spans="1:7">
      <c r="A19" s="171" t="s">
        <v>71</v>
      </c>
      <c r="B19" s="37">
        <f>aantalw2001_ander</f>
        <v>2</v>
      </c>
      <c r="C19" s="166" t="s">
        <v>110</v>
      </c>
      <c r="D19" s="229"/>
      <c r="E19" s="15"/>
    </row>
    <row r="20" spans="1:7">
      <c r="A20" s="171" t="s">
        <v>72</v>
      </c>
      <c r="B20" s="37">
        <f>aantalw2001_propaan</f>
        <v>75</v>
      </c>
      <c r="C20" s="167">
        <f>IF(ISERROR(B20/SUM($B$20,$B$21,$B$22)*100),0,B20/SUM($B$20,$B$21,$B$22)*100)</f>
        <v>26.978417266187048</v>
      </c>
      <c r="D20" s="229"/>
      <c r="E20" s="15"/>
    </row>
    <row r="21" spans="1:7">
      <c r="A21" s="171" t="s">
        <v>73</v>
      </c>
      <c r="B21" s="37">
        <f>aantalw2001_elektriciteit</f>
        <v>103</v>
      </c>
      <c r="C21" s="167">
        <f>IF(ISERROR(B21/SUM($B$20,$B$21,$B$22)*100),0,B21/SUM($B$20,$B$21,$B$22)*100)</f>
        <v>37.050359712230211</v>
      </c>
      <c r="D21" s="229"/>
      <c r="E21" s="15"/>
    </row>
    <row r="22" spans="1:7">
      <c r="A22" s="171" t="s">
        <v>74</v>
      </c>
      <c r="B22" s="37">
        <f>aantalw2001_hout</f>
        <v>100</v>
      </c>
      <c r="C22" s="167">
        <f>IF(ISERROR(B22/SUM($B$20,$B$21,$B$22)*100),0,B22/SUM($B$20,$B$21,$B$22)*100)</f>
        <v>35.97122302158273</v>
      </c>
      <c r="D22" s="229"/>
      <c r="E22" s="15"/>
    </row>
    <row r="23" spans="1:7">
      <c r="A23" s="171" t="s">
        <v>75</v>
      </c>
      <c r="B23" s="37">
        <f>aantalw2001_niet_gespec</f>
        <v>31</v>
      </c>
      <c r="C23" s="166" t="s">
        <v>110</v>
      </c>
      <c r="D23" s="228"/>
      <c r="E23" s="15"/>
    </row>
    <row r="24" spans="1:7">
      <c r="A24" s="171" t="s">
        <v>76</v>
      </c>
      <c r="B24" s="37">
        <f>aantalw2001_steenkool</f>
        <v>63</v>
      </c>
      <c r="C24" s="166" t="s">
        <v>110</v>
      </c>
      <c r="D24" s="229"/>
      <c r="E24" s="15"/>
    </row>
    <row r="25" spans="1:7">
      <c r="A25" s="171" t="s">
        <v>77</v>
      </c>
      <c r="B25" s="37">
        <f>aantalw2001_stookolie</f>
        <v>786</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836</v>
      </c>
      <c r="B28" s="37">
        <f>aantalHuishoudens2011</f>
        <v>3230</v>
      </c>
      <c r="C28" s="36"/>
      <c r="D28" s="228"/>
    </row>
    <row r="29" spans="1:7" s="15" customFormat="1">
      <c r="A29" s="230" t="s">
        <v>837</v>
      </c>
      <c r="B29" s="37">
        <f>SUM(HH_hh_gas_aantal,HH_rest_gas_aantal)</f>
        <v>2347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2347</v>
      </c>
      <c r="C32" s="167">
        <f>IF(ISERROR(B32/SUM($B$32,$B$34,$B$35,$B$36,$B$38,$B$39)*100),0,B32/SUM($B$32,$B$34,$B$35,$B$36,$B$38,$B$39)*100)</f>
        <v>73.138049236522278</v>
      </c>
      <c r="D32" s="233"/>
      <c r="G32" s="15"/>
    </row>
    <row r="33" spans="1:7">
      <c r="A33" s="171" t="s">
        <v>71</v>
      </c>
      <c r="B33" s="34" t="s">
        <v>110</v>
      </c>
      <c r="C33" s="167"/>
      <c r="D33" s="233"/>
      <c r="G33" s="15"/>
    </row>
    <row r="34" spans="1:7">
      <c r="A34" s="171" t="s">
        <v>72</v>
      </c>
      <c r="B34" s="33">
        <f>IF((($B$28-$B$32-$B$39-$B$77-$B$38)*C20/100)&lt;0,0,($B$28-$B$32-$B$39-$B$77-$B$38)*C20/100)</f>
        <v>232.55395683453236</v>
      </c>
      <c r="C34" s="167">
        <f>IF(ISERROR(B34/SUM($B$32,$B$34,$B$35,$B$36,$B$38,$B$39)*100),0,B34/SUM($B$32,$B$34,$B$35,$B$36,$B$38,$B$39)*100)</f>
        <v>7.2469291628087369</v>
      </c>
      <c r="D34" s="233"/>
      <c r="G34" s="15"/>
    </row>
    <row r="35" spans="1:7">
      <c r="A35" s="171" t="s">
        <v>73</v>
      </c>
      <c r="B35" s="33">
        <f>IF((($B$28-$B$32-$B$39-$B$77-$B$38)*C21/100)&lt;0,0,($B$28-$B$32-$B$39-$B$77-$B$38)*C21/100)</f>
        <v>319.3741007194244</v>
      </c>
      <c r="C35" s="167">
        <f>IF(ISERROR(B35/SUM($B$32,$B$34,$B$35,$B$36,$B$38,$B$39)*100),0,B35/SUM($B$32,$B$34,$B$35,$B$36,$B$38,$B$39)*100)</f>
        <v>9.9524493835906647</v>
      </c>
      <c r="D35" s="233"/>
      <c r="G35" s="15"/>
    </row>
    <row r="36" spans="1:7">
      <c r="A36" s="171" t="s">
        <v>74</v>
      </c>
      <c r="B36" s="33">
        <f>IF((($B$28-$B$32-$B$39-$B$77-$B$38)*C22/100)&lt;0,0,($B$28-$B$32-$B$39-$B$77-$B$38)*C22/100)</f>
        <v>310.07194244604312</v>
      </c>
      <c r="C36" s="167">
        <f>IF(ISERROR(B36/SUM($B$32,$B$34,$B$35,$B$36,$B$38,$B$39)*100),0,B36/SUM($B$32,$B$34,$B$35,$B$36,$B$38,$B$39)*100)</f>
        <v>9.6625722170783153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2347</v>
      </c>
      <c r="C44" s="34" t="s">
        <v>110</v>
      </c>
      <c r="D44" s="174"/>
    </row>
    <row r="45" spans="1:7">
      <c r="A45" s="171" t="s">
        <v>71</v>
      </c>
      <c r="B45" s="33" t="str">
        <f t="shared" si="0"/>
        <v>-</v>
      </c>
      <c r="C45" s="34" t="s">
        <v>110</v>
      </c>
      <c r="D45" s="174"/>
    </row>
    <row r="46" spans="1:7">
      <c r="A46" s="171" t="s">
        <v>72</v>
      </c>
      <c r="B46" s="33">
        <f t="shared" si="0"/>
        <v>232.55395683453236</v>
      </c>
      <c r="C46" s="34" t="s">
        <v>110</v>
      </c>
      <c r="D46" s="174"/>
    </row>
    <row r="47" spans="1:7">
      <c r="A47" s="171" t="s">
        <v>73</v>
      </c>
      <c r="B47" s="33">
        <f t="shared" si="0"/>
        <v>319.3741007194244</v>
      </c>
      <c r="C47" s="34" t="s">
        <v>110</v>
      </c>
      <c r="D47" s="174"/>
    </row>
    <row r="48" spans="1:7">
      <c r="A48" s="171" t="s">
        <v>74</v>
      </c>
      <c r="B48" s="33">
        <f t="shared" si="0"/>
        <v>310.07194244604312</v>
      </c>
      <c r="C48" s="33">
        <f>B48*10</f>
        <v>3100.7194244604311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12590.502738000001</v>
      </c>
      <c r="C5" s="17">
        <f>IF(ISERROR('Eigen informatie GS &amp; warmtenet'!B60),0,'Eigen informatie GS &amp; warmtenet'!B60)</f>
        <v>0</v>
      </c>
      <c r="D5" s="30">
        <f>SUM(D6:D12)</f>
        <v>18267.515929410001</v>
      </c>
      <c r="E5" s="17">
        <f>SUM(E6:E12)</f>
        <v>123.08949676957894</v>
      </c>
      <c r="F5" s="17">
        <f>SUM(F6:F12)</f>
        <v>1541.6112581715092</v>
      </c>
      <c r="G5" s="18"/>
      <c r="H5" s="17"/>
      <c r="I5" s="17"/>
      <c r="J5" s="17">
        <f>SUM(J6:J12)</f>
        <v>6.1746660303304939E-2</v>
      </c>
      <c r="K5" s="17"/>
      <c r="L5" s="17"/>
      <c r="M5" s="17"/>
      <c r="N5" s="17">
        <f>SUM(N6:N12)</f>
        <v>2418.429740351145</v>
      </c>
      <c r="O5" s="17">
        <f>B38*B39*B40</f>
        <v>14.691782297523464</v>
      </c>
      <c r="P5" s="17">
        <f>B46*B47*B48/1000-B46*B47*B48/1000/B49</f>
        <v>0</v>
      </c>
      <c r="R5" s="32"/>
    </row>
    <row r="6" spans="1:18">
      <c r="A6" s="32" t="s">
        <v>53</v>
      </c>
      <c r="B6" s="37">
        <f>B26</f>
        <v>3737.2127379999997</v>
      </c>
      <c r="C6" s="33"/>
      <c r="D6" s="37">
        <f>IF(ISERROR(TER_kantoor_gas_kWh/1000),0,TER_kantoor_gas_kWh/1000)*0.902</f>
        <v>10122.69663262</v>
      </c>
      <c r="E6" s="33">
        <f>$C$26*'E Balans VL '!I12/100/3.6*1000000</f>
        <v>30.072152657881599</v>
      </c>
      <c r="F6" s="33">
        <f>$C$26*('E Balans VL '!L12+'E Balans VL '!N12)/100/3.6*1000000</f>
        <v>456.91357143983305</v>
      </c>
      <c r="G6" s="34"/>
      <c r="H6" s="33"/>
      <c r="I6" s="33"/>
      <c r="J6" s="33">
        <f>$C$26*('E Balans VL '!D12+'E Balans VL '!E12)/100/3.6*1000000</f>
        <v>0</v>
      </c>
      <c r="K6" s="33"/>
      <c r="L6" s="33"/>
      <c r="M6" s="33"/>
      <c r="N6" s="33">
        <f>$C$26*'E Balans VL '!Y12/100/3.6*1000000</f>
        <v>2.0085678088668928</v>
      </c>
      <c r="O6" s="33"/>
      <c r="P6" s="33"/>
      <c r="R6" s="32"/>
    </row>
    <row r="7" spans="1:18">
      <c r="A7" s="32" t="s">
        <v>52</v>
      </c>
      <c r="B7" s="37">
        <f t="shared" ref="B7:B12" si="0">B27</f>
        <v>1466.2349999999999</v>
      </c>
      <c r="C7" s="33"/>
      <c r="D7" s="37">
        <f>IF(ISERROR(TER_horeca_gas_kWh/1000),0,TER_horeca_gas_kWh/1000)*0.902</f>
        <v>588.31522675199994</v>
      </c>
      <c r="E7" s="33">
        <f>$C$27*'E Balans VL '!I9/100/3.6*1000000</f>
        <v>15.743763456299334</v>
      </c>
      <c r="F7" s="33">
        <f>$C$27*('E Balans VL '!L9+'E Balans VL '!N9)/100/3.6*1000000</f>
        <v>176.35251621805099</v>
      </c>
      <c r="G7" s="34"/>
      <c r="H7" s="33"/>
      <c r="I7" s="33"/>
      <c r="J7" s="33">
        <f>$C$27*('E Balans VL '!D9+'E Balans VL '!E9)/100/3.6*1000000</f>
        <v>0</v>
      </c>
      <c r="K7" s="33"/>
      <c r="L7" s="33"/>
      <c r="M7" s="33"/>
      <c r="N7" s="33">
        <f>$C$27*'E Balans VL '!Y9/100/3.6*1000000</f>
        <v>0.21981834363333436</v>
      </c>
      <c r="O7" s="33"/>
      <c r="P7" s="33"/>
      <c r="R7" s="32"/>
    </row>
    <row r="8" spans="1:18">
      <c r="A8" s="6" t="s">
        <v>51</v>
      </c>
      <c r="B8" s="37">
        <f t="shared" si="0"/>
        <v>2561.8319999999999</v>
      </c>
      <c r="C8" s="33"/>
      <c r="D8" s="37">
        <f>IF(ISERROR(TER_handel_gas_kWh/1000),0,TER_handel_gas_kWh/1000)*0.902</f>
        <v>1061.6618618320001</v>
      </c>
      <c r="E8" s="33">
        <f>$C$28*'E Balans VL '!I13/100/3.6*1000000</f>
        <v>68.751727907415059</v>
      </c>
      <c r="F8" s="33">
        <f>$C$28*('E Balans VL '!L13+'E Balans VL '!N13)/100/3.6*1000000</f>
        <v>244.47773049814478</v>
      </c>
      <c r="G8" s="34"/>
      <c r="H8" s="33"/>
      <c r="I8" s="33"/>
      <c r="J8" s="33">
        <f>$C$28*('E Balans VL '!D13+'E Balans VL '!E13)/100/3.6*1000000</f>
        <v>0</v>
      </c>
      <c r="K8" s="33"/>
      <c r="L8" s="33"/>
      <c r="M8" s="33"/>
      <c r="N8" s="33">
        <f>$C$28*'E Balans VL '!Y13/100/3.6*1000000</f>
        <v>1.0155393338173768</v>
      </c>
      <c r="O8" s="33"/>
      <c r="P8" s="33"/>
      <c r="R8" s="32"/>
    </row>
    <row r="9" spans="1:18">
      <c r="A9" s="32" t="s">
        <v>50</v>
      </c>
      <c r="B9" s="37">
        <f t="shared" si="0"/>
        <v>1132.789</v>
      </c>
      <c r="C9" s="33"/>
      <c r="D9" s="37">
        <f>IF(ISERROR(TER_gezond_gas_kWh/1000),0,TER_gezond_gas_kWh/1000)*0.902</f>
        <v>3712.1255107639995</v>
      </c>
      <c r="E9" s="33">
        <f>$C$29*'E Balans VL '!I10/100/3.6*1000000</f>
        <v>2.1232154381153592</v>
      </c>
      <c r="F9" s="33">
        <f>$C$29*('E Balans VL '!L10+'E Balans VL '!N10)/100/3.6*1000000</f>
        <v>93.125591703209395</v>
      </c>
      <c r="G9" s="34"/>
      <c r="H9" s="33"/>
      <c r="I9" s="33"/>
      <c r="J9" s="33">
        <f>$C$29*('E Balans VL '!D10+'E Balans VL '!E10)/100/3.6*1000000</f>
        <v>0</v>
      </c>
      <c r="K9" s="33"/>
      <c r="L9" s="33"/>
      <c r="M9" s="33"/>
      <c r="N9" s="33">
        <f>$C$29*'E Balans VL '!Y10/100/3.6*1000000</f>
        <v>8.8139436020356321</v>
      </c>
      <c r="O9" s="33"/>
      <c r="P9" s="33"/>
      <c r="R9" s="32"/>
    </row>
    <row r="10" spans="1:18">
      <c r="A10" s="32" t="s">
        <v>49</v>
      </c>
      <c r="B10" s="37">
        <f t="shared" si="0"/>
        <v>3630.261</v>
      </c>
      <c r="C10" s="33"/>
      <c r="D10" s="37">
        <f>IF(ISERROR(TER_ander_gas_kWh/1000),0,TER_ander_gas_kWh/1000)*0.902</f>
        <v>123.48236582000001</v>
      </c>
      <c r="E10" s="33">
        <f>$C$30*'E Balans VL '!I14/100/3.6*1000000</f>
        <v>5.59608411636634</v>
      </c>
      <c r="F10" s="33">
        <f>$C$30*('E Balans VL '!L14+'E Balans VL '!N14)/100/3.6*1000000</f>
        <v>563.59902243864815</v>
      </c>
      <c r="G10" s="34"/>
      <c r="H10" s="33"/>
      <c r="I10" s="33"/>
      <c r="J10" s="33">
        <f>$C$30*('E Balans VL '!D14+'E Balans VL '!E14)/100/3.6*1000000</f>
        <v>6.1627509038280459E-2</v>
      </c>
      <c r="K10" s="33"/>
      <c r="L10" s="33"/>
      <c r="M10" s="33"/>
      <c r="N10" s="33">
        <f>$C$30*'E Balans VL '!Y14/100/3.6*1000000</f>
        <v>2401.664328608309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62.173000000000002</v>
      </c>
      <c r="C12" s="33"/>
      <c r="D12" s="37">
        <f>IF(ISERROR(TER_rest_gas_kWh/1000),0,TER_rest_gas_kWh/1000)*0.902</f>
        <v>2659.2343316220004</v>
      </c>
      <c r="E12" s="33">
        <f>$C$32*'E Balans VL '!I8/100/3.6*1000000</f>
        <v>0.8025531935012421</v>
      </c>
      <c r="F12" s="33">
        <f>$C$32*('E Balans VL '!L8+'E Balans VL '!N8)/100/3.6*1000000</f>
        <v>7.1428258736228267</v>
      </c>
      <c r="G12" s="34"/>
      <c r="H12" s="33"/>
      <c r="I12" s="33"/>
      <c r="J12" s="33">
        <f>$C$32*('E Balans VL '!D8+'E Balans VL '!E8)/100/3.6*1000000</f>
        <v>1.1915126502447919E-4</v>
      </c>
      <c r="K12" s="33"/>
      <c r="L12" s="33"/>
      <c r="M12" s="33"/>
      <c r="N12" s="33">
        <f>$C$32*'E Balans VL '!Y8/100/3.6*1000000</f>
        <v>4.7075426544831371</v>
      </c>
      <c r="O12" s="33"/>
      <c r="P12" s="33"/>
      <c r="R12" s="32"/>
    </row>
    <row r="13" spans="1:18">
      <c r="A13" s="16" t="s">
        <v>482</v>
      </c>
      <c r="B13" s="247">
        <f ca="1">'lokale energieproductie'!N91+'lokale energieproductie'!N60</f>
        <v>1647</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-4705.7142857142862</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14237.502738000001</v>
      </c>
      <c r="C16" s="21">
        <f t="shared" ca="1" si="1"/>
        <v>0</v>
      </c>
      <c r="D16" s="21">
        <f t="shared" ca="1" si="1"/>
        <v>18267.515929410001</v>
      </c>
      <c r="E16" s="21">
        <f t="shared" si="1"/>
        <v>123.08949676957894</v>
      </c>
      <c r="F16" s="21">
        <f t="shared" ca="1" si="1"/>
        <v>1541.6112581715092</v>
      </c>
      <c r="G16" s="21">
        <f t="shared" si="1"/>
        <v>0</v>
      </c>
      <c r="H16" s="21">
        <f t="shared" si="1"/>
        <v>0</v>
      </c>
      <c r="I16" s="21">
        <f t="shared" si="1"/>
        <v>0</v>
      </c>
      <c r="J16" s="21">
        <f t="shared" si="1"/>
        <v>6.1746660303304939E-2</v>
      </c>
      <c r="K16" s="21">
        <f t="shared" si="1"/>
        <v>0</v>
      </c>
      <c r="L16" s="21">
        <f t="shared" ca="1" si="1"/>
        <v>0</v>
      </c>
      <c r="M16" s="21">
        <f t="shared" si="1"/>
        <v>0</v>
      </c>
      <c r="N16" s="21">
        <f t="shared" ca="1" si="1"/>
        <v>0</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0.20143400941031153</v>
      </c>
      <c r="C18" s="25">
        <f ca="1">'EF ele_warmte'!B22</f>
        <v>0.20563659614004701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2867.9172605056283</v>
      </c>
      <c r="C20" s="23">
        <f t="shared" ref="C20:P20" ca="1" si="2">C16*C18</f>
        <v>0</v>
      </c>
      <c r="D20" s="23">
        <f t="shared" ca="1" si="2"/>
        <v>3690.0382177408205</v>
      </c>
      <c r="E20" s="23">
        <f t="shared" si="2"/>
        <v>27.941315766694419</v>
      </c>
      <c r="F20" s="23">
        <f t="shared" ca="1" si="2"/>
        <v>411.61020593179296</v>
      </c>
      <c r="G20" s="23">
        <f t="shared" si="2"/>
        <v>0</v>
      </c>
      <c r="H20" s="23">
        <f t="shared" si="2"/>
        <v>0</v>
      </c>
      <c r="I20" s="23">
        <f t="shared" si="2"/>
        <v>0</v>
      </c>
      <c r="J20" s="23">
        <f t="shared" si="2"/>
        <v>2.1858317747369946E-2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3737.2127379999997</v>
      </c>
      <c r="C26" s="39">
        <f>IF(ISERROR(B26*3.6/1000000/'E Balans VL '!Z12*100),0,B26*3.6/1000000/'E Balans VL '!Z12*100)</f>
        <v>7.9281549079649058E-2</v>
      </c>
      <c r="D26" s="237" t="s">
        <v>716</v>
      </c>
      <c r="F26" s="6"/>
    </row>
    <row r="27" spans="1:18">
      <c r="A27" s="231" t="s">
        <v>52</v>
      </c>
      <c r="B27" s="33">
        <f>IF(ISERROR(TER_horeca_ele_kWh/1000),0,TER_horeca_ele_kWh/1000)</f>
        <v>1466.2349999999999</v>
      </c>
      <c r="C27" s="39">
        <f>IF(ISERROR(B27*3.6/1000000/'E Balans VL '!Z9*100),0,B27*3.6/1000000/'E Balans VL '!Z9*100)</f>
        <v>0.11042048415236246</v>
      </c>
      <c r="D27" s="237" t="s">
        <v>716</v>
      </c>
      <c r="F27" s="6"/>
    </row>
    <row r="28" spans="1:18">
      <c r="A28" s="171" t="s">
        <v>51</v>
      </c>
      <c r="B28" s="33">
        <f>IF(ISERROR(TER_handel_ele_kWh/1000),0,TER_handel_ele_kWh/1000)</f>
        <v>2561.8319999999999</v>
      </c>
      <c r="C28" s="39">
        <f>IF(ISERROR(B28*3.6/1000000/'E Balans VL '!Z13*100),0,B28*3.6/1000000/'E Balans VL '!Z13*100)</f>
        <v>7.4360905680998318E-2</v>
      </c>
      <c r="D28" s="237" t="s">
        <v>716</v>
      </c>
      <c r="F28" s="6"/>
    </row>
    <row r="29" spans="1:18">
      <c r="A29" s="231" t="s">
        <v>50</v>
      </c>
      <c r="B29" s="33">
        <f>IF(ISERROR(TER_gezond_ele_kWh/1000),0,TER_gezond_ele_kWh/1000)</f>
        <v>1132.789</v>
      </c>
      <c r="C29" s="39">
        <f>IF(ISERROR(B29*3.6/1000000/'E Balans VL '!Z10*100),0,B29*3.6/1000000/'E Balans VL '!Z10*100)</f>
        <v>0.11424312155590369</v>
      </c>
      <c r="D29" s="237" t="s">
        <v>716</v>
      </c>
      <c r="F29" s="6"/>
    </row>
    <row r="30" spans="1:18">
      <c r="A30" s="231" t="s">
        <v>49</v>
      </c>
      <c r="B30" s="33">
        <f>IF(ISERROR(TER_ander_ele_kWh/1000),0,TER_ander_ele_kWh/1000)</f>
        <v>3630.261</v>
      </c>
      <c r="C30" s="39">
        <f>IF(ISERROR(B30*3.6/1000000/'E Balans VL '!Z14*100),0,B30*3.6/1000000/'E Balans VL '!Z14*100)</f>
        <v>0.26342496139085469</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62.173000000000002</v>
      </c>
      <c r="C32" s="39">
        <f>IF(ISERROR(B32*3.6/1000000/'E Balans VL '!Z8*100),0,B32*3.6/1000000/'E Balans VL '!Z8*100)</f>
        <v>5.0930855195280343E-4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3491.8089500000001</v>
      </c>
      <c r="C5" s="17">
        <f>IF(ISERROR('Eigen informatie GS &amp; warmtenet'!B61),0,'Eigen informatie GS &amp; warmtenet'!B61)</f>
        <v>0</v>
      </c>
      <c r="D5" s="30">
        <f>SUM(D6:D15)</f>
        <v>2605.3802908319999</v>
      </c>
      <c r="E5" s="17">
        <f>SUM(E6:E15)</f>
        <v>327.89077603375034</v>
      </c>
      <c r="F5" s="17">
        <f>SUM(F6:F15)</f>
        <v>1109.6810692202769</v>
      </c>
      <c r="G5" s="18"/>
      <c r="H5" s="17"/>
      <c r="I5" s="17"/>
      <c r="J5" s="17">
        <f>SUM(J6:J15)</f>
        <v>0.85078077800428031</v>
      </c>
      <c r="K5" s="17"/>
      <c r="L5" s="17"/>
      <c r="M5" s="17"/>
      <c r="N5" s="17">
        <f>SUM(N6:N15)</f>
        <v>190.37872984551819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631.16</v>
      </c>
      <c r="C8" s="33"/>
      <c r="D8" s="37">
        <f>IF( ISERROR(IND_metaal_Gas_kWH/1000),0,IND_metaal_Gas_kWH/1000)*0.902</f>
        <v>112.67377648999999</v>
      </c>
      <c r="E8" s="33">
        <f>C30*'E Balans VL '!I18/100/3.6*1000000</f>
        <v>4.5533764105103955</v>
      </c>
      <c r="F8" s="33">
        <f>C30*'E Balans VL '!L18/100/3.6*1000000+C30*'E Balans VL '!N18/100/3.6*1000000</f>
        <v>59.696098224828617</v>
      </c>
      <c r="G8" s="34"/>
      <c r="H8" s="33"/>
      <c r="I8" s="33"/>
      <c r="J8" s="40">
        <f>C30*'E Balans VL '!D18/100/3.6*1000000+C30*'E Balans VL '!E18/100/3.6*1000000</f>
        <v>0.63482439579580352</v>
      </c>
      <c r="K8" s="33"/>
      <c r="L8" s="33"/>
      <c r="M8" s="33"/>
      <c r="N8" s="33">
        <f>C30*'E Balans VL '!Y18/100/3.6*1000000</f>
        <v>7.9795322844982293</v>
      </c>
      <c r="O8" s="33"/>
      <c r="P8" s="33"/>
      <c r="R8" s="32"/>
    </row>
    <row r="9" spans="1:18">
      <c r="A9" s="6" t="s">
        <v>32</v>
      </c>
      <c r="B9" s="37">
        <f t="shared" si="0"/>
        <v>1151.5959499999999</v>
      </c>
      <c r="C9" s="33"/>
      <c r="D9" s="37">
        <f>IF( ISERROR(IND_andere_gas_kWh/1000),0,IND_andere_gas_kWh/1000)*0.902</f>
        <v>1331.1136230479999</v>
      </c>
      <c r="E9" s="33">
        <f>C31*'E Balans VL '!I19/100/3.6*1000000</f>
        <v>319.12263651204341</v>
      </c>
      <c r="F9" s="33">
        <f>C31*'E Balans VL '!L19/100/3.6*1000000+C31*'E Balans VL '!N19/100/3.6*1000000</f>
        <v>954.44521197802771</v>
      </c>
      <c r="G9" s="34"/>
      <c r="H9" s="33"/>
      <c r="I9" s="33"/>
      <c r="J9" s="40">
        <f>C31*'E Balans VL '!D19/100/3.6*1000000+C31*'E Balans VL '!E19/100/3.6*1000000</f>
        <v>0</v>
      </c>
      <c r="K9" s="33"/>
      <c r="L9" s="33"/>
      <c r="M9" s="33"/>
      <c r="N9" s="33">
        <f>C31*'E Balans VL '!Y19/100/3.6*1000000</f>
        <v>83.591780426655049</v>
      </c>
      <c r="O9" s="33"/>
      <c r="P9" s="33"/>
      <c r="R9" s="32"/>
    </row>
    <row r="10" spans="1:18">
      <c r="A10" s="6" t="s">
        <v>40</v>
      </c>
      <c r="B10" s="37">
        <f t="shared" si="0"/>
        <v>1682.912</v>
      </c>
      <c r="C10" s="33"/>
      <c r="D10" s="37">
        <f>IF( ISERROR(IND_voed_gas_kWh/1000),0,IND_voed_gas_kWh/1000)*0.902</f>
        <v>444.538700694</v>
      </c>
      <c r="E10" s="33">
        <f>C32*'E Balans VL '!I20/100/3.6*1000000</f>
        <v>2.9793242788412226</v>
      </c>
      <c r="F10" s="33">
        <f>C32*'E Balans VL '!L20/100/3.6*1000000+C32*'E Balans VL '!N20/100/3.6*1000000</f>
        <v>90.892163515261629</v>
      </c>
      <c r="G10" s="34"/>
      <c r="H10" s="33"/>
      <c r="I10" s="33"/>
      <c r="J10" s="40">
        <f>C32*'E Balans VL '!D20/100/3.6*1000000+C32*'E Balans VL '!E20/100/3.6*1000000</f>
        <v>0</v>
      </c>
      <c r="K10" s="33"/>
      <c r="L10" s="33"/>
      <c r="M10" s="33"/>
      <c r="N10" s="33">
        <f>C32*'E Balans VL '!Y20/100/3.6*1000000</f>
        <v>97.79003975909832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26.140999999999998</v>
      </c>
      <c r="C15" s="33"/>
      <c r="D15" s="37">
        <f>IF( ISERROR(IND_rest_gas_kWh/1000),0,IND_rest_gas_kWh/1000)*0.902</f>
        <v>717.05419060000008</v>
      </c>
      <c r="E15" s="33">
        <f>C37*'E Balans VL '!I15/100/3.6*1000000</f>
        <v>1.235438832355342</v>
      </c>
      <c r="F15" s="33">
        <f>C37*'E Balans VL '!L15/100/3.6*1000000+C37*'E Balans VL '!N15/100/3.6*1000000</f>
        <v>4.6475955021589979</v>
      </c>
      <c r="G15" s="34"/>
      <c r="H15" s="33"/>
      <c r="I15" s="33"/>
      <c r="J15" s="40">
        <f>C37*'E Balans VL '!D15/100/3.6*1000000+C37*'E Balans VL '!E15/100/3.6*1000000</f>
        <v>0.21595638220847679</v>
      </c>
      <c r="K15" s="33"/>
      <c r="L15" s="33"/>
      <c r="M15" s="33"/>
      <c r="N15" s="33">
        <f>C37*'E Balans VL '!Y15/100/3.6*1000000</f>
        <v>1.0173773752665989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3491.8089500000001</v>
      </c>
      <c r="C18" s="21">
        <f>C5+C16</f>
        <v>0</v>
      </c>
      <c r="D18" s="21">
        <f>MAX((D5+D16),0)</f>
        <v>2605.3802908319999</v>
      </c>
      <c r="E18" s="21">
        <f>MAX((E5+E16),0)</f>
        <v>327.89077603375034</v>
      </c>
      <c r="F18" s="21">
        <f>MAX((F5+F16),0)</f>
        <v>1109.6810692202769</v>
      </c>
      <c r="G18" s="21"/>
      <c r="H18" s="21"/>
      <c r="I18" s="21"/>
      <c r="J18" s="21">
        <f>MAX((J5+J16),0)</f>
        <v>0.85078077800428031</v>
      </c>
      <c r="K18" s="21"/>
      <c r="L18" s="21">
        <f>MAX((L5+L16),0)</f>
        <v>0</v>
      </c>
      <c r="M18" s="21"/>
      <c r="N18" s="21">
        <f>MAX((N5+N16),0)</f>
        <v>190.37872984551819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0.20143400941031153</v>
      </c>
      <c r="C20" s="25">
        <f ca="1">'EF ele_warmte'!B22</f>
        <v>0.20563659614004701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703.36907689331008</v>
      </c>
      <c r="C22" s="23">
        <f ca="1">C18*C20</f>
        <v>0</v>
      </c>
      <c r="D22" s="23">
        <f>D18*D20</f>
        <v>526.28681874806398</v>
      </c>
      <c r="E22" s="23">
        <f>E18*E20</f>
        <v>74.431206159661329</v>
      </c>
      <c r="F22" s="23">
        <f>F18*F20</f>
        <v>296.28484548181393</v>
      </c>
      <c r="G22" s="23"/>
      <c r="H22" s="23"/>
      <c r="I22" s="23"/>
      <c r="J22" s="23">
        <f>J18*J20</f>
        <v>0.30117639541351521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631.16</v>
      </c>
      <c r="C30" s="39">
        <f>IF(ISERROR(B30*3.6/1000000/'E Balans VL '!Z18*100),0,B30*3.6/1000000/'E Balans VL '!Z18*100)</f>
        <v>3.6435881970965991E-2</v>
      </c>
      <c r="D30" s="237" t="s">
        <v>716</v>
      </c>
    </row>
    <row r="31" spans="1:18">
      <c r="A31" s="6" t="s">
        <v>32</v>
      </c>
      <c r="B31" s="37">
        <f>IF( ISERROR(IND_ander_ele_kWh/1000),0,IND_ander_ele_kWh/1000)</f>
        <v>1151.5959499999999</v>
      </c>
      <c r="C31" s="39">
        <f>IF(ISERROR(B31*3.6/1000000/'E Balans VL '!Z19*100),0,B31*3.6/1000000/'E Balans VL '!Z19*100)</f>
        <v>5.7921543531263948E-2</v>
      </c>
      <c r="D31" s="237" t="s">
        <v>716</v>
      </c>
    </row>
    <row r="32" spans="1:18">
      <c r="A32" s="171" t="s">
        <v>40</v>
      </c>
      <c r="B32" s="37">
        <f>IF( ISERROR(IND_voed_ele_kWh/1000),0,IND_voed_ele_kWh/1000)</f>
        <v>1682.912</v>
      </c>
      <c r="C32" s="39">
        <f>IF(ISERROR(B32*3.6/1000000/'E Balans VL '!Z20*100),0,B32*3.6/1000000/'E Balans VL '!Z20*100)</f>
        <v>5.6050963148961845E-2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26.140999999999998</v>
      </c>
      <c r="C37" s="39">
        <f>IF(ISERROR(B37*3.6/1000000/'E Balans VL '!Z15*100),0,B37*3.6/1000000/'E Balans VL '!Z15*100)</f>
        <v>2.0397128599401902E-4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13635.610893999999</v>
      </c>
      <c r="C5" s="17">
        <f>'Eigen informatie GS &amp; warmtenet'!B62</f>
        <v>0</v>
      </c>
      <c r="D5" s="30">
        <f>IF(ISERROR(SUM(LB_lb_gas_kWh,LB_rest_gas_kWh)/1000),0,SUM(LB_lb_gas_kWh,LB_rest_gas_kWh)/1000)*0.902</f>
        <v>605511.63679298596</v>
      </c>
      <c r="E5" s="17">
        <f>B17*'E Balans VL '!I25/3.6*1000000/100</f>
        <v>425.56291953198706</v>
      </c>
      <c r="F5" s="17">
        <f>B17*('E Balans VL '!L25/3.6*1000000+'E Balans VL '!N25/3.6*1000000)/100</f>
        <v>48189.759411623258</v>
      </c>
      <c r="G5" s="18"/>
      <c r="H5" s="17"/>
      <c r="I5" s="17"/>
      <c r="J5" s="17">
        <f>('E Balans VL '!D25+'E Balans VL '!E25)/3.6*1000000*landbouw!B17/100</f>
        <v>3756.7053634298127</v>
      </c>
      <c r="K5" s="17"/>
      <c r="L5" s="17">
        <f>L6*(-1)</f>
        <v>0</v>
      </c>
      <c r="M5" s="17"/>
      <c r="N5" s="17">
        <f>N6*(-1)</f>
        <v>85161.857142857159</v>
      </c>
      <c r="O5" s="17"/>
      <c r="P5" s="17"/>
      <c r="R5" s="32"/>
    </row>
    <row r="6" spans="1:18">
      <c r="A6" s="16" t="s">
        <v>482</v>
      </c>
      <c r="B6" s="17" t="s">
        <v>210</v>
      </c>
      <c r="C6" s="17">
        <f>'lokale energieproductie'!O92+'lokale energieproductie'!O61</f>
        <v>387711.64285714284</v>
      </c>
      <c r="D6" s="310">
        <f>('lokale energieproductie'!P61+'lokale energieproductie'!P92)*(-1)</f>
        <v>-670975.71428571432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-85161.857142857159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13635.610893999999</v>
      </c>
      <c r="C8" s="21">
        <f>C5+C6</f>
        <v>387711.64285714284</v>
      </c>
      <c r="D8" s="21">
        <f>MAX((D5+D6),0)</f>
        <v>0</v>
      </c>
      <c r="E8" s="21">
        <f>MAX((E5+E6),0)</f>
        <v>425.56291953198706</v>
      </c>
      <c r="F8" s="21">
        <f>MAX((F5+F6),0)</f>
        <v>48189.759411623258</v>
      </c>
      <c r="G8" s="21"/>
      <c r="H8" s="21"/>
      <c r="I8" s="21"/>
      <c r="J8" s="21">
        <f>MAX((J5+J6),0)</f>
        <v>3756.7053634298127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0.20143400941031153</v>
      </c>
      <c r="C10" s="31">
        <f ca="1">'EF ele_warmte'!B22</f>
        <v>0.20563659614004701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2746.6757731373423</v>
      </c>
      <c r="C12" s="23">
        <f ca="1">C8*C10</f>
        <v>79727.702521008425</v>
      </c>
      <c r="D12" s="23">
        <f>D8*D10</f>
        <v>0</v>
      </c>
      <c r="E12" s="23">
        <f>E8*E10</f>
        <v>96.60278273376106</v>
      </c>
      <c r="F12" s="23">
        <f>F8*F10</f>
        <v>12866.665762903411</v>
      </c>
      <c r="G12" s="23"/>
      <c r="H12" s="23"/>
      <c r="I12" s="23"/>
      <c r="J12" s="23">
        <f>J8*J10</f>
        <v>1329.8736986541537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2.0270313087110159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997.91635668700644</v>
      </c>
      <c r="C26" s="247">
        <f>B26*'GWP N2O_CH4'!B5</f>
        <v>20956.243490427136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536.63594309480459</v>
      </c>
      <c r="C27" s="247">
        <f>B27*'GWP N2O_CH4'!B5</f>
        <v>11269.354804990897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22.534465756291755</v>
      </c>
      <c r="C28" s="247">
        <f>B28*'GWP N2O_CH4'!B4</f>
        <v>6985.6843844504438</v>
      </c>
      <c r="D28" s="50"/>
    </row>
    <row r="29" spans="1:4">
      <c r="A29" s="41" t="s">
        <v>276</v>
      </c>
      <c r="B29" s="247">
        <f>B34*'ha_N2O bodem landbouw'!B4</f>
        <v>16.977953637342388</v>
      </c>
      <c r="C29" s="247">
        <f>B29*'GWP N2O_CH4'!B4</f>
        <v>5263.1656275761407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3.7229595514871308E-3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1.0595008914499999E-4</v>
      </c>
      <c r="C5" s="463" t="s">
        <v>210</v>
      </c>
      <c r="D5" s="448">
        <f>SUM(D6:D11)</f>
        <v>4.11958179985968E-4</v>
      </c>
      <c r="E5" s="448">
        <f>SUM(E6:E11)</f>
        <v>3.18801305799775E-4</v>
      </c>
      <c r="F5" s="461" t="s">
        <v>210</v>
      </c>
      <c r="G5" s="448">
        <f>SUM(G6:G11)</f>
        <v>0.11946437842883394</v>
      </c>
      <c r="H5" s="448">
        <f>SUM(H6:H11)</f>
        <v>3.0732071842251199E-2</v>
      </c>
      <c r="I5" s="463" t="s">
        <v>210</v>
      </c>
      <c r="J5" s="463" t="s">
        <v>210</v>
      </c>
      <c r="K5" s="463" t="s">
        <v>210</v>
      </c>
      <c r="L5" s="463" t="s">
        <v>210</v>
      </c>
      <c r="M5" s="448">
        <f>SUM(M6:M11)</f>
        <v>8.9084261565460197E-3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8.9678383679999993E-5</v>
      </c>
      <c r="C6" s="449"/>
      <c r="D6" s="917">
        <f>vkm_2011_GW_PW*SUMIFS(TableVerdeelsleutelVkm[CNG],TableVerdeelsleutelVkm[Voertuigtype],"Lichte voertuigen")*SUMIFS(TableECFTransport[EnergieConsumptieFactor (PJ per km)],TableECFTransport[Index],CONCATENATE($A6,"_CNG_CNG"))</f>
        <v>3.1182701519692801E-4</v>
      </c>
      <c r="E6" s="917">
        <f>vkm_2011_GW_PW*SUMIFS(TableVerdeelsleutelVkm[LPG],TableVerdeelsleutelVkm[Voertuigtype],"Lichte voertuigen")*SUMIFS(TableECFTransport[EnergieConsumptieFactor (PJ per km)],TableECFTransport[Index],CONCATENATE($A6,"_LPG_LPG"))</f>
        <v>2.4566831285760001E-4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6.6873771253598391E-2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2.3401378287258825E-2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5.3945075958063467E-3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3.1502028878706116E-2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7.9363762229532918E-6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1.8165054043381159E-3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1.6271705464999999E-5</v>
      </c>
      <c r="C8" s="449"/>
      <c r="D8" s="451">
        <f>vkm_2011_NGW_PW*SUMIFS(TableVerdeelsleutelVkm[CNG],TableVerdeelsleutelVkm[Voertuigtype],"Lichte voertuigen")*SUMIFS(TableECFTransport[EnergieConsumptieFactor (PJ per km)],TableECFTransport[Index],CONCATENATE($A8,"_CNG_CNG"))</f>
        <v>1.0013116478904001E-4</v>
      </c>
      <c r="E8" s="451">
        <f>vkm_2011_NGW_PW*SUMIFS(TableVerdeelsleutelVkm[LPG],TableVerdeelsleutelVkm[Voertuigtype],"Lichte voertuigen")*SUMIFS(TableECFTransport[EnergieConsumptieFactor (PJ per km)],TableECFTransport[Index],CONCATENATE($A8,"_LPG_LPG"))</f>
        <v>7.3132992942174992E-5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1.8473693366745092E-2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7.3221355896629691E-3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1.5466331680834078E-3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2.6148849297843255E-3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6.215891064533893E-7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1.5077998831814903E-4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29.430580318055554</v>
      </c>
      <c r="C14" s="21"/>
      <c r="D14" s="21">
        <f t="shared" ref="D14:M14" si="0">((D5)*10^9/3600)+D12</f>
        <v>114.43282777387999</v>
      </c>
      <c r="E14" s="21">
        <f t="shared" si="0"/>
        <v>88.555918277715278</v>
      </c>
      <c r="F14" s="21"/>
      <c r="G14" s="21">
        <f t="shared" si="0"/>
        <v>33184.549563564979</v>
      </c>
      <c r="H14" s="21">
        <f t="shared" si="0"/>
        <v>8536.6866228475556</v>
      </c>
      <c r="I14" s="21"/>
      <c r="J14" s="21"/>
      <c r="K14" s="21"/>
      <c r="L14" s="21"/>
      <c r="M14" s="21">
        <f t="shared" si="0"/>
        <v>2474.562821262783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0.20143400941031153</v>
      </c>
      <c r="C16" s="56">
        <f ca="1">'EF ele_warmte'!B22</f>
        <v>0.20563659614004701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5.9283197927381321</v>
      </c>
      <c r="C18" s="23"/>
      <c r="D18" s="23">
        <f t="shared" ref="D18:M18" si="1">D14*D16</f>
        <v>23.115431210323759</v>
      </c>
      <c r="E18" s="23">
        <f t="shared" si="1"/>
        <v>20.102193449041369</v>
      </c>
      <c r="F18" s="23"/>
      <c r="G18" s="23">
        <f t="shared" si="1"/>
        <v>8860.2747334718497</v>
      </c>
      <c r="H18" s="23">
        <f t="shared" si="1"/>
        <v>2125.6349690890415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2.8658467552051788E-3</v>
      </c>
      <c r="H50" s="321">
        <f t="shared" si="2"/>
        <v>0</v>
      </c>
      <c r="I50" s="321">
        <f t="shared" si="2"/>
        <v>0</v>
      </c>
      <c r="J50" s="321">
        <f t="shared" si="2"/>
        <v>0</v>
      </c>
      <c r="K50" s="321">
        <f t="shared" si="2"/>
        <v>0</v>
      </c>
      <c r="L50" s="321">
        <f t="shared" si="2"/>
        <v>0</v>
      </c>
      <c r="M50" s="321">
        <f t="shared" si="2"/>
        <v>1.5928407974282802E-4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2.8658467552051788E-3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1.5928407974282802E-4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796.06854311254961</v>
      </c>
      <c r="H54" s="21">
        <f t="shared" si="3"/>
        <v>0</v>
      </c>
      <c r="I54" s="21">
        <f t="shared" si="3"/>
        <v>0</v>
      </c>
      <c r="J54" s="21">
        <f t="shared" si="3"/>
        <v>0</v>
      </c>
      <c r="K54" s="21">
        <f t="shared" si="3"/>
        <v>0</v>
      </c>
      <c r="L54" s="21">
        <f t="shared" si="3"/>
        <v>0</v>
      </c>
      <c r="M54" s="21">
        <f t="shared" si="3"/>
        <v>44.245577706341123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0.20143400941031153</v>
      </c>
      <c r="C56" s="56">
        <f ca="1">'EF ele_warmte'!B22</f>
        <v>0.20563659614004701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212.55030101105075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4015.272557666528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271398.15000000002</v>
      </c>
      <c r="C8" s="574">
        <f>B101</f>
        <v>276284.11764705885</v>
      </c>
      <c r="D8" s="575"/>
      <c r="E8" s="575">
        <f>E101</f>
        <v>0</v>
      </c>
      <c r="F8" s="576"/>
      <c r="G8" s="577"/>
      <c r="H8" s="575">
        <f>I101</f>
        <v>0</v>
      </c>
      <c r="I8" s="575">
        <f>G101+F101</f>
        <v>0</v>
      </c>
      <c r="J8" s="575">
        <f>H101+D101+C101</f>
        <v>35066.647058823539</v>
      </c>
      <c r="K8" s="575"/>
      <c r="L8" s="575"/>
      <c r="M8" s="575"/>
      <c r="N8" s="578"/>
      <c r="O8" s="579">
        <f>C8*$C$12+D8*$D$12+E8*$E$12+F8*$F$12+G8*$G$12+H8*$H$12+I8*$I$12+J8*$J$12</f>
        <v>55809.391764705892</v>
      </c>
      <c r="P8" s="1291"/>
      <c r="Q8" s="1292"/>
      <c r="S8" s="569"/>
      <c r="T8" s="1288"/>
      <c r="U8" s="1288"/>
    </row>
    <row r="9" spans="1:21" s="560" customFormat="1" ht="17.45" customHeight="1" thickBot="1">
      <c r="A9" s="580" t="s">
        <v>247</v>
      </c>
      <c r="B9" s="581">
        <f>N89+'Eigen informatie GS &amp; warmtenet'!B12</f>
        <v>1647</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277060.42255766655</v>
      </c>
      <c r="C10" s="589">
        <f t="shared" ref="C10:L10" si="0">SUM(C8:C9)</f>
        <v>276284.11764705885</v>
      </c>
      <c r="D10" s="589">
        <f t="shared" si="0"/>
        <v>0</v>
      </c>
      <c r="E10" s="589">
        <f t="shared" si="0"/>
        <v>0</v>
      </c>
      <c r="F10" s="589">
        <f t="shared" si="0"/>
        <v>0</v>
      </c>
      <c r="G10" s="589">
        <f t="shared" si="0"/>
        <v>0</v>
      </c>
      <c r="H10" s="589">
        <f t="shared" si="0"/>
        <v>0</v>
      </c>
      <c r="I10" s="589">
        <f t="shared" si="0"/>
        <v>0</v>
      </c>
      <c r="J10" s="589">
        <f t="shared" si="0"/>
        <v>39772.361344537829</v>
      </c>
      <c r="K10" s="589">
        <f t="shared" si="0"/>
        <v>0</v>
      </c>
      <c r="L10" s="589">
        <f t="shared" si="0"/>
        <v>0</v>
      </c>
      <c r="M10" s="1004"/>
      <c r="N10" s="1004"/>
      <c r="O10" s="590">
        <f>SUM(O4:O9)</f>
        <v>55809.391764705892</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387711.64285714284</v>
      </c>
      <c r="C17" s="605">
        <f>B102</f>
        <v>394691.59663865552</v>
      </c>
      <c r="D17" s="606"/>
      <c r="E17" s="606">
        <f>E102</f>
        <v>0</v>
      </c>
      <c r="F17" s="607"/>
      <c r="G17" s="608"/>
      <c r="H17" s="605">
        <f>I102</f>
        <v>0</v>
      </c>
      <c r="I17" s="606">
        <f>G102+F102</f>
        <v>0</v>
      </c>
      <c r="J17" s="606">
        <f>H102+D102+C102</f>
        <v>50095.210084033628</v>
      </c>
      <c r="K17" s="606"/>
      <c r="L17" s="606"/>
      <c r="M17" s="606"/>
      <c r="N17" s="1005"/>
      <c r="O17" s="609">
        <f>C17*$C$22+E17*$E$22+H17*$H$22+I17*$I$22+J17*$J$22+D17*$D$22+F17*$F$22+G17*$G$22+K17*$K$22+L17*$L$22</f>
        <v>79727.702521008425</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387711.64285714284</v>
      </c>
      <c r="C20" s="588">
        <f>SUM(C17:C19)</f>
        <v>394691.59663865552</v>
      </c>
      <c r="D20" s="588">
        <f t="shared" ref="D20:L20" si="1">SUM(D17:D19)</f>
        <v>0</v>
      </c>
      <c r="E20" s="588">
        <f t="shared" si="1"/>
        <v>0</v>
      </c>
      <c r="F20" s="588">
        <f t="shared" si="1"/>
        <v>0</v>
      </c>
      <c r="G20" s="588">
        <f t="shared" si="1"/>
        <v>0</v>
      </c>
      <c r="H20" s="588">
        <f t="shared" si="1"/>
        <v>0</v>
      </c>
      <c r="I20" s="588">
        <f t="shared" si="1"/>
        <v>0</v>
      </c>
      <c r="J20" s="588">
        <f t="shared" si="1"/>
        <v>50095.210084033628</v>
      </c>
      <c r="K20" s="588">
        <f t="shared" si="1"/>
        <v>0</v>
      </c>
      <c r="L20" s="588">
        <f t="shared" si="1"/>
        <v>0</v>
      </c>
      <c r="M20" s="588"/>
      <c r="N20" s="588"/>
      <c r="O20" s="614">
        <f>SUM(O17:O19)</f>
        <v>79727.702521008425</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13023</v>
      </c>
      <c r="C28" s="817">
        <v>2330</v>
      </c>
      <c r="D28" s="666" t="s">
        <v>886</v>
      </c>
      <c r="E28" s="665" t="s">
        <v>887</v>
      </c>
      <c r="F28" s="665" t="s">
        <v>888</v>
      </c>
      <c r="G28" s="665" t="s">
        <v>889</v>
      </c>
      <c r="H28" s="665" t="s">
        <v>890</v>
      </c>
      <c r="I28" s="665" t="s">
        <v>887</v>
      </c>
      <c r="J28" s="816">
        <v>39217</v>
      </c>
      <c r="K28" s="816">
        <v>38473</v>
      </c>
      <c r="L28" s="665" t="s">
        <v>891</v>
      </c>
      <c r="M28" s="665">
        <v>2758</v>
      </c>
      <c r="N28" s="665">
        <v>12411</v>
      </c>
      <c r="O28" s="665">
        <v>17730</v>
      </c>
      <c r="P28" s="665">
        <v>35460</v>
      </c>
      <c r="Q28" s="665">
        <v>0</v>
      </c>
      <c r="R28" s="665">
        <v>0</v>
      </c>
      <c r="S28" s="665">
        <v>0</v>
      </c>
      <c r="T28" s="665">
        <v>0</v>
      </c>
      <c r="U28" s="665">
        <v>0</v>
      </c>
      <c r="V28" s="665">
        <v>0</v>
      </c>
      <c r="W28" s="665">
        <v>0</v>
      </c>
      <c r="X28" s="665">
        <v>10</v>
      </c>
      <c r="Y28" s="665" t="s">
        <v>111</v>
      </c>
      <c r="Z28" s="667" t="s">
        <v>111</v>
      </c>
    </row>
    <row r="29" spans="1:26" s="619" customFormat="1" ht="38.25">
      <c r="A29" s="618"/>
      <c r="B29" s="817">
        <v>13023</v>
      </c>
      <c r="C29" s="817">
        <v>2330</v>
      </c>
      <c r="D29" s="666" t="s">
        <v>892</v>
      </c>
      <c r="E29" s="665" t="s">
        <v>893</v>
      </c>
      <c r="F29" s="665" t="s">
        <v>894</v>
      </c>
      <c r="G29" s="665" t="s">
        <v>889</v>
      </c>
      <c r="H29" s="665" t="s">
        <v>890</v>
      </c>
      <c r="I29" s="665" t="s">
        <v>893</v>
      </c>
      <c r="J29" s="816">
        <v>39203</v>
      </c>
      <c r="K29" s="816">
        <v>38808</v>
      </c>
      <c r="L29" s="665" t="s">
        <v>891</v>
      </c>
      <c r="M29" s="665">
        <v>7083</v>
      </c>
      <c r="N29" s="665">
        <v>31873.5</v>
      </c>
      <c r="O29" s="665">
        <v>45533.571428571428</v>
      </c>
      <c r="P29" s="665">
        <v>91067.14285714287</v>
      </c>
      <c r="Q29" s="665">
        <v>0</v>
      </c>
      <c r="R29" s="665">
        <v>0</v>
      </c>
      <c r="S29" s="665">
        <v>0</v>
      </c>
      <c r="T29" s="665">
        <v>0</v>
      </c>
      <c r="U29" s="665">
        <v>0</v>
      </c>
      <c r="V29" s="665">
        <v>0</v>
      </c>
      <c r="W29" s="665">
        <v>0</v>
      </c>
      <c r="X29" s="665">
        <v>10</v>
      </c>
      <c r="Y29" s="665" t="s">
        <v>111</v>
      </c>
      <c r="Z29" s="667" t="s">
        <v>111</v>
      </c>
    </row>
    <row r="30" spans="1:26" s="619" customFormat="1" ht="25.5">
      <c r="A30" s="618"/>
      <c r="B30" s="817">
        <v>13023</v>
      </c>
      <c r="C30" s="817">
        <v>2330</v>
      </c>
      <c r="D30" s="666" t="s">
        <v>895</v>
      </c>
      <c r="E30" s="665" t="s">
        <v>896</v>
      </c>
      <c r="F30" s="665" t="s">
        <v>897</v>
      </c>
      <c r="G30" s="665" t="s">
        <v>889</v>
      </c>
      <c r="H30" s="665" t="s">
        <v>890</v>
      </c>
      <c r="I30" s="665" t="s">
        <v>898</v>
      </c>
      <c r="J30" s="816">
        <v>41264</v>
      </c>
      <c r="K30" s="816">
        <v>39071</v>
      </c>
      <c r="L30" s="665" t="s">
        <v>891</v>
      </c>
      <c r="M30" s="665">
        <v>2800</v>
      </c>
      <c r="N30" s="665">
        <v>12600</v>
      </c>
      <c r="O30" s="665">
        <v>18000</v>
      </c>
      <c r="P30" s="665">
        <v>36000</v>
      </c>
      <c r="Q30" s="665">
        <v>0</v>
      </c>
      <c r="R30" s="665">
        <v>0</v>
      </c>
      <c r="S30" s="665">
        <v>0</v>
      </c>
      <c r="T30" s="665">
        <v>0</v>
      </c>
      <c r="U30" s="665">
        <v>0</v>
      </c>
      <c r="V30" s="665">
        <v>0</v>
      </c>
      <c r="W30" s="665">
        <v>0</v>
      </c>
      <c r="X30" s="665">
        <v>10</v>
      </c>
      <c r="Y30" s="665" t="s">
        <v>111</v>
      </c>
      <c r="Z30" s="667" t="s">
        <v>111</v>
      </c>
    </row>
    <row r="31" spans="1:26" s="619" customFormat="1" ht="38.25">
      <c r="A31" s="618"/>
      <c r="B31" s="817">
        <v>13023</v>
      </c>
      <c r="C31" s="817">
        <v>2330</v>
      </c>
      <c r="D31" s="666" t="s">
        <v>899</v>
      </c>
      <c r="E31" s="665" t="s">
        <v>900</v>
      </c>
      <c r="F31" s="665" t="s">
        <v>901</v>
      </c>
      <c r="G31" s="665" t="s">
        <v>889</v>
      </c>
      <c r="H31" s="665" t="s">
        <v>890</v>
      </c>
      <c r="I31" s="665" t="s">
        <v>900</v>
      </c>
      <c r="J31" s="816">
        <v>39233</v>
      </c>
      <c r="K31" s="816">
        <v>39233</v>
      </c>
      <c r="L31" s="665" t="s">
        <v>891</v>
      </c>
      <c r="M31" s="665">
        <v>3256</v>
      </c>
      <c r="N31" s="665">
        <v>14651.999999999998</v>
      </c>
      <c r="O31" s="665">
        <v>20931.428571428569</v>
      </c>
      <c r="P31" s="665">
        <v>41862.857142857138</v>
      </c>
      <c r="Q31" s="665">
        <v>0</v>
      </c>
      <c r="R31" s="665">
        <v>0</v>
      </c>
      <c r="S31" s="665">
        <v>0</v>
      </c>
      <c r="T31" s="665">
        <v>0</v>
      </c>
      <c r="U31" s="665">
        <v>0</v>
      </c>
      <c r="V31" s="665">
        <v>0</v>
      </c>
      <c r="W31" s="665">
        <v>0</v>
      </c>
      <c r="X31" s="665">
        <v>10</v>
      </c>
      <c r="Y31" s="665" t="s">
        <v>111</v>
      </c>
      <c r="Z31" s="667" t="s">
        <v>111</v>
      </c>
    </row>
    <row r="32" spans="1:26" s="619" customFormat="1" ht="25.5">
      <c r="A32" s="618"/>
      <c r="B32" s="817">
        <v>13023</v>
      </c>
      <c r="C32" s="817">
        <v>2330</v>
      </c>
      <c r="D32" s="666" t="s">
        <v>902</v>
      </c>
      <c r="E32" s="665" t="s">
        <v>903</v>
      </c>
      <c r="F32" s="665" t="s">
        <v>904</v>
      </c>
      <c r="G32" s="665" t="s">
        <v>889</v>
      </c>
      <c r="H32" s="665" t="s">
        <v>890</v>
      </c>
      <c r="I32" s="665" t="s">
        <v>903</v>
      </c>
      <c r="J32" s="816">
        <v>40009</v>
      </c>
      <c r="K32" s="816">
        <v>39504</v>
      </c>
      <c r="L32" s="665" t="s">
        <v>891</v>
      </c>
      <c r="M32" s="665">
        <v>3183</v>
      </c>
      <c r="N32" s="665">
        <v>14323.5</v>
      </c>
      <c r="O32" s="665">
        <v>20462.142857142859</v>
      </c>
      <c r="P32" s="665">
        <v>40924.285714285717</v>
      </c>
      <c r="Q32" s="665">
        <v>0</v>
      </c>
      <c r="R32" s="665">
        <v>0</v>
      </c>
      <c r="S32" s="665">
        <v>0</v>
      </c>
      <c r="T32" s="665">
        <v>0</v>
      </c>
      <c r="U32" s="665">
        <v>0</v>
      </c>
      <c r="V32" s="665">
        <v>0</v>
      </c>
      <c r="W32" s="665">
        <v>0</v>
      </c>
      <c r="X32" s="665">
        <v>10</v>
      </c>
      <c r="Y32" s="665" t="s">
        <v>111</v>
      </c>
      <c r="Z32" s="667" t="s">
        <v>111</v>
      </c>
    </row>
    <row r="33" spans="1:26" s="619" customFormat="1" ht="25.5">
      <c r="A33" s="618"/>
      <c r="B33" s="817">
        <v>13023</v>
      </c>
      <c r="C33" s="817">
        <v>2330</v>
      </c>
      <c r="D33" s="666" t="s">
        <v>905</v>
      </c>
      <c r="E33" s="665" t="s">
        <v>906</v>
      </c>
      <c r="F33" s="665" t="s">
        <v>907</v>
      </c>
      <c r="G33" s="665" t="s">
        <v>889</v>
      </c>
      <c r="H33" s="665" t="s">
        <v>890</v>
      </c>
      <c r="I33" s="665" t="s">
        <v>906</v>
      </c>
      <c r="J33" s="816">
        <v>41291</v>
      </c>
      <c r="K33" s="816">
        <v>39625</v>
      </c>
      <c r="L33" s="665" t="s">
        <v>891</v>
      </c>
      <c r="M33" s="665">
        <v>3574</v>
      </c>
      <c r="N33" s="665">
        <v>16083</v>
      </c>
      <c r="O33" s="665">
        <v>22975.714285714286</v>
      </c>
      <c r="P33" s="665">
        <v>45951.428571428572</v>
      </c>
      <c r="Q33" s="665">
        <v>0</v>
      </c>
      <c r="R33" s="665">
        <v>0</v>
      </c>
      <c r="S33" s="665">
        <v>0</v>
      </c>
      <c r="T33" s="665">
        <v>0</v>
      </c>
      <c r="U33" s="665">
        <v>0</v>
      </c>
      <c r="V33" s="665">
        <v>0</v>
      </c>
      <c r="W33" s="665">
        <v>0</v>
      </c>
      <c r="X33" s="665">
        <v>10</v>
      </c>
      <c r="Y33" s="665" t="s">
        <v>111</v>
      </c>
      <c r="Z33" s="667" t="s">
        <v>111</v>
      </c>
    </row>
    <row r="34" spans="1:26" s="619" customFormat="1" ht="25.5">
      <c r="A34" s="618"/>
      <c r="B34" s="817">
        <v>13023</v>
      </c>
      <c r="C34" s="817">
        <v>2330</v>
      </c>
      <c r="D34" s="666" t="s">
        <v>908</v>
      </c>
      <c r="E34" s="665" t="s">
        <v>909</v>
      </c>
      <c r="F34" s="665" t="s">
        <v>910</v>
      </c>
      <c r="G34" s="665" t="s">
        <v>889</v>
      </c>
      <c r="H34" s="665" t="s">
        <v>890</v>
      </c>
      <c r="I34" s="665" t="s">
        <v>909</v>
      </c>
      <c r="J34" s="816">
        <v>40267</v>
      </c>
      <c r="K34" s="816">
        <v>40267</v>
      </c>
      <c r="L34" s="665" t="s">
        <v>891</v>
      </c>
      <c r="M34" s="665">
        <v>12421</v>
      </c>
      <c r="N34" s="665">
        <v>55894.5</v>
      </c>
      <c r="O34" s="665">
        <v>79849.28571428571</v>
      </c>
      <c r="P34" s="665">
        <v>159698.57142857145</v>
      </c>
      <c r="Q34" s="665">
        <v>0</v>
      </c>
      <c r="R34" s="665">
        <v>0</v>
      </c>
      <c r="S34" s="665">
        <v>0</v>
      </c>
      <c r="T34" s="665">
        <v>0</v>
      </c>
      <c r="U34" s="665">
        <v>0</v>
      </c>
      <c r="V34" s="665">
        <v>0</v>
      </c>
      <c r="W34" s="665">
        <v>0</v>
      </c>
      <c r="X34" s="665">
        <v>10</v>
      </c>
      <c r="Y34" s="665" t="s">
        <v>111</v>
      </c>
      <c r="Z34" s="667" t="s">
        <v>111</v>
      </c>
    </row>
    <row r="35" spans="1:26" s="619" customFormat="1" ht="25.5">
      <c r="A35" s="618"/>
      <c r="B35" s="817">
        <v>13023</v>
      </c>
      <c r="C35" s="817">
        <v>2330</v>
      </c>
      <c r="D35" s="666" t="s">
        <v>911</v>
      </c>
      <c r="E35" s="665" t="s">
        <v>912</v>
      </c>
      <c r="F35" s="665" t="s">
        <v>913</v>
      </c>
      <c r="G35" s="665" t="s">
        <v>889</v>
      </c>
      <c r="H35" s="665" t="s">
        <v>890</v>
      </c>
      <c r="I35" s="665" t="s">
        <v>912</v>
      </c>
      <c r="J35" s="816">
        <v>40364</v>
      </c>
      <c r="K35" s="816">
        <v>40364</v>
      </c>
      <c r="L35" s="665" t="s">
        <v>891</v>
      </c>
      <c r="M35" s="665">
        <v>8585</v>
      </c>
      <c r="N35" s="665">
        <v>38632.500000000007</v>
      </c>
      <c r="O35" s="665">
        <v>55189.285714285725</v>
      </c>
      <c r="P35" s="665">
        <v>110378.57142857145</v>
      </c>
      <c r="Q35" s="665">
        <v>0</v>
      </c>
      <c r="R35" s="665">
        <v>0</v>
      </c>
      <c r="S35" s="665">
        <v>0</v>
      </c>
      <c r="T35" s="665">
        <v>0</v>
      </c>
      <c r="U35" s="665">
        <v>0</v>
      </c>
      <c r="V35" s="665">
        <v>0</v>
      </c>
      <c r="W35" s="665">
        <v>0</v>
      </c>
      <c r="X35" s="665">
        <v>10</v>
      </c>
      <c r="Y35" s="665" t="s">
        <v>111</v>
      </c>
      <c r="Z35" s="667" t="s">
        <v>111</v>
      </c>
    </row>
    <row r="36" spans="1:26" s="619" customFormat="1" ht="25.5">
      <c r="A36" s="618"/>
      <c r="B36" s="817">
        <v>13023</v>
      </c>
      <c r="C36" s="817">
        <v>2330</v>
      </c>
      <c r="D36" s="666" t="s">
        <v>914</v>
      </c>
      <c r="E36" s="665" t="s">
        <v>915</v>
      </c>
      <c r="F36" s="665" t="s">
        <v>916</v>
      </c>
      <c r="G36" s="665" t="s">
        <v>889</v>
      </c>
      <c r="H36" s="665" t="s">
        <v>890</v>
      </c>
      <c r="I36" s="665" t="s">
        <v>917</v>
      </c>
      <c r="J36" s="816">
        <v>40987</v>
      </c>
      <c r="K36" s="816">
        <v>40987</v>
      </c>
      <c r="L36" s="665" t="s">
        <v>891</v>
      </c>
      <c r="M36" s="665">
        <v>6614</v>
      </c>
      <c r="N36" s="665">
        <v>29763</v>
      </c>
      <c r="O36" s="665">
        <v>42518.571428571428</v>
      </c>
      <c r="P36" s="665">
        <v>0</v>
      </c>
      <c r="Q36" s="665">
        <v>85037.14285714287</v>
      </c>
      <c r="R36" s="665">
        <v>0</v>
      </c>
      <c r="S36" s="665">
        <v>0</v>
      </c>
      <c r="T36" s="665">
        <v>0</v>
      </c>
      <c r="U36" s="665">
        <v>0</v>
      </c>
      <c r="V36" s="665">
        <v>0</v>
      </c>
      <c r="W36" s="665">
        <v>0</v>
      </c>
      <c r="X36" s="665">
        <v>10</v>
      </c>
      <c r="Y36" s="665" t="s">
        <v>111</v>
      </c>
      <c r="Z36" s="667" t="s">
        <v>111</v>
      </c>
    </row>
    <row r="37" spans="1:26" s="619" customFormat="1" ht="25.5">
      <c r="A37" s="618"/>
      <c r="B37" s="817">
        <v>13023</v>
      </c>
      <c r="C37" s="817">
        <v>2330</v>
      </c>
      <c r="D37" s="666" t="s">
        <v>918</v>
      </c>
      <c r="E37" s="665" t="s">
        <v>919</v>
      </c>
      <c r="F37" s="665" t="s">
        <v>920</v>
      </c>
      <c r="G37" s="665" t="s">
        <v>889</v>
      </c>
      <c r="H37" s="665" t="s">
        <v>890</v>
      </c>
      <c r="I37" s="665" t="s">
        <v>919</v>
      </c>
      <c r="J37" s="816">
        <v>41333</v>
      </c>
      <c r="K37" s="816">
        <v>41333</v>
      </c>
      <c r="L37" s="665" t="s">
        <v>891</v>
      </c>
      <c r="M37" s="665">
        <v>3349</v>
      </c>
      <c r="N37" s="665">
        <v>15070.5</v>
      </c>
      <c r="O37" s="665">
        <v>21529.285714285714</v>
      </c>
      <c r="P37" s="665">
        <v>43058.571428571435</v>
      </c>
      <c r="Q37" s="665">
        <v>0</v>
      </c>
      <c r="R37" s="665">
        <v>0</v>
      </c>
      <c r="S37" s="665">
        <v>0</v>
      </c>
      <c r="T37" s="665">
        <v>0</v>
      </c>
      <c r="U37" s="665">
        <v>0</v>
      </c>
      <c r="V37" s="665">
        <v>0</v>
      </c>
      <c r="W37" s="665">
        <v>0</v>
      </c>
      <c r="X37" s="665">
        <v>10</v>
      </c>
      <c r="Y37" s="665" t="s">
        <v>111</v>
      </c>
      <c r="Z37" s="667" t="s">
        <v>111</v>
      </c>
    </row>
    <row r="38" spans="1:26" s="619" customFormat="1" ht="25.5">
      <c r="A38" s="618"/>
      <c r="B38" s="817">
        <v>13023</v>
      </c>
      <c r="C38" s="817">
        <v>2330</v>
      </c>
      <c r="D38" s="666" t="s">
        <v>921</v>
      </c>
      <c r="E38" s="665" t="s">
        <v>922</v>
      </c>
      <c r="F38" s="665" t="s">
        <v>923</v>
      </c>
      <c r="G38" s="665" t="s">
        <v>889</v>
      </c>
      <c r="H38" s="665" t="s">
        <v>890</v>
      </c>
      <c r="I38" s="665" t="s">
        <v>922</v>
      </c>
      <c r="J38" s="816">
        <v>41627</v>
      </c>
      <c r="K38" s="816">
        <v>41627</v>
      </c>
      <c r="L38" s="665" t="s">
        <v>891</v>
      </c>
      <c r="M38" s="665">
        <v>9.6999999999999993</v>
      </c>
      <c r="N38" s="665">
        <v>43.649999999999991</v>
      </c>
      <c r="O38" s="665">
        <v>62.357142857142847</v>
      </c>
      <c r="P38" s="665">
        <v>0</v>
      </c>
      <c r="Q38" s="665">
        <v>124.71428571428569</v>
      </c>
      <c r="R38" s="665">
        <v>0</v>
      </c>
      <c r="S38" s="665">
        <v>0</v>
      </c>
      <c r="T38" s="665">
        <v>0</v>
      </c>
      <c r="U38" s="665">
        <v>0</v>
      </c>
      <c r="V38" s="665">
        <v>0</v>
      </c>
      <c r="W38" s="665">
        <v>0</v>
      </c>
      <c r="X38" s="665">
        <v>10</v>
      </c>
      <c r="Y38" s="665" t="s">
        <v>111</v>
      </c>
      <c r="Z38" s="667" t="s">
        <v>111</v>
      </c>
    </row>
    <row r="39" spans="1:26" s="619" customFormat="1" ht="38.25">
      <c r="A39" s="618"/>
      <c r="B39" s="817">
        <v>13023</v>
      </c>
      <c r="C39" s="817">
        <v>2330</v>
      </c>
      <c r="D39" s="666"/>
      <c r="E39" s="665"/>
      <c r="F39" s="665" t="s">
        <v>924</v>
      </c>
      <c r="G39" s="665" t="s">
        <v>889</v>
      </c>
      <c r="H39" s="665" t="s">
        <v>890</v>
      </c>
      <c r="I39" s="665" t="s">
        <v>925</v>
      </c>
      <c r="J39" s="816">
        <v>42353</v>
      </c>
      <c r="K39" s="816">
        <v>42355</v>
      </c>
      <c r="L39" s="665" t="s">
        <v>891</v>
      </c>
      <c r="M39" s="665">
        <v>2678</v>
      </c>
      <c r="N39" s="665">
        <v>12051</v>
      </c>
      <c r="O39" s="665">
        <v>17215.714285714286</v>
      </c>
      <c r="P39" s="665">
        <v>34431.428571428572</v>
      </c>
      <c r="Q39" s="665">
        <v>0</v>
      </c>
      <c r="R39" s="665">
        <v>0</v>
      </c>
      <c r="S39" s="665">
        <v>0</v>
      </c>
      <c r="T39" s="665">
        <v>0</v>
      </c>
      <c r="U39" s="665">
        <v>0</v>
      </c>
      <c r="V39" s="665">
        <v>0</v>
      </c>
      <c r="W39" s="665">
        <v>0</v>
      </c>
      <c r="X39" s="665">
        <v>10</v>
      </c>
      <c r="Y39" s="665" t="s">
        <v>111</v>
      </c>
      <c r="Z39" s="667" t="s">
        <v>111</v>
      </c>
    </row>
    <row r="40" spans="1:26" s="619" customFormat="1" ht="25.5">
      <c r="A40" s="618"/>
      <c r="B40" s="817">
        <v>13023</v>
      </c>
      <c r="C40" s="817">
        <v>2330</v>
      </c>
      <c r="D40" s="666" t="s">
        <v>926</v>
      </c>
      <c r="E40" s="665"/>
      <c r="F40" s="665" t="s">
        <v>927</v>
      </c>
      <c r="G40" s="665" t="s">
        <v>889</v>
      </c>
      <c r="H40" s="665" t="s">
        <v>890</v>
      </c>
      <c r="I40" s="665" t="s">
        <v>928</v>
      </c>
      <c r="J40" s="816">
        <v>42348</v>
      </c>
      <c r="K40" s="816">
        <v>42352</v>
      </c>
      <c r="L40" s="665" t="s">
        <v>929</v>
      </c>
      <c r="M40" s="665">
        <v>2000</v>
      </c>
      <c r="N40" s="665">
        <v>9000</v>
      </c>
      <c r="O40" s="665">
        <v>12857.142857142857</v>
      </c>
      <c r="P40" s="665">
        <v>25714.285714285717</v>
      </c>
      <c r="Q40" s="665">
        <v>0</v>
      </c>
      <c r="R40" s="665">
        <v>0</v>
      </c>
      <c r="S40" s="665">
        <v>0</v>
      </c>
      <c r="T40" s="665">
        <v>0</v>
      </c>
      <c r="U40" s="665">
        <v>0</v>
      </c>
      <c r="V40" s="665">
        <v>0</v>
      </c>
      <c r="W40" s="665">
        <v>0</v>
      </c>
      <c r="X40" s="665">
        <v>10</v>
      </c>
      <c r="Y40" s="665" t="s">
        <v>111</v>
      </c>
      <c r="Z40" s="667" t="s">
        <v>111</v>
      </c>
    </row>
    <row r="41" spans="1:26" s="619" customFormat="1" ht="25.5">
      <c r="A41" s="618"/>
      <c r="B41" s="817">
        <v>13023</v>
      </c>
      <c r="C41" s="817">
        <v>2330</v>
      </c>
      <c r="D41" s="666" t="s">
        <v>930</v>
      </c>
      <c r="E41" s="665"/>
      <c r="F41" s="665" t="s">
        <v>931</v>
      </c>
      <c r="G41" s="665" t="s">
        <v>932</v>
      </c>
      <c r="H41" s="665" t="s">
        <v>890</v>
      </c>
      <c r="I41" s="665" t="s">
        <v>933</v>
      </c>
      <c r="J41" s="816">
        <v>42683</v>
      </c>
      <c r="K41" s="816">
        <v>42683</v>
      </c>
      <c r="L41" s="665" t="s">
        <v>929</v>
      </c>
      <c r="M41" s="665">
        <v>2000</v>
      </c>
      <c r="N41" s="665">
        <v>9000</v>
      </c>
      <c r="O41" s="665">
        <v>12857.142857142857</v>
      </c>
      <c r="P41" s="665">
        <v>6428.5714285714294</v>
      </c>
      <c r="Q41" s="665">
        <v>0</v>
      </c>
      <c r="R41" s="665">
        <v>0</v>
      </c>
      <c r="S41" s="665">
        <v>0</v>
      </c>
      <c r="T41" s="665">
        <v>0</v>
      </c>
      <c r="U41" s="665">
        <v>0</v>
      </c>
      <c r="V41" s="665">
        <v>0</v>
      </c>
      <c r="W41" s="665">
        <v>0</v>
      </c>
      <c r="X41" s="665">
        <v>10</v>
      </c>
      <c r="Y41" s="665" t="s">
        <v>111</v>
      </c>
      <c r="Z41" s="667" t="s">
        <v>111</v>
      </c>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60310.7</v>
      </c>
      <c r="N58" s="623">
        <f>SUM(N28:N57)</f>
        <v>271398.15000000002</v>
      </c>
      <c r="O58" s="623">
        <f t="shared" ref="O58:W58" si="2">SUM(O28:O57)</f>
        <v>387711.64285714284</v>
      </c>
      <c r="P58" s="623">
        <f t="shared" si="2"/>
        <v>670975.71428571432</v>
      </c>
      <c r="Q58" s="623">
        <f t="shared" si="2"/>
        <v>85161.857142857159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60310.7</v>
      </c>
      <c r="N61" s="628">
        <f t="shared" si="4"/>
        <v>271398.15000000002</v>
      </c>
      <c r="O61" s="628">
        <f t="shared" si="4"/>
        <v>387711.64285714284</v>
      </c>
      <c r="P61" s="628">
        <f t="shared" si="4"/>
        <v>670975.71428571432</v>
      </c>
      <c r="Q61" s="628">
        <f t="shared" si="4"/>
        <v>85161.857142857159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13023</v>
      </c>
      <c r="C64" s="817">
        <v>2330</v>
      </c>
      <c r="D64" s="668" t="s">
        <v>934</v>
      </c>
      <c r="E64" s="668" t="s">
        <v>935</v>
      </c>
      <c r="F64" s="668" t="s">
        <v>936</v>
      </c>
      <c r="G64" s="668" t="s">
        <v>937</v>
      </c>
      <c r="H64" s="668" t="s">
        <v>938</v>
      </c>
      <c r="I64" s="668" t="s">
        <v>939</v>
      </c>
      <c r="J64" s="816">
        <v>37656</v>
      </c>
      <c r="K64" s="816">
        <v>37653</v>
      </c>
      <c r="L64" s="668" t="s">
        <v>891</v>
      </c>
      <c r="M64" s="668">
        <v>366</v>
      </c>
      <c r="N64" s="668">
        <v>1647</v>
      </c>
      <c r="O64" s="668">
        <v>0</v>
      </c>
      <c r="P64" s="668">
        <v>0</v>
      </c>
      <c r="Q64" s="668">
        <v>0</v>
      </c>
      <c r="R64" s="668">
        <v>4705.7142857142862</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366</v>
      </c>
      <c r="N89" s="623">
        <f t="shared" ref="N89:W89" si="5">SUM(N64:N88)</f>
        <v>1647</v>
      </c>
      <c r="O89" s="623">
        <f t="shared" si="5"/>
        <v>0</v>
      </c>
      <c r="P89" s="623">
        <f t="shared" si="5"/>
        <v>0</v>
      </c>
      <c r="Q89" s="623">
        <f t="shared" si="5"/>
        <v>0</v>
      </c>
      <c r="R89" s="623">
        <f t="shared" si="5"/>
        <v>4705.7142857142862</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366</v>
      </c>
      <c r="N91" s="623">
        <f t="shared" si="7"/>
        <v>1647</v>
      </c>
      <c r="O91" s="623">
        <f t="shared" si="7"/>
        <v>0</v>
      </c>
      <c r="P91" s="623">
        <f t="shared" si="7"/>
        <v>0</v>
      </c>
      <c r="Q91" s="623">
        <f t="shared" si="7"/>
        <v>0</v>
      </c>
      <c r="R91" s="623">
        <f t="shared" si="7"/>
        <v>4705.7142857142862</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276284.11764705885</v>
      </c>
      <c r="C101" s="657">
        <f t="shared" si="9"/>
        <v>35066.647058823539</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394691.59663865552</v>
      </c>
      <c r="C102" s="660">
        <f t="shared" si="10"/>
        <v>50095.210084033628</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2019-08-12T08:38:21Z</dcterms:modified>
</cp:coreProperties>
</file>