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<sst xmlns="http://schemas.openxmlformats.org/spreadsheetml/2006/main" count="2410" uniqueCount="903">
  <si>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</si>
  <si>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</si>
  <si>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</si>
  <si>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</si>
  <si>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</si>
  <si>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</si>
  <si>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</si>
  <si>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</si>
  <si>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</si>
  <si>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</si>
  <si>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</si>
  <si>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</si>
  <si>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</si>
  <si>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</si>
  <si>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</si>
  <si>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</si>
  <si>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</si>
  <si>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</si>
  <si>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</si>
  <si>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</si>
  <si>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</si>
  <si>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</si>
  <si>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</si>
  <si>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</si>
  <si>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</si>
  <si>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</si>
  <si>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</si>
  <si>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</si>
  <si>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</si>
  <si>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</si>
  <si>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</si>
  <si>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</si>
  <si>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</si>
  <si>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</si>
  <si>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</si>
  <si>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</si>
  <si>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</si>
  <si>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</si>
  <si>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</si>
  <si>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</si>
  <si>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</si>
  <si>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</si>
  <si>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</si>
  <si>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</si>
  <si>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</si>
  <si>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</si>
  <si>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</si>
  <si>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</si>
  <si>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</si>
  <si>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</si>
  <si>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</si>
  <si>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</si>
  <si>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</si>
  <si>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</si>
  <si>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</si>
  <si>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</si>
  <si>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</si>
  <si>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</si>
  <si>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</si>
  <si>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</si>
  <si>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</si>
  <si>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</si>
  <si>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</si>
  <si>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</si>
  <si>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</si>
  <si>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</si>
  <si>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</si>
  <si>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</si>
  <si>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</si>
  <si>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</si>
  <si>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</si>
  <si>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</si>
  <si>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</si>
  <si>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</si>
  <si>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</si>
  <si>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</si>
  <si>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</si>
  <si>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</si>
  <si>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</si>
  <si>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</si>
  <si>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</si>
  <si>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</si>
  <si>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</si>
  <si>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</si>
  <si>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</si>
  <si>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</si>
  <si>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</si>
  <si>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</si>
  <si>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</si>
  <si>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</si>
  <si>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</si>
  <si>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</si>
  <si>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</si>
  <si>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</si>
  <si>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</si>
  <si>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</si>
  <si>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</si>
  <si>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</si>
  <si>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</si>
  <si>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</si>
  <si>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</si>
  <si>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</si>
  <si>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</si>
  <si>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</si>
  <si>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</si>
  <si>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</si>
  <si>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</si>
  <si>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</si>
  <si>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</si>
  <si>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</si>
  <si>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</si>
  <si>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</si>
  <si>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</si>
  <si>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</si>
  <si>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</si>
  <si>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</si>
  <si>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</si>
  <si>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</si>
  <si>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</si>
  <si>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</si>
  <si>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</si>
  <si>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</si>
  <si>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</si>
  <si>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</si>
  <si>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</si>
  <si>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</si>
  <si>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</si>
  <si>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</si>
  <si>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</si>
  <si>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</si>
  <si>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</si>
  <si>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</si>
  <si>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</si>
  <si>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</si>
  <si>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</si>
  <si>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</si>
  <si>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</si>
  <si>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</si>
  <si>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</si>
  <si>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</si>
  <si>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</si>
  <si>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</si>
  <si>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</si>
  <si>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</si>
  <si>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</si>
  <si>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</si>
  <si>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</si>
  <si>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</si>
  <si>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</si>
  <si>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</si>
  <si>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</si>
  <si>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</si>
  <si>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</si>
  <si>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</si>
  <si>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</si>
  <si>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</si>
  <si>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</si>
  <si>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</si>
  <si>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</si>
  <si>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</si>
  <si>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</si>
  <si>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</si>
  <si>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</si>
  <si>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</si>
  <si>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</si>
  <si>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</si>
  <si>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</si>
  <si>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</si>
  <si>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</si>
  <si>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</si>
  <si>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</si>
  <si>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</si>
  <si>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</si>
  <si>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</si>
  <si>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</si>
  <si>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</si>
  <si>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</si>
  <si>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</si>
  <si>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</si>
  <si>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</si>
  <si>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</si>
  <si>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</si>
  <si>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</si>
  <si>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</si>
  <si>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</si>
  <si>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</si>
  <si>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</si>
  <si>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</si>
  <si>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</si>
  <si>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</si>
  <si>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</si>
  <si>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</si>
  <si>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</si>
  <si>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</si>
  <si>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</si>
  <si>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</si>
  <si>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</si>
  <si>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</si>
  <si>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</si>
  <si>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</si>
  <si>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</si>
  <si>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</si>
  <si>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</si>
  <si>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</si>
  <si>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</si>
  <si>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</si>
  <si>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</si>
  <si>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</si>
  <si>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</si>
  <si>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</si>
  <si>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</si>
  <si>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</si>
  <si>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</si>
  <si>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</si>
  <si>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</si>
  <si>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</si>
  <si>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</si>
  <si>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</si>
  <si>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</si>
  <si>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</si>
  <si>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</si>
  <si>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</si>
  <si>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</si>
  <si>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</si>
  <si>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</si>
  <si>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</si>
  <si>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</si>
  <si>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</si>
  <si>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</si>
  <si>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</si>
  <si>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</si>
  <si>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</si>
  <si>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</si>
  <si>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</si>
  <si>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</si>
  <si>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</si>
  <si>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</si>
  <si>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</si>
  <si>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</si>
  <si>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</si>
  <si>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</si>
  <si>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</si>
  <si>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</si>
  <si>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</si>
  <si>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</si>
  <si>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</si>
  <si>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</si>
  <si>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</si>
  <si>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</si>
  <si>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</si>
  <si>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</si>
  <si>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</si>
  <si>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</si>
  <si>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</si>
  <si>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</si>
  <si>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</si>
  <si>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</si>
  <si>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</si>
  <si>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</si>
  <si>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</si>
  <si>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</si>
  <si>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</si>
  <si>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</si>
  <si>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</si>
  <si>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</si>
  <si>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</si>
  <si>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</si>
  <si>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</si>
  <si>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</si>
  <si>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</si>
  <si>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</si>
  <si>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</si>
  <si>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</si>
  <si>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</si>
  <si>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</si>
  <si>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</si>
  <si>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</si>
  <si>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</si>
  <si>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</si>
  <si>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</si>
  <si>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</si>
  <si>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</si>
  <si>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</si>
  <si>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</si>
  <si>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</si>
  <si>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</si>
  <si>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</si>
  <si>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</si>
  <si>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</si>
  <si>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</si>
  <si>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</si>
  <si>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</si>
  <si>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</si>
  <si>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</si>
  <si>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</si>
  <si>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</si>
  <si>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</si>
  <si>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</si>
  <si>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</si>
  <si>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</si>
  <si>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</si>
  <si>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</si>
  <si>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</si>
  <si>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</si>
  <si>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</si>
  <si>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</si>
  <si>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</si>
  <si>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</si>
  <si>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</si>
  <si>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</si>
  <si>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</si>
  <si>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</si>
  <si>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</si>
  <si>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</si>
  <si>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</si>
  <si>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</si>
  <si>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</si>
  <si>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</si>
  <si>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</si>
  <si>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</si>
  <si>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</si>
  <si>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</si>
  <si>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</si>
  <si>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</si>
  <si>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</si>
  <si>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</si>
  <si>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</si>
  <si>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</si>
  <si>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</si>
  <si>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</si>
  <si>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</si>
  <si>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</si>
  <si>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</si>
  <si>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</si>
  <si>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</si>
  <si>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</si>
  <si>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</si>
  <si>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</si>
  <si>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</si>
  <si>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</si>
  <si>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</si>
  <si>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</si>
  <si>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</si>
  <si>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</si>
  <si>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</si>
  <si>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</si>
  <si>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</si>
  <si>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</si>
  <si>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</si>
  <si>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</si>
  <si>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</si>
  <si>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</si>
  <si>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</si>
  <si>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</si>
  <si>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</si>
  <si>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</si>
  <si>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</si>
  <si>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</si>
  <si>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</si>
  <si>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</si>
  <si>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</si>
  <si>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</si>
  <si>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</si>
  <si>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</si>
  <si>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</si>
  <si>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</si>
  <si>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</si>
  <si>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</si>
  <si>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</si>
  <si>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</si>
  <si>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</si>
  <si>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</si>
  <si>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</si>
  <si>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</si>
  <si>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</si>
  <si>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</si>
  <si>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</si>
  <si>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</si>
  <si>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</si>
  <si>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</si>
  <si>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</si>
  <si>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</si>
  <si>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</si>
  <si>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</si>
  <si>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</si>
  <si>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</si>
  <si>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</si>
  <si>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</si>
  <si>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</si>
  <si>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</si>
  <si>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</si>
  <si>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</si>
  <si>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</si>
  <si>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</si>
  <si>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</si>
  <si>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</si>
  <si>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</si>
  <si>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</si>
  <si>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</si>
  <si>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</si>
  <si>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</si>
  <si>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</si>
  <si>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</si>
  <si>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</si>
  <si>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</si>
  <si>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</si>
  <si>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</si>
  <si>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</si>
  <si>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</si>
  <si>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</si>
  <si>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</si>
  <si>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</si>
  <si>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</si>
  <si>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</si>
  <si>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</si>
  <si>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</si>
  <si>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</si>
  <si>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</si>
  <si>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</si>
  <si>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</si>
  <si>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</si>
  <si>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</si>
  <si>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</si>
  <si>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</si>
  <si>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</si>
  <si>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</si>
  <si>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</si>
  <si>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</si>
  <si>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</si>
  <si>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</si>
  <si>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</si>
  <si>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</si>
  <si>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</si>
  <si>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</si>
  <si>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</si>
  <si>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</si>
  <si>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</si>
  <si>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</si>
  <si>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</si>
  <si>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</si>
  <si>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</si>
  <si>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</si>
  <si>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</si>
  <si>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</si>
  <si>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</si>
  <si>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</si>
  <si>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</si>
  <si>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</si>
  <si>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</si>
  <si>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</si>
  <si>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</si>
  <si>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</si>
  <si>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</si>
  <si>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</si>
  <si>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</si>
  <si>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</si>
  <si>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</si>
  <si>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</si>
  <si>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</si>
  <si>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</si>
  <si>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</si>
  <si>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</si>
  <si>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</si>
  <si>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</si>
  <si>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</si>
  <si>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</si>
  <si>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</si>
  <si>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</si>
  <si>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</si>
  <si>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</si>
  <si>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</si>
  <si>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</si>
  <si>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</si>
  <si>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</si>
  <si>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</si>
  <si>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</si>
  <si>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</si>
  <si>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</si>
  <si>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</si>
  <si>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</si>
  <si>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</si>
  <si>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</si>
  <si>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</si>
  <si>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</si>
  <si>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</si>
  <si>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</si>
  <si>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</si>
  <si>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</si>
  <si>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</si>
  <si>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</si>
  <si>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</si>
  <si>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</si>
  <si>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</si>
  <si>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</si>
  <si>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</si>
  <si>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</si>
  <si>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</si>
  <si>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</si>
  <si>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</si>
  <si>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</si>
  <si>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</si>
  <si>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</si>
  <si>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</si>
  <si>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</si>
  <si>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</si>
  <si>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</si>
  <si>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</si>
  <si>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</si>
  <si>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</si>
  <si>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</si>
  <si>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</si>
  <si>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</si>
  <si>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</si>
  <si>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</si>
  <si>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</si>
  <si>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</si>
  <si>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</si>
  <si>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</si>
  <si>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</si>
  <si>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</si>
  <si>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</si>
  <si>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</si>
  <si>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</si>
  <si>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</si>
  <si>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</si>
  <si>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</si>
  <si>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</si>
  <si>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</si>
  <si>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</si>
  <si>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</si>
  <si>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</si>
  <si>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</si>
  <si>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</si>
  <si>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</si>
  <si>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</si>
  <si>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</si>
  <si>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</si>
  <si>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</si>
  <si>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</si>
  <si>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</si>
  <si>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</si>
  <si>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</si>
  <si>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</si>
  <si>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</si>
  <si>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</si>
  <si>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</si>
  <si>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</si>
  <si>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</si>
  <si>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</si>
  <si>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</si>
  <si>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</si>
  <si>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</si>
  <si>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</si>
  <si>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</si>
  <si>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</si>
  <si>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</si>
  <si>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</si>
  <si>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</si>
  <si>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</si>
  <si>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</si>
  <si>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</si>
  <si>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</si>
  <si>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</si>
  <si>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</si>
  <si>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</si>
  <si>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</si>
  <si>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</si>
  <si>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</si>
  <si>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</si>
  <si>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</si>
  <si>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</si>
  <si>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</si>
  <si>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</si>
  <si>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</si>
  <si>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</si>
  <si>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</si>
  <si>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</si>
  <si>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</si>
  <si>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</si>
  <si>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</si>
  <si>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</si>
  <si>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</si>
  <si>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</si>
  <si>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</si>
  <si>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</si>
  <si>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</si>
  <si>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</si>
  <si>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</si>
  <si>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</si>
  <si>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</si>
  <si>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</si>
  <si>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</si>
  <si>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</si>
  <si>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</si>
  <si>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</si>
  <si>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</si>
  <si>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</si>
  <si>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</si>
  <si>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</si>
  <si>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</si>
  <si>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</si>
  <si>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</si>
  <si>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</si>
  <si>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</si>
  <si>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</si>
  <si>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</si>
  <si>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</si>
  <si>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</si>
  <si>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</si>
  <si>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</si>
  <si>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</si>
  <si>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</si>
  <si>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</si>
  <si>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</si>
  <si>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</si>
  <si>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</si>
  <si>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</si>
  <si>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</si>
  <si>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</si>
  <si>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</si>
  <si>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</si>
  <si>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</si>
  <si>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</si>
  <si>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</si>
  <si>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</si>
  <si>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</si>
  <si>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</si>
  <si>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</si>
  <si>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</si>
  <si>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</si>
  <si>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</si>
  <si>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</si>
  <si>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</si>
  <si>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</si>
  <si>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</si>
  <si>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</si>
  <si>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</si>
  <si>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</si>
  <si>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</si>
  <si>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</si>
  <si>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</si>
  <si>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</si>
  <si>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</si>
  <si>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</si>
  <si>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</si>
  <si>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</si>
  <si>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</si>
  <si>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</si>
  <si>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</si>
  <si>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</si>
  <si>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</si>
  <si>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</si>
  <si>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</si>
  <si>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</si>
  <si>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</si>
  <si>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</si>
  <si>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</si>
  <si>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</si>
  <si>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</si>
  <si>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</si>
  <si>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</si>
  <si>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</si>
  <si>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</si>
  <si>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</si>
  <si>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</si>
  <si>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</si>
  <si>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</si>
  <si>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</si>
  <si>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</si>
  <si>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</si>
  <si>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</si>
  <si>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</si>
  <si>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</si>
  <si>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</si>
  <si>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</si>
  <si>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</si>
  <si>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</si>
  <si>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</si>
  <si>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</si>
  <si>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</si>
  <si>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</si>
  <si>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</si>
  <si>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</si>
  <si>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</si>
  <si>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</si>
  <si>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</si>
  <si>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</si>
  <si>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</si>
  <si>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</si>
  <si>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</si>
  <si>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</si>
  <si>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</si>
  <si>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</si>
  <si>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</si>
  <si>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</si>
  <si>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</si>
  <si>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</si>
  <si>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</si>
  <si>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</si>
  <si>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</si>
  <si>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</si>
  <si>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</si>
  <si>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</si>
  <si>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</si>
  <si>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</si>
  <si>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</si>
  <si>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</si>
  <si>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</si>
  <si>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</si>
  <si>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</si>
  <si>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</si>
  <si>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</si>
  <si>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</si>
  <si>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</si>
  <si>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</si>
  <si>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</si>
  <si>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</si>
  <si>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</si>
  <si>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</si>
  <si>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</si>
  <si>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</si>
  <si>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</si>
  <si>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</si>
  <si>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</si>
  <si>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</si>
  <si>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</si>
  <si>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</si>
  <si>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</si>
  <si>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</si>
  <si>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</si>
  <si>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</si>
  <si>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</si>
  <si>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</si>
  <si>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</si>
  <si>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</si>
  <si>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</si>
  <si>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</si>
  <si>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</si>
  <si>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</si>
  <si>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</si>
  <si>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</si>
  <si>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</si>
  <si>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</si>
  <si>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</si>
  <si>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</si>
  <si>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</si>
  <si>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</si>
  <si>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</si>
  <si>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</si>
  <si>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</si>
  <si>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</si>
  <si>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</si>
  <si>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</si>
  <si>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</si>
  <si>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</si>
  <si>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</si>
  <si>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</si>
  <si>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</si>
  <si>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</si>
  <si>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</si>
  <si>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</si>
  <si>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</si>
  <si>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</si>
  <si>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</si>
  <si>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</si>
  <si>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</si>
  <si>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</si>
  <si>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</si>
  <si>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</si>
  <si>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</si>
  <si>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</si>
  <si>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</si>
  <si>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</si>
  <si>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</si>
  <si>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</si>
  <si>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</si>
  <si>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</si>
  <si>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</si>
  <si>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</si>
  <si>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</si>
  <si>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</si>
  <si>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</si>
  <si>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</si>
  <si>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</si>
  <si>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</si>
  <si>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</si>
  <si>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</si>
  <si>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</si>
  <si>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</si>
  <si>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</si>
  <si>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</si>
  <si>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</si>
  <si>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</si>
  <si>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</si>
  <si>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</si>
  <si>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</si>
  <si>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</si>
  <si>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</si>
  <si>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</si>
  <si>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</si>
  <si>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</si>
  <si>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</si>
  <si>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</si>
  <si>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</si>
  <si>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</si>
  <si>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</si>
  <si>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</si>
  <si>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</si>
  <si>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</si>
  <si>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</si>
  <si>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</si>
  <si>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</si>
  <si>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</si>
  <si>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</si>
  <si>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</si>
  <si>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</si>
  <si>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</si>
  <si>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</si>
  <si>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</si>
  <si>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</si>
  <si>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</si>
  <si>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</si>
  <si>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</si>
  <si>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</si>
  <si>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</si>
  <si>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</si>
  <si>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</si>
  <si>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</si>
  <si>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</si>
  <si>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</si>
  <si>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</si>
  <si>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</si>
  <si>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</si>
  <si>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</si>
  <si>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</si>
  <si>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</si>
  <si>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</si>
  <si>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</si>
  <si>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</si>
  <si>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</si>
  <si>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</si>
  <si>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</si>
  <si>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</si>
  <si>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</si>
  <si>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</si>
  <si>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</si>
  <si>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</si>
  <si>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</si>
  <si>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</si>
  <si>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</si>
  <si>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</si>
  <si>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</si>
  <si>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</si>
  <si>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</si>
  <si>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</si>
  <si>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</si>
  <si>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</si>
  <si>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</si>
  <si>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</si>
  <si>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</si>
  <si>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</si>
  <si>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</si>
  <si>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</si>
  <si>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</si>
  <si>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</si>
  <si>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</si>
  <si>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</si>
  <si>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</si>
  <si>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</si>
  <si>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</si>
  <si>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</si>
  <si>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</si>
  <si>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</si>
  <si>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</si>
  <si>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</si>
  <si>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</si>
  <si>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</si>
  <si>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</si>
  <si>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13017</t>
  </si>
  <si>
    <t>KASTERLEE</t>
  </si>
  <si>
    <t>Mestbank (maart 2019)</t>
  </si>
  <si>
    <t>Fluvius (februari 2019)</t>
  </si>
  <si>
    <t>referentietaak LNE (2017); Jaarverslag De Lijn (2018)</t>
  </si>
  <si>
    <t>VEA (30 april 2019)</t>
  </si>
  <si>
    <t>VEA (mei 2018)</t>
  </si>
  <si>
    <t>VEA (mei 2019)</t>
  </si>
  <si>
    <t>Dierckx Jan &amp; Peter VVZRL</t>
  </si>
  <si>
    <t>Hazendonk 8 , 2460 Kasterlee</t>
  </si>
  <si>
    <t>WKK-0593 Dierckx</t>
  </si>
  <si>
    <t>interne verbrandingsmotor</t>
  </si>
  <si>
    <t>WKK interne verbrandinsgmotor (gas)</t>
  </si>
  <si>
    <t>IVEKA</t>
  </si>
  <si>
    <t>Woonzorgcentrum Aquamarijn</t>
  </si>
  <si>
    <t>WKK-0779 Woonzorgcentrum Aquamarijn</t>
  </si>
  <si>
    <t>Binnenpad 4, 2460 Kasterlee, BE</t>
  </si>
  <si>
    <t>IVEKA (via EANDIS)</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</si>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</sst>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178931.98617446452</c:v>
                </c:pt>
                <c:pt idx="1">
                  <c:v>48775.529758914672</c:v>
                </c:pt>
                <c:pt idx="2">
                  <c:v>815.63400000000001</c:v>
                </c:pt>
                <c:pt idx="3">
                  <c:v>18458.490959443981</c:v>
                </c:pt>
                <c:pt idx="4">
                  <c:v>23339.568165796885</c:v>
                </c:pt>
                <c:pt idx="5">
                  <c:v>98418.149440480789</c:v>
                </c:pt>
                <c:pt idx="6">
                  <c:v>1387.9635172543985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178931.98617446452</c:v>
                </c:pt>
                <c:pt idx="1">
                  <c:v>48775.529758914672</c:v>
                </c:pt>
                <c:pt idx="2">
                  <c:v>815.63400000000001</c:v>
                </c:pt>
                <c:pt idx="3">
                  <c:v>18458.490959443981</c:v>
                </c:pt>
                <c:pt idx="4">
                  <c:v>23339.568165796885</c:v>
                </c:pt>
                <c:pt idx="5">
                  <c:v>98418.149440480789</c:v>
                </c:pt>
                <c:pt idx="6">
                  <c:v>1387.9635172543985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29088.908163734537</c:v>
                </c:pt>
                <c:pt idx="1">
                  <c:v>9692.8324613914901</c:v>
                </c:pt>
                <c:pt idx="2">
                  <c:v>158.03876241138596</c:v>
                </c:pt>
                <c:pt idx="3">
                  <c:v>4724.1322827380691</c:v>
                </c:pt>
                <c:pt idx="4">
                  <c:v>4553.6839018223254</c:v>
                </c:pt>
                <c:pt idx="5">
                  <c:v>24437.972632889556</c:v>
                </c:pt>
                <c:pt idx="6">
                  <c:v>351.07355222983557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29088.908163734537</c:v>
                </c:pt>
                <c:pt idx="1">
                  <c:v>9692.8324613914901</c:v>
                </c:pt>
                <c:pt idx="2">
                  <c:v>158.03876241138596</c:v>
                </c:pt>
                <c:pt idx="3">
                  <c:v>4724.1322827380691</c:v>
                </c:pt>
                <c:pt idx="4">
                  <c:v>4553.6839018223254</c:v>
                </c:pt>
                <c:pt idx="5">
                  <c:v>24437.972632889556</c:v>
                </c:pt>
                <c:pt idx="6">
                  <c:v>351.07355222983557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13017</v>
      </c>
      <c r="B6" s="415"/>
      <c r="C6" s="416"/>
    </row>
    <row r="7" spans="1:7" s="413" customFormat="1" ht="15.75" customHeight="1">
      <c r="A7" s="417" t="str">
        <f>txtMunicipality</f>
        <v>KASTERLEE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0.19376186182943081</v>
      </c>
      <c r="C17" s="527">
        <f ca="1">'EF ele_warmte'!B22</f>
        <v>0.16003168944345419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0.19376186182943081</v>
      </c>
      <c r="C29" s="528">
        <f ca="1">'EF ele_warmte'!B22</f>
        <v>0.16003168944345419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7587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3073.09</v>
      </c>
    </row>
    <row r="15" spans="1:6">
      <c r="A15" s="348" t="s">
        <v>183</v>
      </c>
      <c r="B15" s="334">
        <v>12886</v>
      </c>
    </row>
    <row r="16" spans="1:6">
      <c r="A16" s="348" t="s">
        <v>6</v>
      </c>
      <c r="B16" s="334">
        <v>3077</v>
      </c>
    </row>
    <row r="17" spans="1:6">
      <c r="A17" s="348" t="s">
        <v>7</v>
      </c>
      <c r="B17" s="334">
        <v>210</v>
      </c>
    </row>
    <row r="18" spans="1:6">
      <c r="A18" s="348" t="s">
        <v>8</v>
      </c>
      <c r="B18" s="334">
        <v>1550</v>
      </c>
    </row>
    <row r="19" spans="1:6">
      <c r="A19" s="348" t="s">
        <v>9</v>
      </c>
      <c r="B19" s="334">
        <v>1509</v>
      </c>
    </row>
    <row r="20" spans="1:6">
      <c r="A20" s="348" t="s">
        <v>10</v>
      </c>
      <c r="B20" s="334">
        <v>562</v>
      </c>
    </row>
    <row r="21" spans="1:6">
      <c r="A21" s="348" t="s">
        <v>11</v>
      </c>
      <c r="B21" s="334">
        <v>11101</v>
      </c>
    </row>
    <row r="22" spans="1:6">
      <c r="A22" s="348" t="s">
        <v>12</v>
      </c>
      <c r="B22" s="334">
        <v>28503</v>
      </c>
    </row>
    <row r="23" spans="1:6">
      <c r="A23" s="348" t="s">
        <v>13</v>
      </c>
      <c r="B23" s="334">
        <v>554</v>
      </c>
    </row>
    <row r="24" spans="1:6">
      <c r="A24" s="348" t="s">
        <v>14</v>
      </c>
      <c r="B24" s="334">
        <v>8</v>
      </c>
    </row>
    <row r="25" spans="1:6">
      <c r="A25" s="348" t="s">
        <v>15</v>
      </c>
      <c r="B25" s="334">
        <v>2649</v>
      </c>
    </row>
    <row r="26" spans="1:6">
      <c r="A26" s="348" t="s">
        <v>16</v>
      </c>
      <c r="B26" s="334">
        <v>229</v>
      </c>
    </row>
    <row r="27" spans="1:6">
      <c r="A27" s="348" t="s">
        <v>17</v>
      </c>
      <c r="B27" s="334">
        <v>739</v>
      </c>
    </row>
    <row r="28" spans="1:6" s="356" customFormat="1">
      <c r="A28" s="355" t="s">
        <v>18</v>
      </c>
      <c r="B28" s="355">
        <v>539257</v>
      </c>
    </row>
    <row r="29" spans="1:6">
      <c r="A29" s="355" t="s">
        <v>713</v>
      </c>
      <c r="B29" s="355">
        <v>283</v>
      </c>
      <c r="C29" s="356"/>
      <c r="D29" s="356"/>
      <c r="E29" s="356"/>
      <c r="F29" s="356"/>
    </row>
    <row r="30" spans="1:6">
      <c r="A30" s="341" t="s">
        <v>714</v>
      </c>
      <c r="B30" s="341">
        <v>55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79172.639999999999</v>
      </c>
      <c r="E38" s="334">
        <v>5</v>
      </c>
      <c r="F38" s="334">
        <v>468464.51500000001</v>
      </c>
    </row>
    <row r="39" spans="1:6">
      <c r="A39" s="348" t="s">
        <v>29</v>
      </c>
      <c r="B39" s="348" t="s">
        <v>30</v>
      </c>
      <c r="C39" s="334">
        <v>4439</v>
      </c>
      <c r="D39" s="334">
        <v>72628212.459999993</v>
      </c>
      <c r="E39" s="334">
        <v>7383</v>
      </c>
      <c r="F39" s="334">
        <v>25463221.100000001</v>
      </c>
    </row>
    <row r="40" spans="1:6">
      <c r="A40" s="348" t="s">
        <v>29</v>
      </c>
      <c r="B40" s="348" t="s">
        <v>28</v>
      </c>
      <c r="C40" s="334">
        <v>0</v>
      </c>
      <c r="D40" s="334">
        <v>0</v>
      </c>
      <c r="E40" s="334">
        <v>0</v>
      </c>
      <c r="F40" s="334">
        <v>0</v>
      </c>
    </row>
    <row r="41" spans="1:6">
      <c r="A41" s="348" t="s">
        <v>31</v>
      </c>
      <c r="B41" s="348" t="s">
        <v>32</v>
      </c>
      <c r="C41" s="334">
        <v>77</v>
      </c>
      <c r="D41" s="334">
        <v>1706681.55</v>
      </c>
      <c r="E41" s="334">
        <v>169</v>
      </c>
      <c r="F41" s="334">
        <v>1639765.2990000001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137751.98800000001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92623.760999999999</v>
      </c>
    </row>
    <row r="48" spans="1:6">
      <c r="A48" s="348" t="s">
        <v>31</v>
      </c>
      <c r="B48" s="348" t="s">
        <v>28</v>
      </c>
      <c r="C48" s="334">
        <v>23</v>
      </c>
      <c r="D48" s="334">
        <v>983125.33900000004</v>
      </c>
      <c r="E48" s="334">
        <v>28</v>
      </c>
      <c r="F48" s="334">
        <v>407778.217</v>
      </c>
    </row>
    <row r="49" spans="1:6">
      <c r="A49" s="348" t="s">
        <v>31</v>
      </c>
      <c r="B49" s="348" t="s">
        <v>39</v>
      </c>
      <c r="C49" s="334">
        <v>0</v>
      </c>
      <c r="D49" s="334">
        <v>0</v>
      </c>
      <c r="E49" s="334">
        <v>0</v>
      </c>
      <c r="F49" s="334">
        <v>0</v>
      </c>
    </row>
    <row r="50" spans="1:6">
      <c r="A50" s="348" t="s">
        <v>31</v>
      </c>
      <c r="B50" s="348" t="s">
        <v>40</v>
      </c>
      <c r="C50" s="334">
        <v>7</v>
      </c>
      <c r="D50" s="334">
        <v>1624086.986</v>
      </c>
      <c r="E50" s="334">
        <v>16</v>
      </c>
      <c r="F50" s="334">
        <v>13556774.869999999</v>
      </c>
    </row>
    <row r="51" spans="1:6">
      <c r="A51" s="348" t="s">
        <v>41</v>
      </c>
      <c r="B51" s="348" t="s">
        <v>42</v>
      </c>
      <c r="C51" s="334">
        <v>0</v>
      </c>
      <c r="D51" s="334">
        <v>0</v>
      </c>
      <c r="E51" s="334">
        <v>134</v>
      </c>
      <c r="F51" s="334">
        <v>3565880.7239999999</v>
      </c>
    </row>
    <row r="52" spans="1:6">
      <c r="A52" s="348" t="s">
        <v>41</v>
      </c>
      <c r="B52" s="348" t="s">
        <v>28</v>
      </c>
      <c r="C52" s="334">
        <v>6</v>
      </c>
      <c r="D52" s="334">
        <v>114554.61</v>
      </c>
      <c r="E52" s="334">
        <v>9</v>
      </c>
      <c r="F52" s="334">
        <v>212978.573</v>
      </c>
    </row>
    <row r="53" spans="1:6">
      <c r="A53" s="348" t="s">
        <v>43</v>
      </c>
      <c r="B53" s="348" t="s">
        <v>44</v>
      </c>
      <c r="C53" s="334">
        <v>96</v>
      </c>
      <c r="D53" s="334">
        <v>3149813.91</v>
      </c>
      <c r="E53" s="334">
        <v>252</v>
      </c>
      <c r="F53" s="334">
        <v>1034272.362</v>
      </c>
    </row>
    <row r="54" spans="1:6">
      <c r="A54" s="348" t="s">
        <v>45</v>
      </c>
      <c r="B54" s="348" t="s">
        <v>46</v>
      </c>
      <c r="C54" s="334">
        <v>0</v>
      </c>
      <c r="D54" s="334">
        <v>0</v>
      </c>
      <c r="E54" s="334">
        <v>1</v>
      </c>
      <c r="F54" s="334">
        <v>815634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456912.55200000003</v>
      </c>
      <c r="E57" s="334">
        <v>90</v>
      </c>
      <c r="F57" s="334">
        <v>6393848.9670000002</v>
      </c>
    </row>
    <row r="58" spans="1:6">
      <c r="A58" s="348" t="s">
        <v>48</v>
      </c>
      <c r="B58" s="348" t="s">
        <v>50</v>
      </c>
      <c r="C58" s="334">
        <v>29</v>
      </c>
      <c r="D58" s="334">
        <v>1255752.2690000001</v>
      </c>
      <c r="E58" s="334">
        <v>54</v>
      </c>
      <c r="F58" s="334">
        <v>519624.58799999999</v>
      </c>
    </row>
    <row r="59" spans="1:6">
      <c r="A59" s="348" t="s">
        <v>48</v>
      </c>
      <c r="B59" s="348" t="s">
        <v>51</v>
      </c>
      <c r="C59" s="334">
        <v>64</v>
      </c>
      <c r="D59" s="334">
        <v>1775527.659</v>
      </c>
      <c r="E59" s="334">
        <v>170</v>
      </c>
      <c r="F59" s="334">
        <v>4266680.5269999998</v>
      </c>
    </row>
    <row r="60" spans="1:6">
      <c r="A60" s="348" t="s">
        <v>48</v>
      </c>
      <c r="B60" s="348" t="s">
        <v>52</v>
      </c>
      <c r="C60" s="334">
        <v>85</v>
      </c>
      <c r="D60" s="334">
        <v>8109020.9749999996</v>
      </c>
      <c r="E60" s="334">
        <v>126</v>
      </c>
      <c r="F60" s="334">
        <v>4177637.3879999998</v>
      </c>
    </row>
    <row r="61" spans="1:6">
      <c r="A61" s="348" t="s">
        <v>48</v>
      </c>
      <c r="B61" s="348" t="s">
        <v>53</v>
      </c>
      <c r="C61" s="334">
        <v>168</v>
      </c>
      <c r="D61" s="334">
        <v>5800694.2630000003</v>
      </c>
      <c r="E61" s="334">
        <v>371</v>
      </c>
      <c r="F61" s="334">
        <v>3288685.8640000001</v>
      </c>
    </row>
    <row r="62" spans="1:6">
      <c r="A62" s="348" t="s">
        <v>48</v>
      </c>
      <c r="B62" s="348" t="s">
        <v>54</v>
      </c>
      <c r="C62" s="334">
        <v>6</v>
      </c>
      <c r="D62" s="334">
        <v>583052.924</v>
      </c>
      <c r="E62" s="334">
        <v>14</v>
      </c>
      <c r="F62" s="334">
        <v>276749.49099999998</v>
      </c>
    </row>
    <row r="63" spans="1:6">
      <c r="A63" s="348" t="s">
        <v>48</v>
      </c>
      <c r="B63" s="348" t="s">
        <v>28</v>
      </c>
      <c r="C63" s="334">
        <v>102</v>
      </c>
      <c r="D63" s="334">
        <v>6293763.2560000001</v>
      </c>
      <c r="E63" s="334">
        <v>114</v>
      </c>
      <c r="F63" s="334">
        <v>2971122.3509999998</v>
      </c>
    </row>
    <row r="64" spans="1:6">
      <c r="A64" s="348" t="s">
        <v>55</v>
      </c>
      <c r="B64" s="348" t="s">
        <v>56</v>
      </c>
      <c r="C64" s="334">
        <v>0</v>
      </c>
      <c r="D64" s="334">
        <v>0</v>
      </c>
      <c r="E64" s="334">
        <v>0</v>
      </c>
      <c r="F64" s="334">
        <v>0</v>
      </c>
    </row>
    <row r="65" spans="1:6">
      <c r="A65" s="348" t="s">
        <v>55</v>
      </c>
      <c r="B65" s="348" t="s">
        <v>28</v>
      </c>
      <c r="C65" s="334">
        <v>3</v>
      </c>
      <c r="D65" s="334">
        <v>288539.17200000002</v>
      </c>
      <c r="E65" s="334">
        <v>1</v>
      </c>
      <c r="F65" s="334">
        <v>5110.0529999999999</v>
      </c>
    </row>
    <row r="66" spans="1:6">
      <c r="A66" s="348" t="s">
        <v>55</v>
      </c>
      <c r="B66" s="348" t="s">
        <v>57</v>
      </c>
      <c r="C66" s="334">
        <v>0</v>
      </c>
      <c r="D66" s="334">
        <v>0</v>
      </c>
      <c r="E66" s="334">
        <v>11</v>
      </c>
      <c r="F66" s="334">
        <v>643574.38899999997</v>
      </c>
    </row>
    <row r="67" spans="1:6">
      <c r="A67" s="355" t="s">
        <v>55</v>
      </c>
      <c r="B67" s="355" t="s">
        <v>58</v>
      </c>
      <c r="C67" s="334">
        <v>0</v>
      </c>
      <c r="D67" s="334">
        <v>0</v>
      </c>
      <c r="E67" s="334">
        <v>0</v>
      </c>
      <c r="F67" s="334">
        <v>0</v>
      </c>
    </row>
    <row r="68" spans="1:6">
      <c r="A68" s="341" t="s">
        <v>55</v>
      </c>
      <c r="B68" s="341" t="s">
        <v>59</v>
      </c>
      <c r="C68" s="334">
        <v>0</v>
      </c>
      <c r="D68" s="334">
        <v>0</v>
      </c>
      <c r="E68" s="334">
        <v>4</v>
      </c>
      <c r="F68" s="334">
        <v>29636.991999999998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100414727</v>
      </c>
      <c r="E73" s="476"/>
    </row>
    <row r="74" spans="1:6">
      <c r="A74" s="348" t="s">
        <v>63</v>
      </c>
      <c r="B74" s="348" t="s">
        <v>651</v>
      </c>
      <c r="C74" s="1307" t="s">
        <v>653</v>
      </c>
      <c r="D74" s="476">
        <v>6427465</v>
      </c>
      <c r="E74" s="476"/>
    </row>
    <row r="75" spans="1:6">
      <c r="A75" s="348" t="s">
        <v>64</v>
      </c>
      <c r="B75" s="348" t="s">
        <v>650</v>
      </c>
      <c r="C75" s="1307" t="s">
        <v>654</v>
      </c>
      <c r="D75" s="476">
        <v>20410236</v>
      </c>
      <c r="E75" s="476"/>
    </row>
    <row r="76" spans="1:6">
      <c r="A76" s="348" t="s">
        <v>64</v>
      </c>
      <c r="B76" s="348" t="s">
        <v>651</v>
      </c>
      <c r="C76" s="1307" t="s">
        <v>655</v>
      </c>
      <c r="D76" s="476">
        <v>907682</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385594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6626.8950181068176</v>
      </c>
    </row>
    <row r="92" spans="1:6">
      <c r="A92" s="341" t="s">
        <v>68</v>
      </c>
      <c r="B92" s="342">
        <v>1478.6099168509043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2144</v>
      </c>
    </row>
    <row r="98" spans="1:6">
      <c r="A98" s="348" t="s">
        <v>71</v>
      </c>
      <c r="B98" s="334">
        <v>12</v>
      </c>
    </row>
    <row r="99" spans="1:6">
      <c r="A99" s="348" t="s">
        <v>72</v>
      </c>
      <c r="B99" s="334">
        <v>63</v>
      </c>
    </row>
    <row r="100" spans="1:6">
      <c r="A100" s="348" t="s">
        <v>73</v>
      </c>
      <c r="B100" s="334">
        <v>245</v>
      </c>
    </row>
    <row r="101" spans="1:6">
      <c r="A101" s="348" t="s">
        <v>74</v>
      </c>
      <c r="B101" s="334">
        <v>193</v>
      </c>
    </row>
    <row r="102" spans="1:6">
      <c r="A102" s="348" t="s">
        <v>75</v>
      </c>
      <c r="B102" s="334">
        <v>70</v>
      </c>
    </row>
    <row r="103" spans="1:6">
      <c r="A103" s="348" t="s">
        <v>76</v>
      </c>
      <c r="B103" s="334">
        <v>116</v>
      </c>
    </row>
    <row r="104" spans="1:6">
      <c r="A104" s="348" t="s">
        <v>77</v>
      </c>
      <c r="B104" s="334">
        <v>3477</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70</v>
      </c>
      <c r="C123" s="334">
        <v>56</v>
      </c>
    </row>
    <row r="124" spans="1:6">
      <c r="A124" s="341" t="s">
        <v>88</v>
      </c>
      <c r="B124" s="334">
        <v>4</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268</v>
      </c>
    </row>
    <row r="130" spans="1:6">
      <c r="A130" s="348" t="s">
        <v>294</v>
      </c>
      <c r="B130" s="334">
        <v>7</v>
      </c>
    </row>
    <row r="131" spans="1:6">
      <c r="A131" s="348" t="s">
        <v>295</v>
      </c>
      <c r="B131" s="334">
        <v>1</v>
      </c>
    </row>
    <row r="132" spans="1:6">
      <c r="A132" s="341" t="s">
        <v>296</v>
      </c>
      <c r="B132" s="342">
        <v>51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76944.539755513761</v>
      </c>
      <c r="C3" s="43" t="s">
        <v>169</v>
      </c>
      <c r="D3" s="43"/>
      <c r="E3" s="154"/>
      <c r="F3" s="43"/>
      <c r="G3" s="43"/>
      <c r="H3" s="43"/>
      <c r="I3" s="43"/>
      <c r="J3" s="43"/>
      <c r="K3" s="96"/>
    </row>
    <row r="4" spans="1:11">
      <c r="A4" s="383" t="s">
        <v>170</v>
      </c>
      <c r="B4" s="49">
        <f>IF(ISERROR('SEAP template'!B78+'SEAP template'!C78),0,'SEAP template'!B78+'SEAP template'!C78)</f>
        <v>9580.1549349577217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21.388235294117646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0.19376186182943081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30.554621848739504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190.92857142857144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0.16003168944345419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815.63400000000001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815.63400000000001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0.19376186182943081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158.03876241138596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25463.221100000002</v>
      </c>
      <c r="C5" s="17">
        <f>IF(ISERROR('Eigen informatie GS &amp; warmtenet'!B59),0,'Eigen informatie GS &amp; warmtenet'!B59)</f>
        <v>0</v>
      </c>
      <c r="D5" s="30">
        <f>(SUM(HH_hh_gas_kWh,HH_rest_gas_kWh)/1000)*0.902</f>
        <v>65510.647638919996</v>
      </c>
      <c r="E5" s="17">
        <f>B46*B57</f>
        <v>7938.4085782146858</v>
      </c>
      <c r="F5" s="17">
        <f>B51*B62</f>
        <v>29347.932389703969</v>
      </c>
      <c r="G5" s="18"/>
      <c r="H5" s="17"/>
      <c r="I5" s="17"/>
      <c r="J5" s="17">
        <f>B50*B61+C50*C61</f>
        <v>0</v>
      </c>
      <c r="K5" s="17"/>
      <c r="L5" s="17"/>
      <c r="M5" s="17"/>
      <c r="N5" s="17">
        <f>B48*B59+C48*C59</f>
        <v>42085.334072977006</v>
      </c>
      <c r="O5" s="17">
        <f>B69*B70*B71</f>
        <v>642.80246308139829</v>
      </c>
      <c r="P5" s="17">
        <f>B77*B78*B79/1000-B77*B78*B79/1000/B80</f>
        <v>1316.7449134606277</v>
      </c>
    </row>
    <row r="6" spans="1:16">
      <c r="A6" s="16" t="s">
        <v>615</v>
      </c>
      <c r="B6" s="809">
        <f>kWh_PV_kleiner_dan_10kW</f>
        <v>6626.8950181068176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32090.11611810682</v>
      </c>
      <c r="C8" s="21">
        <f>C5</f>
        <v>0</v>
      </c>
      <c r="D8" s="21">
        <f>D5</f>
        <v>65510.647638919996</v>
      </c>
      <c r="E8" s="21">
        <f>E5</f>
        <v>7938.4085782146858</v>
      </c>
      <c r="F8" s="21">
        <f>F5</f>
        <v>29347.932389703969</v>
      </c>
      <c r="G8" s="21"/>
      <c r="H8" s="21"/>
      <c r="I8" s="21"/>
      <c r="J8" s="21">
        <f>J5</f>
        <v>0</v>
      </c>
      <c r="K8" s="21"/>
      <c r="L8" s="21">
        <f>L5</f>
        <v>0</v>
      </c>
      <c r="M8" s="21">
        <f>M5</f>
        <v>0</v>
      </c>
      <c r="N8" s="21">
        <f>N5</f>
        <v>42085.334072977006</v>
      </c>
      <c r="O8" s="21">
        <f>O5</f>
        <v>642.80246308139829</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0.19376186182943081</v>
      </c>
      <c r="C10" s="25">
        <f ca="1">'EF ele_warmte'!B22</f>
        <v>0.16003168944345419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6217.8406453670041</v>
      </c>
      <c r="C12" s="23">
        <f ca="1">C10*C8</f>
        <v>0</v>
      </c>
      <c r="D12" s="23">
        <f>D8*D10</f>
        <v>13233.15082306184</v>
      </c>
      <c r="E12" s="23">
        <f>E10*E8</f>
        <v>1802.0187472547336</v>
      </c>
      <c r="F12" s="23">
        <f>F10*F8</f>
        <v>7835.8979480509597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7587</v>
      </c>
      <c r="C28" s="36"/>
      <c r="D28" s="228"/>
    </row>
    <row r="29" spans="1:7" s="15" customFormat="1">
      <c r="A29" s="230" t="s">
        <v>837</v>
      </c>
      <c r="B29" s="37">
        <f>SUM(HH_hh_gas_aantal,HH_rest_gas_aantal)</f>
        <v>4439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4439</v>
      </c>
      <c r="C32" s="167">
        <f>IF(ISERROR(B32/SUM($B$32,$B$34,$B$35,$B$36,$B$38,$B$39)*100),0,B32/SUM($B$32,$B$34,$B$35,$B$36,$B$38,$B$39)*100)</f>
        <v>59.488072902707046</v>
      </c>
      <c r="D32" s="233"/>
      <c r="G32" s="15"/>
    </row>
    <row r="33" spans="1:7">
      <c r="A33" s="171" t="s">
        <v>71</v>
      </c>
      <c r="B33" s="34" t="s">
        <v>110</v>
      </c>
      <c r="C33" s="167"/>
      <c r="D33" s="233"/>
      <c r="G33" s="15"/>
    </row>
    <row r="34" spans="1:7">
      <c r="A34" s="171" t="s">
        <v>72</v>
      </c>
      <c r="B34" s="33">
        <f>IF((($B$28-$B$32-$B$39-$B$77-$B$38)*C20/100)&lt;0,0,($B$28-$B$32-$B$39-$B$77-$B$38)*C20/100)</f>
        <v>202.6437125748503</v>
      </c>
      <c r="C34" s="167">
        <f>IF(ISERROR(B34/SUM($B$32,$B$34,$B$35,$B$36,$B$38,$B$39)*100),0,B34/SUM($B$32,$B$34,$B$35,$B$36,$B$38,$B$39)*100)</f>
        <v>2.7156755906573342</v>
      </c>
      <c r="D34" s="233"/>
      <c r="G34" s="15"/>
    </row>
    <row r="35" spans="1:7">
      <c r="A35" s="171" t="s">
        <v>73</v>
      </c>
      <c r="B35" s="33">
        <f>IF((($B$28-$B$32-$B$39-$B$77-$B$38)*C21/100)&lt;0,0,($B$28-$B$32-$B$39-$B$77-$B$38)*C21/100)</f>
        <v>788.05888223552893</v>
      </c>
      <c r="C35" s="167">
        <f>IF(ISERROR(B35/SUM($B$32,$B$34,$B$35,$B$36,$B$38,$B$39)*100),0,B35/SUM($B$32,$B$34,$B$35,$B$36,$B$38,$B$39)*100)</f>
        <v>10.560960630334076</v>
      </c>
      <c r="D35" s="233"/>
      <c r="G35" s="15"/>
    </row>
    <row r="36" spans="1:7">
      <c r="A36" s="171" t="s">
        <v>74</v>
      </c>
      <c r="B36" s="33">
        <f>IF((($B$28-$B$32-$B$39-$B$77-$B$38)*C22/100)&lt;0,0,($B$28-$B$32-$B$39-$B$77-$B$38)*C22/100)</f>
        <v>620.7974051896208</v>
      </c>
      <c r="C36" s="167">
        <f>IF(ISERROR(B36/SUM($B$32,$B$34,$B$35,$B$36,$B$38,$B$39)*100),0,B36/SUM($B$32,$B$34,$B$35,$B$36,$B$38,$B$39)*100)</f>
        <v>8.3194506189978661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1411.5</v>
      </c>
      <c r="C39" s="167">
        <f>IF(ISERROR(B39/SUM($B$32,$B$34,$B$35,$B$36,$B$38,$B$39)*100),0,B39/SUM($B$32,$B$34,$B$35,$B$36,$B$38,$B$39)*100)</f>
        <v>18.915840257303671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4439</v>
      </c>
      <c r="C44" s="34" t="s">
        <v>110</v>
      </c>
      <c r="D44" s="174"/>
    </row>
    <row r="45" spans="1:7">
      <c r="A45" s="171" t="s">
        <v>71</v>
      </c>
      <c r="B45" s="33" t="str">
        <f t="shared" si="0"/>
        <v>-</v>
      </c>
      <c r="C45" s="34" t="s">
        <v>110</v>
      </c>
      <c r="D45" s="174"/>
    </row>
    <row r="46" spans="1:7">
      <c r="A46" s="171" t="s">
        <v>72</v>
      </c>
      <c r="B46" s="33">
        <f t="shared" si="0"/>
        <v>202.6437125748503</v>
      </c>
      <c r="C46" s="34" t="s">
        <v>110</v>
      </c>
      <c r="D46" s="174"/>
    </row>
    <row r="47" spans="1:7">
      <c r="A47" s="171" t="s">
        <v>73</v>
      </c>
      <c r="B47" s="33">
        <f t="shared" si="0"/>
        <v>788.05888223552893</v>
      </c>
      <c r="C47" s="34" t="s">
        <v>110</v>
      </c>
      <c r="D47" s="174"/>
    </row>
    <row r="48" spans="1:7">
      <c r="A48" s="171" t="s">
        <v>74</v>
      </c>
      <c r="B48" s="33">
        <f t="shared" si="0"/>
        <v>620.7974051896208</v>
      </c>
      <c r="C48" s="33">
        <f>B48*10</f>
        <v>6207.974051896208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1411.5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21894.349175999996</v>
      </c>
      <c r="C5" s="17">
        <f>IF(ISERROR('Eigen informatie GS &amp; warmtenet'!B60),0,'Eigen informatie GS &amp; warmtenet'!B60)</f>
        <v>0</v>
      </c>
      <c r="D5" s="30">
        <f>SUM(D6:D12)</f>
        <v>21895.800955996005</v>
      </c>
      <c r="E5" s="17">
        <f>SUM(E6:E12)</f>
        <v>242.06674113582204</v>
      </c>
      <c r="F5" s="17">
        <f>SUM(F6:F12)</f>
        <v>2721.7054248441409</v>
      </c>
      <c r="G5" s="18"/>
      <c r="H5" s="17"/>
      <c r="I5" s="17"/>
      <c r="J5" s="17">
        <f>SUM(J6:J12)</f>
        <v>0.11423632811479877</v>
      </c>
      <c r="K5" s="17"/>
      <c r="L5" s="17"/>
      <c r="M5" s="17"/>
      <c r="N5" s="17">
        <f>SUM(N6:N12)</f>
        <v>4463.6732609432092</v>
      </c>
      <c r="O5" s="17">
        <f>B38*B39*B40</f>
        <v>34.280825360888088</v>
      </c>
      <c r="P5" s="17">
        <f>B46*B47*B48/1000-B46*B47*B48/1000/B49</f>
        <v>52.539138306495019</v>
      </c>
      <c r="R5" s="32"/>
    </row>
    <row r="6" spans="1:18">
      <c r="A6" s="32" t="s">
        <v>53</v>
      </c>
      <c r="B6" s="37">
        <f>B26</f>
        <v>3288.685864</v>
      </c>
      <c r="C6" s="33"/>
      <c r="D6" s="37">
        <f>IF(ISERROR(TER_kantoor_gas_kWh/1000),0,TER_kantoor_gas_kWh/1000)*0.902</f>
        <v>5232.2262252260007</v>
      </c>
      <c r="E6" s="33">
        <f>$C$26*'E Balans VL '!I12/100/3.6*1000000</f>
        <v>26.46300071184903</v>
      </c>
      <c r="F6" s="33">
        <f>$C$26*('E Balans VL '!L12+'E Balans VL '!N12)/100/3.6*1000000</f>
        <v>402.0764427416799</v>
      </c>
      <c r="G6" s="34"/>
      <c r="H6" s="33"/>
      <c r="I6" s="33"/>
      <c r="J6" s="33">
        <f>$C$26*('E Balans VL '!D12+'E Balans VL '!E12)/100/3.6*1000000</f>
        <v>0</v>
      </c>
      <c r="K6" s="33"/>
      <c r="L6" s="33"/>
      <c r="M6" s="33"/>
      <c r="N6" s="33">
        <f>$C$26*'E Balans VL '!Y12/100/3.6*1000000</f>
        <v>1.7675067016498021</v>
      </c>
      <c r="O6" s="33"/>
      <c r="P6" s="33"/>
      <c r="R6" s="32"/>
    </row>
    <row r="7" spans="1:18">
      <c r="A7" s="32" t="s">
        <v>52</v>
      </c>
      <c r="B7" s="37">
        <f t="shared" ref="B7:B12" si="0">B27</f>
        <v>4177.6373880000001</v>
      </c>
      <c r="C7" s="33"/>
      <c r="D7" s="37">
        <f>IF(ISERROR(TER_horeca_gas_kWh/1000),0,TER_horeca_gas_kWh/1000)*0.902</f>
        <v>7314.3369194500001</v>
      </c>
      <c r="E7" s="33">
        <f>$C$27*'E Balans VL '!I9/100/3.6*1000000</f>
        <v>44.857567063168048</v>
      </c>
      <c r="F7" s="33">
        <f>$C$27*('E Balans VL '!L9+'E Balans VL '!N9)/100/3.6*1000000</f>
        <v>502.46847553114372</v>
      </c>
      <c r="G7" s="34"/>
      <c r="H7" s="33"/>
      <c r="I7" s="33"/>
      <c r="J7" s="33">
        <f>$C$27*('E Balans VL '!D9+'E Balans VL '!E9)/100/3.6*1000000</f>
        <v>0</v>
      </c>
      <c r="K7" s="33"/>
      <c r="L7" s="33"/>
      <c r="M7" s="33"/>
      <c r="N7" s="33">
        <f>$C$27*'E Balans VL '!Y9/100/3.6*1000000</f>
        <v>0.62631251534088983</v>
      </c>
      <c r="O7" s="33"/>
      <c r="P7" s="33"/>
      <c r="R7" s="32"/>
    </row>
    <row r="8" spans="1:18">
      <c r="A8" s="6" t="s">
        <v>51</v>
      </c>
      <c r="B8" s="37">
        <f t="shared" si="0"/>
        <v>4266.6805269999995</v>
      </c>
      <c r="C8" s="33"/>
      <c r="D8" s="37">
        <f>IF(ISERROR(TER_handel_gas_kWh/1000),0,TER_handel_gas_kWh/1000)*0.902</f>
        <v>1601.5259484180001</v>
      </c>
      <c r="E8" s="33">
        <f>$C$28*'E Balans VL '!I13/100/3.6*1000000</f>
        <v>114.5046430289614</v>
      </c>
      <c r="F8" s="33">
        <f>$C$28*('E Balans VL '!L13+'E Balans VL '!N13)/100/3.6*1000000</f>
        <v>407.17282476040128</v>
      </c>
      <c r="G8" s="34"/>
      <c r="H8" s="33"/>
      <c r="I8" s="33"/>
      <c r="J8" s="33">
        <f>$C$28*('E Balans VL '!D13+'E Balans VL '!E13)/100/3.6*1000000</f>
        <v>0</v>
      </c>
      <c r="K8" s="33"/>
      <c r="L8" s="33"/>
      <c r="M8" s="33"/>
      <c r="N8" s="33">
        <f>$C$28*'E Balans VL '!Y13/100/3.6*1000000</f>
        <v>1.6913606747051149</v>
      </c>
      <c r="O8" s="33"/>
      <c r="P8" s="33"/>
      <c r="R8" s="32"/>
    </row>
    <row r="9" spans="1:18">
      <c r="A9" s="32" t="s">
        <v>50</v>
      </c>
      <c r="B9" s="37">
        <f t="shared" si="0"/>
        <v>519.62458800000002</v>
      </c>
      <c r="C9" s="33"/>
      <c r="D9" s="37">
        <f>IF(ISERROR(TER_gezond_gas_kWh/1000),0,TER_gezond_gas_kWh/1000)*0.902</f>
        <v>1132.6885466380002</v>
      </c>
      <c r="E9" s="33">
        <f>$C$29*'E Balans VL '!I10/100/3.6*1000000</f>
        <v>0.97394567502503393</v>
      </c>
      <c r="F9" s="33">
        <f>$C$29*('E Balans VL '!L10+'E Balans VL '!N10)/100/3.6*1000000</f>
        <v>42.717882342639626</v>
      </c>
      <c r="G9" s="34"/>
      <c r="H9" s="33"/>
      <c r="I9" s="33"/>
      <c r="J9" s="33">
        <f>$C$29*('E Balans VL '!D10+'E Balans VL '!E10)/100/3.6*1000000</f>
        <v>0</v>
      </c>
      <c r="K9" s="33"/>
      <c r="L9" s="33"/>
      <c r="M9" s="33"/>
      <c r="N9" s="33">
        <f>$C$29*'E Balans VL '!Y10/100/3.6*1000000</f>
        <v>4.0430669902894545</v>
      </c>
      <c r="O9" s="33"/>
      <c r="P9" s="33"/>
      <c r="R9" s="32"/>
    </row>
    <row r="10" spans="1:18">
      <c r="A10" s="32" t="s">
        <v>49</v>
      </c>
      <c r="B10" s="37">
        <f t="shared" si="0"/>
        <v>6393.8489669999999</v>
      </c>
      <c r="C10" s="33"/>
      <c r="D10" s="37">
        <f>IF(ISERROR(TER_ander_gas_kWh/1000),0,TER_ander_gas_kWh/1000)*0.902</f>
        <v>412.13512190400002</v>
      </c>
      <c r="E10" s="33">
        <f>$C$30*'E Balans VL '!I14/100/3.6*1000000</f>
        <v>9.8561829705010275</v>
      </c>
      <c r="F10" s="33">
        <f>$C$30*('E Balans VL '!L14+'E Balans VL '!N14)/100/3.6*1000000</f>
        <v>992.64681724580146</v>
      </c>
      <c r="G10" s="34"/>
      <c r="H10" s="33"/>
      <c r="I10" s="33"/>
      <c r="J10" s="33">
        <f>$C$30*('E Balans VL '!D14+'E Balans VL '!E14)/100/3.6*1000000</f>
        <v>0.10854232932651198</v>
      </c>
      <c r="K10" s="33"/>
      <c r="L10" s="33"/>
      <c r="M10" s="33"/>
      <c r="N10" s="33">
        <f>$C$30*'E Balans VL '!Y14/100/3.6*1000000</f>
        <v>4229.9655552460235</v>
      </c>
      <c r="O10" s="33"/>
      <c r="P10" s="33"/>
      <c r="R10" s="32"/>
    </row>
    <row r="11" spans="1:18">
      <c r="A11" s="32" t="s">
        <v>54</v>
      </c>
      <c r="B11" s="37">
        <f t="shared" si="0"/>
        <v>276.74949099999998</v>
      </c>
      <c r="C11" s="33"/>
      <c r="D11" s="37">
        <f>IF(ISERROR(TER_onderwijs_gas_kWh/1000),0,TER_onderwijs_gas_kWh/1000)*0.902</f>
        <v>525.91373744800001</v>
      </c>
      <c r="E11" s="33">
        <f>$C$31*'E Balans VL '!I11/100/3.6*1000000</f>
        <v>7.0590022351414312</v>
      </c>
      <c r="F11" s="33">
        <f>$C$31*('E Balans VL '!L11+'E Balans VL '!N11)/100/3.6*1000000</f>
        <v>33.281731158156042</v>
      </c>
      <c r="G11" s="34"/>
      <c r="H11" s="33"/>
      <c r="I11" s="33"/>
      <c r="J11" s="33">
        <f>$C$31*('E Balans VL '!D11+'E Balans VL '!E11)/100/3.6*1000000</f>
        <v>0</v>
      </c>
      <c r="K11" s="33"/>
      <c r="L11" s="33"/>
      <c r="M11" s="33"/>
      <c r="N11" s="33">
        <f>$C$31*'E Balans VL '!Y11/100/3.6*1000000</f>
        <v>0.61548411523823332</v>
      </c>
      <c r="O11" s="33"/>
      <c r="P11" s="33"/>
      <c r="R11" s="32"/>
    </row>
    <row r="12" spans="1:18">
      <c r="A12" s="32" t="s">
        <v>259</v>
      </c>
      <c r="B12" s="37">
        <f t="shared" si="0"/>
        <v>2971.122351</v>
      </c>
      <c r="C12" s="33"/>
      <c r="D12" s="37">
        <f>IF(ISERROR(TER_rest_gas_kWh/1000),0,TER_rest_gas_kWh/1000)*0.902</f>
        <v>5676.9744569120003</v>
      </c>
      <c r="E12" s="33">
        <f>$C$32*'E Balans VL '!I8/100/3.6*1000000</f>
        <v>38.352399451176055</v>
      </c>
      <c r="F12" s="33">
        <f>$C$32*('E Balans VL '!L8+'E Balans VL '!N8)/100/3.6*1000000</f>
        <v>341.34125106431867</v>
      </c>
      <c r="G12" s="34"/>
      <c r="H12" s="33"/>
      <c r="I12" s="33"/>
      <c r="J12" s="33">
        <f>$C$32*('E Balans VL '!D8+'E Balans VL '!E8)/100/3.6*1000000</f>
        <v>5.6939987882867913E-3</v>
      </c>
      <c r="K12" s="33"/>
      <c r="L12" s="33"/>
      <c r="M12" s="33"/>
      <c r="N12" s="33">
        <f>$C$32*'E Balans VL '!Y8/100/3.6*1000000</f>
        <v>224.96397469996177</v>
      </c>
      <c r="O12" s="33"/>
      <c r="P12" s="33"/>
      <c r="R12" s="32"/>
    </row>
    <row r="13" spans="1:18">
      <c r="A13" s="16" t="s">
        <v>482</v>
      </c>
      <c r="B13" s="247">
        <f ca="1">'lokale energieproductie'!N91+'lokale energieproductie'!N60</f>
        <v>1431</v>
      </c>
      <c r="C13" s="247">
        <f ca="1">'lokale energieproductie'!O91+'lokale energieproductie'!O60</f>
        <v>128.57142857142858</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23325.349175999996</v>
      </c>
      <c r="C16" s="21">
        <f t="shared" ca="1" si="1"/>
        <v>128.57142857142858</v>
      </c>
      <c r="D16" s="21">
        <f t="shared" ca="1" si="1"/>
        <v>21638.658098853146</v>
      </c>
      <c r="E16" s="21">
        <f t="shared" si="1"/>
        <v>242.06674113582204</v>
      </c>
      <c r="F16" s="21">
        <f t="shared" ca="1" si="1"/>
        <v>2721.7054248441409</v>
      </c>
      <c r="G16" s="21">
        <f t="shared" si="1"/>
        <v>0</v>
      </c>
      <c r="H16" s="21">
        <f t="shared" si="1"/>
        <v>0</v>
      </c>
      <c r="I16" s="21">
        <f t="shared" si="1"/>
        <v>0</v>
      </c>
      <c r="J16" s="21">
        <f t="shared" si="1"/>
        <v>0.11423632811479877</v>
      </c>
      <c r="K16" s="21">
        <f t="shared" si="1"/>
        <v>0</v>
      </c>
      <c r="L16" s="21">
        <f t="shared" ca="1" si="1"/>
        <v>0</v>
      </c>
      <c r="M16" s="21">
        <f t="shared" si="1"/>
        <v>0</v>
      </c>
      <c r="N16" s="21">
        <f t="shared" ca="1" si="1"/>
        <v>632.24468951463768</v>
      </c>
      <c r="O16" s="21">
        <f>O5</f>
        <v>34.280825360888088</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0.19376186182943081</v>
      </c>
      <c r="C18" s="25">
        <f ca="1">'EF ele_warmte'!B22</f>
        <v>0.16003168944345419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4519.5630841633392</v>
      </c>
      <c r="C20" s="23">
        <f t="shared" ref="C20:P20" ca="1" si="2">C16*C18</f>
        <v>20.575502928444113</v>
      </c>
      <c r="D20" s="23">
        <f t="shared" ca="1" si="2"/>
        <v>4371.0089359683361</v>
      </c>
      <c r="E20" s="23">
        <f t="shared" si="2"/>
        <v>54.949150237831603</v>
      </c>
      <c r="F20" s="23">
        <f t="shared" ca="1" si="2"/>
        <v>726.69534843338567</v>
      </c>
      <c r="G20" s="23">
        <f t="shared" si="2"/>
        <v>0</v>
      </c>
      <c r="H20" s="23">
        <f t="shared" si="2"/>
        <v>0</v>
      </c>
      <c r="I20" s="23">
        <f t="shared" si="2"/>
        <v>0</v>
      </c>
      <c r="J20" s="23">
        <f t="shared" si="2"/>
        <v>4.0439660152638758E-2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3288.685864</v>
      </c>
      <c r="C26" s="39">
        <f>IF(ISERROR(B26*3.6/1000000/'E Balans VL '!Z12*100),0,B26*3.6/1000000/'E Balans VL '!Z12*100)</f>
        <v>6.9766461802706223E-2</v>
      </c>
      <c r="D26" s="237" t="s">
        <v>716</v>
      </c>
      <c r="F26" s="6"/>
    </row>
    <row r="27" spans="1:18">
      <c r="A27" s="231" t="s">
        <v>52</v>
      </c>
      <c r="B27" s="33">
        <f>IF(ISERROR(TER_horeca_ele_kWh/1000),0,TER_horeca_ele_kWh/1000)</f>
        <v>4177.6373880000001</v>
      </c>
      <c r="C27" s="39">
        <f>IF(ISERROR(B27*3.6/1000000/'E Balans VL '!Z9*100),0,B27*3.6/1000000/'E Balans VL '!Z9*100)</f>
        <v>0.31461310294459682</v>
      </c>
      <c r="D27" s="237" t="s">
        <v>716</v>
      </c>
      <c r="F27" s="6"/>
    </row>
    <row r="28" spans="1:18">
      <c r="A28" s="171" t="s">
        <v>51</v>
      </c>
      <c r="B28" s="33">
        <f>IF(ISERROR(TER_handel_ele_kWh/1000),0,TER_handel_ele_kWh/1000)</f>
        <v>4266.6805269999995</v>
      </c>
      <c r="C28" s="39">
        <f>IF(ISERROR(B28*3.6/1000000/'E Balans VL '!Z13*100),0,B28*3.6/1000000/'E Balans VL '!Z13*100)</f>
        <v>0.12384661767016697</v>
      </c>
      <c r="D28" s="237" t="s">
        <v>716</v>
      </c>
      <c r="F28" s="6"/>
    </row>
    <row r="29" spans="1:18">
      <c r="A29" s="231" t="s">
        <v>50</v>
      </c>
      <c r="B29" s="33">
        <f>IF(ISERROR(TER_gezond_ele_kWh/1000),0,TER_gezond_ele_kWh/1000)</f>
        <v>519.62458800000002</v>
      </c>
      <c r="C29" s="39">
        <f>IF(ISERROR(B29*3.6/1000000/'E Balans VL '!Z10*100),0,B29*3.6/1000000/'E Balans VL '!Z10*100)</f>
        <v>5.2404759377360104E-2</v>
      </c>
      <c r="D29" s="237" t="s">
        <v>716</v>
      </c>
      <c r="F29" s="6"/>
    </row>
    <row r="30" spans="1:18">
      <c r="A30" s="231" t="s">
        <v>49</v>
      </c>
      <c r="B30" s="33">
        <f>IF(ISERROR(TER_ander_ele_kWh/1000),0,TER_ander_ele_kWh/1000)</f>
        <v>6393.8489669999999</v>
      </c>
      <c r="C30" s="39">
        <f>IF(ISERROR(B30*3.6/1000000/'E Balans VL '!Z14*100),0,B30*3.6/1000000/'E Balans VL '!Z14*100)</f>
        <v>0.46396097064947434</v>
      </c>
      <c r="D30" s="237" t="s">
        <v>716</v>
      </c>
      <c r="F30" s="6"/>
    </row>
    <row r="31" spans="1:18">
      <c r="A31" s="231" t="s">
        <v>54</v>
      </c>
      <c r="B31" s="33">
        <f>IF(ISERROR(TER_onderwijs_ele_kWh/1000),0,TER_onderwijs_ele_kWh/1000)</f>
        <v>276.74949099999998</v>
      </c>
      <c r="C31" s="39">
        <f>IF(ISERROR(B31*3.6/1000000/'E Balans VL '!Z11*100),0,B31*3.6/1000000/'E Balans VL '!Z11*100)</f>
        <v>7.8884874699034602E-2</v>
      </c>
      <c r="D31" s="237" t="s">
        <v>716</v>
      </c>
    </row>
    <row r="32" spans="1:18">
      <c r="A32" s="231" t="s">
        <v>259</v>
      </c>
      <c r="B32" s="33">
        <f>IF(ISERROR(TER_rest_ele_kWh/1000),0,TER_rest_ele_kWh/1000)</f>
        <v>2971.122351</v>
      </c>
      <c r="C32" s="39">
        <f>IF(ISERROR(B32*3.6/1000000/'E Balans VL '!Z8*100),0,B32*3.6/1000000/'E Balans VL '!Z8*100)</f>
        <v>2.4338829110102767E-2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7</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15834.694135</v>
      </c>
      <c r="C5" s="17">
        <f>IF(ISERROR('Eigen informatie GS &amp; warmtenet'!B61),0,'Eigen informatie GS &amp; warmtenet'!B61)</f>
        <v>0</v>
      </c>
      <c r="D5" s="30">
        <f>SUM(D6:D15)</f>
        <v>3891.13227525</v>
      </c>
      <c r="E5" s="17">
        <f>SUM(E6:E15)</f>
        <v>498.80287473527591</v>
      </c>
      <c r="F5" s="17">
        <f>SUM(F6:F15)</f>
        <v>2177.7462562266883</v>
      </c>
      <c r="G5" s="18"/>
      <c r="H5" s="17"/>
      <c r="I5" s="17"/>
      <c r="J5" s="17">
        <f>SUM(J6:J15)</f>
        <v>13.640853523229937</v>
      </c>
      <c r="K5" s="17"/>
      <c r="L5" s="17"/>
      <c r="M5" s="17"/>
      <c r="N5" s="17">
        <f>SUM(N6:N15)</f>
        <v>923.5517710616906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137.75198800000001</v>
      </c>
      <c r="C8" s="33"/>
      <c r="D8" s="37">
        <f>IF( ISERROR(IND_metaal_Gas_kWH/1000),0,IND_metaal_Gas_kWH/1000)*0.902</f>
        <v>0</v>
      </c>
      <c r="E8" s="33">
        <f>C30*'E Balans VL '!I18/100/3.6*1000000</f>
        <v>0.99378391003883493</v>
      </c>
      <c r="F8" s="33">
        <f>C30*'E Balans VL '!L18/100/3.6*1000000+C30*'E Balans VL '!N18/100/3.6*1000000</f>
        <v>13.028798096066629</v>
      </c>
      <c r="G8" s="34"/>
      <c r="H8" s="33"/>
      <c r="I8" s="33"/>
      <c r="J8" s="40">
        <f>C30*'E Balans VL '!D18/100/3.6*1000000+C30*'E Balans VL '!E18/100/3.6*1000000</f>
        <v>0.13855175003449327</v>
      </c>
      <c r="K8" s="33"/>
      <c r="L8" s="33"/>
      <c r="M8" s="33"/>
      <c r="N8" s="33">
        <f>C30*'E Balans VL '!Y18/100/3.6*1000000</f>
        <v>1.7415495840988224</v>
      </c>
      <c r="O8" s="33"/>
      <c r="P8" s="33"/>
      <c r="R8" s="32"/>
    </row>
    <row r="9" spans="1:18">
      <c r="A9" s="6" t="s">
        <v>32</v>
      </c>
      <c r="B9" s="37">
        <f t="shared" si="0"/>
        <v>1639.7652990000001</v>
      </c>
      <c r="C9" s="33"/>
      <c r="D9" s="37">
        <f>IF( ISERROR(IND_andere_gas_kWh/1000),0,IND_andere_gas_kWh/1000)*0.902</f>
        <v>1539.4267581000001</v>
      </c>
      <c r="E9" s="33">
        <f>C31*'E Balans VL '!I19/100/3.6*1000000</f>
        <v>454.40089076193709</v>
      </c>
      <c r="F9" s="33">
        <f>C31*'E Balans VL '!L19/100/3.6*1000000+C31*'E Balans VL '!N19/100/3.6*1000000</f>
        <v>1359.0410233713214</v>
      </c>
      <c r="G9" s="34"/>
      <c r="H9" s="33"/>
      <c r="I9" s="33"/>
      <c r="J9" s="40">
        <f>C31*'E Balans VL '!D19/100/3.6*1000000+C31*'E Balans VL '!E19/100/3.6*1000000</f>
        <v>0</v>
      </c>
      <c r="K9" s="33"/>
      <c r="L9" s="33"/>
      <c r="M9" s="33"/>
      <c r="N9" s="33">
        <f>C31*'E Balans VL '!Y19/100/3.6*1000000</f>
        <v>119.02690420651128</v>
      </c>
      <c r="O9" s="33"/>
      <c r="P9" s="33"/>
      <c r="R9" s="32"/>
    </row>
    <row r="10" spans="1:18">
      <c r="A10" s="6" t="s">
        <v>40</v>
      </c>
      <c r="B10" s="37">
        <f t="shared" si="0"/>
        <v>13556.774869999999</v>
      </c>
      <c r="C10" s="33"/>
      <c r="D10" s="37">
        <f>IF( ISERROR(IND_voed_gas_kWh/1000),0,IND_voed_gas_kWh/1000)*0.902</f>
        <v>1464.9264613719999</v>
      </c>
      <c r="E10" s="33">
        <f>C32*'E Balans VL '!I20/100/3.6*1000000</f>
        <v>24.000083493953074</v>
      </c>
      <c r="F10" s="33">
        <f>C32*'E Balans VL '!L20/100/3.6*1000000+C32*'E Balans VL '!N20/100/3.6*1000000</f>
        <v>732.18599559788618</v>
      </c>
      <c r="G10" s="34"/>
      <c r="H10" s="33"/>
      <c r="I10" s="33"/>
      <c r="J10" s="40">
        <f>C32*'E Balans VL '!D20/100/3.6*1000000+C32*'E Balans VL '!E20/100/3.6*1000000</f>
        <v>0</v>
      </c>
      <c r="K10" s="33"/>
      <c r="L10" s="33"/>
      <c r="M10" s="33"/>
      <c r="N10" s="33">
        <f>C32*'E Balans VL '!Y20/100/3.6*1000000</f>
        <v>787.75215432681262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92.623761000000002</v>
      </c>
      <c r="C13" s="33"/>
      <c r="D13" s="37">
        <f>IF( ISERROR(IND_papier_gas_kWh/1000),0,IND_papier_gas_kWh/1000)*0.902</f>
        <v>0</v>
      </c>
      <c r="E13" s="33">
        <f>C35*'E Balans VL '!I23/100/3.6*1000000</f>
        <v>0.13628135759436177</v>
      </c>
      <c r="F13" s="33">
        <f>C35*'E Balans VL '!L23/100/3.6*1000000+C35*'E Balans VL '!N23/100/3.6*1000000</f>
        <v>0.99175100076178879</v>
      </c>
      <c r="G13" s="34"/>
      <c r="H13" s="33"/>
      <c r="I13" s="33"/>
      <c r="J13" s="40">
        <f>C35*'E Balans VL '!D23/100/3.6*1000000+C35*'E Balans VL '!E23/100/3.6*1000000</f>
        <v>10.133558860271563</v>
      </c>
      <c r="K13" s="33"/>
      <c r="L13" s="33"/>
      <c r="M13" s="33"/>
      <c r="N13" s="33">
        <f>C35*'E Balans VL '!Y23/100/3.6*1000000</f>
        <v>-0.83909190835265535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407.77821699999998</v>
      </c>
      <c r="C15" s="33"/>
      <c r="D15" s="37">
        <f>IF( ISERROR(IND_rest_gas_kWh/1000),0,IND_rest_gas_kWh/1000)*0.902</f>
        <v>886.77905577800004</v>
      </c>
      <c r="E15" s="33">
        <f>C37*'E Balans VL '!I15/100/3.6*1000000</f>
        <v>19.271835211752549</v>
      </c>
      <c r="F15" s="33">
        <f>C37*'E Balans VL '!L15/100/3.6*1000000+C37*'E Balans VL '!N15/100/3.6*1000000</f>
        <v>72.498688160652478</v>
      </c>
      <c r="G15" s="34"/>
      <c r="H15" s="33"/>
      <c r="I15" s="33"/>
      <c r="J15" s="40">
        <f>C37*'E Balans VL '!D15/100/3.6*1000000+C37*'E Balans VL '!E15/100/3.6*1000000</f>
        <v>3.3687429129238819</v>
      </c>
      <c r="K15" s="33"/>
      <c r="L15" s="33"/>
      <c r="M15" s="33"/>
      <c r="N15" s="33">
        <f>C37*'E Balans VL '!Y15/100/3.6*1000000</f>
        <v>15.870254852620546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15834.694135</v>
      </c>
      <c r="C18" s="21">
        <f>C5+C16</f>
        <v>0</v>
      </c>
      <c r="D18" s="21">
        <f>MAX((D5+D16),0)</f>
        <v>3891.13227525</v>
      </c>
      <c r="E18" s="21">
        <f>MAX((E5+E16),0)</f>
        <v>498.80287473527591</v>
      </c>
      <c r="F18" s="21">
        <f>MAX((F5+F16),0)</f>
        <v>2177.7462562266883</v>
      </c>
      <c r="G18" s="21"/>
      <c r="H18" s="21"/>
      <c r="I18" s="21"/>
      <c r="J18" s="21">
        <f>MAX((J5+J16),0)</f>
        <v>13.640853523229937</v>
      </c>
      <c r="K18" s="21"/>
      <c r="L18" s="21">
        <f>MAX((L5+L16),0)</f>
        <v>0</v>
      </c>
      <c r="M18" s="21"/>
      <c r="N18" s="21">
        <f>MAX((N5+N16),0)</f>
        <v>923.5517710616906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0.19376186182943081</v>
      </c>
      <c r="C20" s="25">
        <f ca="1">'EF ele_warmte'!B22</f>
        <v>0.16003168944345419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3068.1598170971683</v>
      </c>
      <c r="C22" s="23">
        <f ca="1">C18*C20</f>
        <v>0</v>
      </c>
      <c r="D22" s="23">
        <f>D18*D20</f>
        <v>786.00871960050006</v>
      </c>
      <c r="E22" s="23">
        <f>E18*E20</f>
        <v>113.22825256490763</v>
      </c>
      <c r="F22" s="23">
        <f>F18*F20</f>
        <v>581.45825041252579</v>
      </c>
      <c r="G22" s="23"/>
      <c r="H22" s="23"/>
      <c r="I22" s="23"/>
      <c r="J22" s="23">
        <f>J18*J20</f>
        <v>4.8288621472233979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137.75198800000001</v>
      </c>
      <c r="C30" s="39">
        <f>IF(ISERROR(B30*3.6/1000000/'E Balans VL '!Z18*100),0,B30*3.6/1000000/'E Balans VL '!Z18*100)</f>
        <v>7.9522073262467893E-3</v>
      </c>
      <c r="D30" s="237" t="s">
        <v>716</v>
      </c>
    </row>
    <row r="31" spans="1:18">
      <c r="A31" s="6" t="s">
        <v>32</v>
      </c>
      <c r="B31" s="37">
        <f>IF( ISERROR(IND_ander_ele_kWh/1000),0,IND_ander_ele_kWh/1000)</f>
        <v>1639.7652990000001</v>
      </c>
      <c r="C31" s="39">
        <f>IF(ISERROR(B31*3.6/1000000/'E Balans VL '!Z19*100),0,B31*3.6/1000000/'E Balans VL '!Z19*100)</f>
        <v>8.2474879446288896E-2</v>
      </c>
      <c r="D31" s="237" t="s">
        <v>716</v>
      </c>
    </row>
    <row r="32" spans="1:18">
      <c r="A32" s="171" t="s">
        <v>40</v>
      </c>
      <c r="B32" s="37">
        <f>IF( ISERROR(IND_voed_ele_kWh/1000),0,IND_voed_ele_kWh/1000)</f>
        <v>13556.774869999999</v>
      </c>
      <c r="C32" s="39">
        <f>IF(ISERROR(B32*3.6/1000000/'E Balans VL '!Z20*100),0,B32*3.6/1000000/'E Balans VL '!Z20*100)</f>
        <v>0.45152110666341555</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92.623761000000002</v>
      </c>
      <c r="C35" s="39">
        <f>IF(ISERROR(B35*3.6/1000000/'E Balans VL '!Z22*100),0,B35*3.6/1000000/'E Balans VL '!Z22*100)</f>
        <v>1.7277459919836129E-2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407.77821699999998</v>
      </c>
      <c r="C37" s="39">
        <f>IF(ISERROR(B37*3.6/1000000/'E Balans VL '!Z15*100),0,B37*3.6/1000000/'E Balans VL '!Z15*100)</f>
        <v>3.1817852156320785E-3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3778.859297</v>
      </c>
      <c r="C5" s="17">
        <f>'Eigen informatie GS &amp; warmtenet'!B62</f>
        <v>0</v>
      </c>
      <c r="D5" s="30">
        <f>IF(ISERROR(SUM(LB_lb_gas_kWh,LB_rest_gas_kWh)/1000),0,SUM(LB_lb_gas_kWh,LB_rest_gas_kWh)/1000)*0.902</f>
        <v>103.32825822</v>
      </c>
      <c r="E5" s="17">
        <f>B17*'E Balans VL '!I25/3.6*1000000/100</f>
        <v>117.93695254530432</v>
      </c>
      <c r="F5" s="17">
        <f>B17*('E Balans VL '!L25/3.6*1000000+'E Balans VL '!N25/3.6*1000000)/100</f>
        <v>13354.907366338479</v>
      </c>
      <c r="G5" s="18"/>
      <c r="H5" s="17"/>
      <c r="I5" s="17"/>
      <c r="J5" s="17">
        <f>('E Balans VL '!D25+'E Balans VL '!E25)/3.6*1000000*landbouw!B17/100</f>
        <v>1041.1019424830554</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3778.859297</v>
      </c>
      <c r="C8" s="21">
        <f>C5+C6</f>
        <v>62.357142857142847</v>
      </c>
      <c r="D8" s="21">
        <f>MAX((D5+D6),0)</f>
        <v>103.32825822</v>
      </c>
      <c r="E8" s="21">
        <f>MAX((E5+E6),0)</f>
        <v>117.93695254530432</v>
      </c>
      <c r="F8" s="21">
        <f>MAX((F5+F6),0)</f>
        <v>13354.907366338479</v>
      </c>
      <c r="G8" s="21"/>
      <c r="H8" s="21"/>
      <c r="I8" s="21"/>
      <c r="J8" s="21">
        <f>MAX((J5+J6),0)</f>
        <v>1041.1019424830554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0.19376186182943081</v>
      </c>
      <c r="C10" s="31">
        <f ca="1">'EF ele_warmte'!B22</f>
        <v>0.16003168944345419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732.19881297817403</v>
      </c>
      <c r="C12" s="23">
        <f ca="1">C8*C10</f>
        <v>9.9791189202953916</v>
      </c>
      <c r="D12" s="23">
        <f>D8*D10</f>
        <v>20.872308160439999</v>
      </c>
      <c r="E12" s="23">
        <f>E8*E10</f>
        <v>26.771688227784082</v>
      </c>
      <c r="F12" s="23">
        <f>F8*F10</f>
        <v>3565.7602668123741</v>
      </c>
      <c r="G12" s="23"/>
      <c r="H12" s="23"/>
      <c r="I12" s="23"/>
      <c r="J12" s="23">
        <f>J8*J10</f>
        <v>368.55008763900156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0.56175452392846059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772.6740299029002</v>
      </c>
      <c r="C26" s="247">
        <f>B26*'GWP N2O_CH4'!B5</f>
        <v>16226.154627960905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389.93393872498609</v>
      </c>
      <c r="C27" s="247">
        <f>B27*'GWP N2O_CH4'!B5</f>
        <v>8188.6127132247075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19.719522877887918</v>
      </c>
      <c r="C28" s="247">
        <f>B28*'GWP N2O_CH4'!B4</f>
        <v>6113.0520921452544</v>
      </c>
      <c r="D28" s="50"/>
    </row>
    <row r="29" spans="1:4">
      <c r="A29" s="41" t="s">
        <v>276</v>
      </c>
      <c r="B29" s="247">
        <f>B34*'ha_N2O bodem landbouw'!B4</f>
        <v>20.749069238109463</v>
      </c>
      <c r="C29" s="247">
        <f>B29*'GWP N2O_CH4'!B4</f>
        <v>6432.2114638139337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4.5498973053256188E-3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2.36212802665E-4</v>
      </c>
      <c r="C5" s="463" t="s">
        <v>210</v>
      </c>
      <c r="D5" s="448">
        <f>SUM(D6:D11)</f>
        <v>9.2815099539531607E-4</v>
      </c>
      <c r="E5" s="448">
        <f>SUM(E6:E11)</f>
        <v>7.1712024283829994E-4</v>
      </c>
      <c r="F5" s="461" t="s">
        <v>210</v>
      </c>
      <c r="G5" s="448">
        <f>SUM(G6:G11)</f>
        <v>0.26348226242192629</v>
      </c>
      <c r="H5" s="448">
        <f>SUM(H6:H11)</f>
        <v>6.9200383867958251E-2</v>
      </c>
      <c r="I5" s="463" t="s">
        <v>210</v>
      </c>
      <c r="J5" s="463" t="s">
        <v>210</v>
      </c>
      <c r="K5" s="463" t="s">
        <v>210</v>
      </c>
      <c r="L5" s="463" t="s">
        <v>210</v>
      </c>
      <c r="M5" s="448">
        <f>SUM(M6:M11)</f>
        <v>1.9741207654947739E-2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1.96310791285E-4</v>
      </c>
      <c r="C6" s="449"/>
      <c r="D6" s="917">
        <f>vkm_2011_GW_PW*SUMIFS(TableVerdeelsleutelVkm[CNG],TableVerdeelsleutelVkm[Voertuigtype],"Lichte voertuigen")*SUMIFS(TableECFTransport[EnergieConsumptieFactor (PJ per km)],TableECFTransport[Index],CONCATENATE($A6,"_CNG_CNG"))</f>
        <v>6.8260605940203612E-4</v>
      </c>
      <c r="E6" s="917">
        <f>vkm_2011_GW_PW*SUMIFS(TableVerdeelsleutelVkm[LPG],TableVerdeelsleutelVkm[Voertuigtype],"Lichte voertuigen")*SUMIFS(TableECFTransport[EnergieConsumptieFactor (PJ per km)],TableECFTransport[Index],CONCATENATE($A6,"_LPG_LPG"))</f>
        <v>5.3778111192119993E-4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0.14639027168298296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5.1226872075705525E-2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1.1808866432121749E-2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6.0804790205942573E-2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1.5318686078606834E-5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3.506194170668179E-3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3.9902011379999995E-5</v>
      </c>
      <c r="C8" s="449"/>
      <c r="D8" s="451">
        <f>vkm_2011_NGW_PW*SUMIFS(TableVerdeelsleutelVkm[CNG],TableVerdeelsleutelVkm[Voertuigtype],"Lichte voertuigen")*SUMIFS(TableECFTransport[EnergieConsumptieFactor (PJ per km)],TableECFTransport[Index],CONCATENATE($A8,"_CNG_CNG"))</f>
        <v>2.4554493599328E-4</v>
      </c>
      <c r="E8" s="451">
        <f>vkm_2011_NGW_PW*SUMIFS(TableVerdeelsleutelVkm[LPG],TableVerdeelsleutelVkm[Voertuigtype],"Lichte voertuigen")*SUMIFS(TableECFTransport[EnergieConsumptieFactor (PJ per km)],TableECFTransport[Index],CONCATENATE($A8,"_LPG_LPG"))</f>
        <v>1.7933913091710001E-4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4.5301798544476864E-2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1.7955581746060986E-2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3.7927047294639311E-3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1.0985401988523899E-2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2.6113601131354788E-6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6.3344232269387922E-4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65.614667406944449</v>
      </c>
      <c r="C14" s="21"/>
      <c r="D14" s="21">
        <f t="shared" ref="D14:M14" si="0">((D5)*10^9/3600)+D12</f>
        <v>257.81972094314335</v>
      </c>
      <c r="E14" s="21">
        <f t="shared" si="0"/>
        <v>199.20006745508331</v>
      </c>
      <c r="F14" s="21"/>
      <c r="G14" s="21">
        <f t="shared" si="0"/>
        <v>73189.517339423968</v>
      </c>
      <c r="H14" s="21">
        <f t="shared" si="0"/>
        <v>19222.328852210623</v>
      </c>
      <c r="I14" s="21"/>
      <c r="J14" s="21"/>
      <c r="K14" s="21"/>
      <c r="L14" s="21"/>
      <c r="M14" s="21">
        <f t="shared" si="0"/>
        <v>5483.668793041039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0.19376186182943081</v>
      </c>
      <c r="C16" s="56">
        <f ca="1">'EF ele_warmte'!B22</f>
        <v>0.16003168944345419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12.713620120088427</v>
      </c>
      <c r="C18" s="23"/>
      <c r="D18" s="23">
        <f t="shared" ref="D18:M18" si="1">D14*D16</f>
        <v>52.079583630514961</v>
      </c>
      <c r="E18" s="23">
        <f t="shared" si="1"/>
        <v>45.218415312303911</v>
      </c>
      <c r="F18" s="23"/>
      <c r="G18" s="23">
        <f t="shared" si="1"/>
        <v>19541.6011296262</v>
      </c>
      <c r="H18" s="23">
        <f t="shared" si="1"/>
        <v>4786.3598842004449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4.733575985121378E-3</v>
      </c>
      <c r="H50" s="321">
        <f t="shared" si="2"/>
        <v>0</v>
      </c>
      <c r="I50" s="321">
        <f t="shared" si="2"/>
        <v>0</v>
      </c>
      <c r="J50" s="321">
        <f t="shared" si="2"/>
        <v>0</v>
      </c>
      <c r="K50" s="321">
        <f t="shared" si="2"/>
        <v>0</v>
      </c>
      <c r="L50" s="321">
        <f t="shared" si="2"/>
        <v>0</v>
      </c>
      <c r="M50" s="321">
        <f t="shared" si="2"/>
        <v>2.6309267699445722E-4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4.733575985121378E-3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2.6309267699445722E-4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1314.8822180892716</v>
      </c>
      <c r="H54" s="21">
        <f t="shared" si="3"/>
        <v>0</v>
      </c>
      <c r="I54" s="21">
        <f t="shared" si="3"/>
        <v>0</v>
      </c>
      <c r="J54" s="21">
        <f t="shared" si="3"/>
        <v>0</v>
      </c>
      <c r="K54" s="21">
        <f t="shared" si="3"/>
        <v>0</v>
      </c>
      <c r="L54" s="21">
        <f t="shared" si="3"/>
        <v>0</v>
      </c>
      <c r="M54" s="21">
        <f t="shared" si="3"/>
        <v>73.081299165127007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0.19376186182943081</v>
      </c>
      <c r="C56" s="56">
        <f ca="1">'EF ele_warmte'!B22</f>
        <v>0.16003168944345419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351.07355222983557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24140.983175999994</v>
      </c>
      <c r="D10" s="712">
        <f ca="1">tertiair!C16</f>
        <v>128.57142857142858</v>
      </c>
      <c r="E10" s="712">
        <f ca="1">tertiair!D16</f>
        <v>21638.658098853146</v>
      </c>
      <c r="F10" s="712">
        <f>tertiair!E16</f>
        <v>242.06674113582204</v>
      </c>
      <c r="G10" s="712">
        <f ca="1">tertiair!F16</f>
        <v>2721.7054248441409</v>
      </c>
      <c r="H10" s="712">
        <f>tertiair!G16</f>
        <v>0</v>
      </c>
      <c r="I10" s="712">
        <f>tertiair!H16</f>
        <v>0</v>
      </c>
      <c r="J10" s="712">
        <f>tertiair!I16</f>
        <v>0</v>
      </c>
      <c r="K10" s="712">
        <f>tertiair!J16</f>
        <v>0.11423632811479877</v>
      </c>
      <c r="L10" s="712">
        <f>tertiair!K16</f>
        <v>0</v>
      </c>
      <c r="M10" s="712">
        <f ca="1">tertiair!L16</f>
        <v>0</v>
      </c>
      <c r="N10" s="712">
        <f>tertiair!M16</f>
        <v>0</v>
      </c>
      <c r="O10" s="712">
        <f ca="1">tertiair!N16</f>
        <v>632.24468951463768</v>
      </c>
      <c r="P10" s="712">
        <f>tertiair!O16</f>
        <v>34.280825360888088</v>
      </c>
      <c r="Q10" s="713">
        <f>tertiair!P16</f>
        <v>52.539138306495019</v>
      </c>
      <c r="R10" s="715">
        <f ca="1">SUM(C10:Q10)</f>
        <v>49591.163758914663</v>
      </c>
      <c r="S10" s="67"/>
    </row>
    <row r="11" spans="1:19" s="474" customFormat="1">
      <c r="A11" s="834" t="s">
        <v>224</v>
      </c>
      <c r="B11" s="839"/>
      <c r="C11" s="712">
        <f>huishoudens!B8</f>
        <v>32090.11611810682</v>
      </c>
      <c r="D11" s="712">
        <f>huishoudens!C8</f>
        <v>0</v>
      </c>
      <c r="E11" s="712">
        <f>huishoudens!D8</f>
        <v>65510.647638919996</v>
      </c>
      <c r="F11" s="712">
        <f>huishoudens!E8</f>
        <v>7938.4085782146858</v>
      </c>
      <c r="G11" s="712">
        <f>huishoudens!F8</f>
        <v>29347.932389703969</v>
      </c>
      <c r="H11" s="712">
        <f>huishoudens!G8</f>
        <v>0</v>
      </c>
      <c r="I11" s="712">
        <f>huishoudens!H8</f>
        <v>0</v>
      </c>
      <c r="J11" s="712">
        <f>huishoudens!I8</f>
        <v>0</v>
      </c>
      <c r="K11" s="712">
        <f>huishoudens!J8</f>
        <v>0</v>
      </c>
      <c r="L11" s="712">
        <f>huishoudens!K8</f>
        <v>0</v>
      </c>
      <c r="M11" s="712">
        <f>huishoudens!L8</f>
        <v>0</v>
      </c>
      <c r="N11" s="712">
        <f>huishoudens!M8</f>
        <v>0</v>
      </c>
      <c r="O11" s="712">
        <f>huishoudens!N8</f>
        <v>42085.334072977006</v>
      </c>
      <c r="P11" s="712">
        <f>huishoudens!O8</f>
        <v>642.80246308139829</v>
      </c>
      <c r="Q11" s="713">
        <f>huishoudens!P8</f>
        <v>1316.7449134606277</v>
      </c>
      <c r="R11" s="715">
        <f>SUM(C11:Q11)</f>
        <v>178931.98617446452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15834.694135</v>
      </c>
      <c r="D13" s="712">
        <f>industrie!C18</f>
        <v>0</v>
      </c>
      <c r="E13" s="712">
        <f>industrie!D18</f>
        <v>3891.13227525</v>
      </c>
      <c r="F13" s="712">
        <f>industrie!E18</f>
        <v>498.80287473527591</v>
      </c>
      <c r="G13" s="712">
        <f>industrie!F18</f>
        <v>2177.7462562266883</v>
      </c>
      <c r="H13" s="712">
        <f>industrie!G18</f>
        <v>0</v>
      </c>
      <c r="I13" s="712">
        <f>industrie!H18</f>
        <v>0</v>
      </c>
      <c r="J13" s="712">
        <f>industrie!I18</f>
        <v>0</v>
      </c>
      <c r="K13" s="712">
        <f>industrie!J18</f>
        <v>13.640853523229937</v>
      </c>
      <c r="L13" s="712">
        <f>industrie!K18</f>
        <v>0</v>
      </c>
      <c r="M13" s="712">
        <f>industrie!L18</f>
        <v>0</v>
      </c>
      <c r="N13" s="712">
        <f>industrie!M18</f>
        <v>0</v>
      </c>
      <c r="O13" s="712">
        <f>industrie!N18</f>
        <v>923.5517710616906</v>
      </c>
      <c r="P13" s="712">
        <f>industrie!O18</f>
        <v>0</v>
      </c>
      <c r="Q13" s="713">
        <f>industrie!P18</f>
        <v>0</v>
      </c>
      <c r="R13" s="715">
        <f>SUM(C13:Q13)</f>
        <v>23339.568165796885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72065.793429106809</v>
      </c>
      <c r="D16" s="748">
        <f t="shared" ref="D16:R16" ca="1" si="0">SUM(D9:D15)</f>
        <v>128.57142857142858</v>
      </c>
      <c r="E16" s="748">
        <f t="shared" ca="1" si="0"/>
        <v>91040.438013023144</v>
      </c>
      <c r="F16" s="748">
        <f t="shared" si="0"/>
        <v>8679.278194085784</v>
      </c>
      <c r="G16" s="748">
        <f t="shared" ca="1" si="0"/>
        <v>34247.384070774802</v>
      </c>
      <c r="H16" s="748">
        <f t="shared" si="0"/>
        <v>0</v>
      </c>
      <c r="I16" s="748">
        <f t="shared" si="0"/>
        <v>0</v>
      </c>
      <c r="J16" s="748">
        <f t="shared" si="0"/>
        <v>0</v>
      </c>
      <c r="K16" s="748">
        <f t="shared" si="0"/>
        <v>13.755089851344737</v>
      </c>
      <c r="L16" s="748">
        <f t="shared" si="0"/>
        <v>0</v>
      </c>
      <c r="M16" s="748">
        <f t="shared" ca="1" si="0"/>
        <v>0</v>
      </c>
      <c r="N16" s="748">
        <f t="shared" si="0"/>
        <v>0</v>
      </c>
      <c r="O16" s="748">
        <f t="shared" ca="1" si="0"/>
        <v>43641.130533553332</v>
      </c>
      <c r="P16" s="748">
        <f t="shared" si="0"/>
        <v>677.0832884422864</v>
      </c>
      <c r="Q16" s="748">
        <f t="shared" si="0"/>
        <v>1369.2840517671227</v>
      </c>
      <c r="R16" s="748">
        <f t="shared" ca="1" si="0"/>
        <v>251862.71809917607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1314.8822180892716</v>
      </c>
      <c r="I19" s="712">
        <f>transport!H54</f>
        <v>0</v>
      </c>
      <c r="J19" s="712">
        <f>transport!I54</f>
        <v>0</v>
      </c>
      <c r="K19" s="712">
        <f>transport!J54</f>
        <v>0</v>
      </c>
      <c r="L19" s="712">
        <f>transport!K54</f>
        <v>0</v>
      </c>
      <c r="M19" s="712">
        <f>transport!L54</f>
        <v>0</v>
      </c>
      <c r="N19" s="712">
        <f>transport!M54</f>
        <v>73.081299165127007</v>
      </c>
      <c r="O19" s="712">
        <f>transport!N54</f>
        <v>0</v>
      </c>
      <c r="P19" s="712">
        <f>transport!O54</f>
        <v>0</v>
      </c>
      <c r="Q19" s="713">
        <f>transport!P54</f>
        <v>0</v>
      </c>
      <c r="R19" s="715">
        <f>SUM(C19:Q19)</f>
        <v>1387.9635172543985</v>
      </c>
      <c r="S19" s="67"/>
    </row>
    <row r="20" spans="1:19" s="474" customFormat="1">
      <c r="A20" s="834" t="s">
        <v>306</v>
      </c>
      <c r="B20" s="839"/>
      <c r="C20" s="712">
        <f>transport!B14</f>
        <v>65.614667406944449</v>
      </c>
      <c r="D20" s="712">
        <f>transport!C14</f>
        <v>0</v>
      </c>
      <c r="E20" s="712">
        <f>transport!D14</f>
        <v>257.81972094314335</v>
      </c>
      <c r="F20" s="712">
        <f>transport!E14</f>
        <v>199.20006745508331</v>
      </c>
      <c r="G20" s="712">
        <f>transport!F14</f>
        <v>0</v>
      </c>
      <c r="H20" s="712">
        <f>transport!G14</f>
        <v>73189.517339423968</v>
      </c>
      <c r="I20" s="712">
        <f>transport!H14</f>
        <v>19222.328852210623</v>
      </c>
      <c r="J20" s="712">
        <f>transport!I14</f>
        <v>0</v>
      </c>
      <c r="K20" s="712">
        <f>transport!J14</f>
        <v>0</v>
      </c>
      <c r="L20" s="712">
        <f>transport!K14</f>
        <v>0</v>
      </c>
      <c r="M20" s="712">
        <f>transport!L14</f>
        <v>0</v>
      </c>
      <c r="N20" s="712">
        <f>transport!M14</f>
        <v>5483.668793041039</v>
      </c>
      <c r="O20" s="712">
        <f>transport!N14</f>
        <v>0</v>
      </c>
      <c r="P20" s="712">
        <f>transport!O14</f>
        <v>0</v>
      </c>
      <c r="Q20" s="713">
        <f>transport!P14</f>
        <v>0</v>
      </c>
      <c r="R20" s="715">
        <f>SUM(C20:Q20)</f>
        <v>98418.149440480789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65.614667406944449</v>
      </c>
      <c r="D22" s="837">
        <f t="shared" ref="D22:R22" si="1">SUM(D18:D21)</f>
        <v>0</v>
      </c>
      <c r="E22" s="837">
        <f t="shared" si="1"/>
        <v>257.81972094314335</v>
      </c>
      <c r="F22" s="837">
        <f t="shared" si="1"/>
        <v>199.20006745508331</v>
      </c>
      <c r="G22" s="837">
        <f t="shared" si="1"/>
        <v>0</v>
      </c>
      <c r="H22" s="837">
        <f t="shared" si="1"/>
        <v>74504.399557513243</v>
      </c>
      <c r="I22" s="837">
        <f t="shared" si="1"/>
        <v>19222.328852210623</v>
      </c>
      <c r="J22" s="837">
        <f t="shared" si="1"/>
        <v>0</v>
      </c>
      <c r="K22" s="837">
        <f t="shared" si="1"/>
        <v>0</v>
      </c>
      <c r="L22" s="837">
        <f t="shared" si="1"/>
        <v>0</v>
      </c>
      <c r="M22" s="837">
        <f t="shared" si="1"/>
        <v>0</v>
      </c>
      <c r="N22" s="837">
        <f t="shared" si="1"/>
        <v>5556.7500922061663</v>
      </c>
      <c r="O22" s="837">
        <f t="shared" si="1"/>
        <v>0</v>
      </c>
      <c r="P22" s="837">
        <f t="shared" si="1"/>
        <v>0</v>
      </c>
      <c r="Q22" s="837">
        <f t="shared" si="1"/>
        <v>0</v>
      </c>
      <c r="R22" s="837">
        <f t="shared" si="1"/>
        <v>99806.112957735182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3778.859297</v>
      </c>
      <c r="D24" s="712">
        <f>+landbouw!C8</f>
        <v>62.357142857142847</v>
      </c>
      <c r="E24" s="712">
        <f>+landbouw!D8</f>
        <v>103.32825822</v>
      </c>
      <c r="F24" s="712">
        <f>+landbouw!E8</f>
        <v>117.93695254530432</v>
      </c>
      <c r="G24" s="712">
        <f>+landbouw!F8</f>
        <v>13354.907366338479</v>
      </c>
      <c r="H24" s="712">
        <f>+landbouw!G8</f>
        <v>0</v>
      </c>
      <c r="I24" s="712">
        <f>+landbouw!H8</f>
        <v>0</v>
      </c>
      <c r="J24" s="712">
        <f>+landbouw!I8</f>
        <v>0</v>
      </c>
      <c r="K24" s="712">
        <f>+landbouw!J8</f>
        <v>1041.1019424830554</v>
      </c>
      <c r="L24" s="712">
        <f>+landbouw!K8</f>
        <v>0</v>
      </c>
      <c r="M24" s="712">
        <f>+landbouw!L8</f>
        <v>0</v>
      </c>
      <c r="N24" s="712">
        <f>+landbouw!M8</f>
        <v>0</v>
      </c>
      <c r="O24" s="712">
        <f>+landbouw!N8</f>
        <v>0</v>
      </c>
      <c r="P24" s="712">
        <f>+landbouw!O8</f>
        <v>0</v>
      </c>
      <c r="Q24" s="713">
        <f>+landbouw!P8</f>
        <v>0</v>
      </c>
      <c r="R24" s="715">
        <f>SUM(C24:Q24)</f>
        <v>18458.490959443981</v>
      </c>
      <c r="S24" s="67"/>
    </row>
    <row r="25" spans="1:19" s="474" customFormat="1" ht="15" thickBot="1">
      <c r="A25" s="856" t="s">
        <v>734</v>
      </c>
      <c r="B25" s="982"/>
      <c r="C25" s="983">
        <f>IF(Onbekend_ele_kWh="---",0,Onbekend_ele_kWh)/1000+IF(REST_rest_ele_kWh="---",0,REST_rest_ele_kWh)/1000</f>
        <v>1034.2723619999999</v>
      </c>
      <c r="D25" s="983"/>
      <c r="E25" s="983">
        <f>IF(onbekend_gas_kWh="---",0,onbekend_gas_kWh)/1000+IF(REST_rest_gas_kWh="---",0,REST_rest_gas_kWh)/1000</f>
        <v>3149.8139100000003</v>
      </c>
      <c r="F25" s="983"/>
      <c r="G25" s="983"/>
      <c r="H25" s="983"/>
      <c r="I25" s="983"/>
      <c r="J25" s="983"/>
      <c r="K25" s="983"/>
      <c r="L25" s="983"/>
      <c r="M25" s="983"/>
      <c r="N25" s="983"/>
      <c r="O25" s="983"/>
      <c r="P25" s="983"/>
      <c r="Q25" s="984"/>
      <c r="R25" s="715">
        <f>SUM(C25:Q25)</f>
        <v>4184.0862720000005</v>
      </c>
      <c r="S25" s="67"/>
    </row>
    <row r="26" spans="1:19" s="474" customFormat="1" ht="15.75" thickBot="1">
      <c r="A26" s="720" t="s">
        <v>735</v>
      </c>
      <c r="B26" s="842"/>
      <c r="C26" s="837">
        <f>SUM(C24:C25)</f>
        <v>4813.1316589999997</v>
      </c>
      <c r="D26" s="837">
        <f t="shared" ref="D26:R26" si="2">SUM(D24:D25)</f>
        <v>62.357142857142847</v>
      </c>
      <c r="E26" s="837">
        <f t="shared" si="2"/>
        <v>3253.1421682200003</v>
      </c>
      <c r="F26" s="837">
        <f t="shared" si="2"/>
        <v>117.93695254530432</v>
      </c>
      <c r="G26" s="837">
        <f t="shared" si="2"/>
        <v>13354.907366338479</v>
      </c>
      <c r="H26" s="837">
        <f t="shared" si="2"/>
        <v>0</v>
      </c>
      <c r="I26" s="837">
        <f t="shared" si="2"/>
        <v>0</v>
      </c>
      <c r="J26" s="837">
        <f t="shared" si="2"/>
        <v>0</v>
      </c>
      <c r="K26" s="837">
        <f t="shared" si="2"/>
        <v>1041.1019424830554</v>
      </c>
      <c r="L26" s="837">
        <f t="shared" si="2"/>
        <v>0</v>
      </c>
      <c r="M26" s="837">
        <f t="shared" si="2"/>
        <v>0</v>
      </c>
      <c r="N26" s="837">
        <f t="shared" si="2"/>
        <v>0</v>
      </c>
      <c r="O26" s="837">
        <f t="shared" si="2"/>
        <v>0</v>
      </c>
      <c r="P26" s="837">
        <f t="shared" si="2"/>
        <v>0</v>
      </c>
      <c r="Q26" s="837">
        <f t="shared" si="2"/>
        <v>0</v>
      </c>
      <c r="R26" s="837">
        <f t="shared" si="2"/>
        <v>22642.577231443982</v>
      </c>
      <c r="S26" s="67"/>
    </row>
    <row r="27" spans="1:19" s="474" customFormat="1" ht="17.25" thickTop="1" thickBot="1">
      <c r="A27" s="721" t="s">
        <v>115</v>
      </c>
      <c r="B27" s="829"/>
      <c r="C27" s="722">
        <f ca="1">C22+C16+C26</f>
        <v>76944.539755513761</v>
      </c>
      <c r="D27" s="722">
        <f t="shared" ref="D27:R27" ca="1" si="3">D22+D16+D26</f>
        <v>190.92857142857144</v>
      </c>
      <c r="E27" s="722">
        <f t="shared" ca="1" si="3"/>
        <v>94551.399902186284</v>
      </c>
      <c r="F27" s="722">
        <f t="shared" si="3"/>
        <v>8996.4152140861715</v>
      </c>
      <c r="G27" s="722">
        <f t="shared" ca="1" si="3"/>
        <v>47602.291437113279</v>
      </c>
      <c r="H27" s="722">
        <f t="shared" si="3"/>
        <v>74504.399557513243</v>
      </c>
      <c r="I27" s="722">
        <f t="shared" si="3"/>
        <v>19222.328852210623</v>
      </c>
      <c r="J27" s="722">
        <f t="shared" si="3"/>
        <v>0</v>
      </c>
      <c r="K27" s="722">
        <f t="shared" si="3"/>
        <v>1054.8570323344002</v>
      </c>
      <c r="L27" s="722">
        <f t="shared" si="3"/>
        <v>0</v>
      </c>
      <c r="M27" s="722">
        <f t="shared" ca="1" si="3"/>
        <v>0</v>
      </c>
      <c r="N27" s="722">
        <f t="shared" si="3"/>
        <v>5556.7500922061663</v>
      </c>
      <c r="O27" s="722">
        <f t="shared" ca="1" si="3"/>
        <v>43641.130533553332</v>
      </c>
      <c r="P27" s="722">
        <f t="shared" si="3"/>
        <v>677.0832884422864</v>
      </c>
      <c r="Q27" s="722">
        <f t="shared" si="3"/>
        <v>1369.2840517671227</v>
      </c>
      <c r="R27" s="722">
        <f t="shared" ca="1" si="3"/>
        <v>374311.40828835522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4677.6018465747256</v>
      </c>
      <c r="D40" s="712">
        <f ca="1">tertiair!C20</f>
        <v>20.575502928444113</v>
      </c>
      <c r="E40" s="712">
        <f ca="1">tertiair!D20</f>
        <v>4371.0089359683361</v>
      </c>
      <c r="F40" s="712">
        <f>tertiair!E20</f>
        <v>54.949150237831603</v>
      </c>
      <c r="G40" s="712">
        <f ca="1">tertiair!F20</f>
        <v>726.69534843338567</v>
      </c>
      <c r="H40" s="712">
        <f>tertiair!G20</f>
        <v>0</v>
      </c>
      <c r="I40" s="712">
        <f>tertiair!H20</f>
        <v>0</v>
      </c>
      <c r="J40" s="712">
        <f>tertiair!I20</f>
        <v>0</v>
      </c>
      <c r="K40" s="712">
        <f>tertiair!J20</f>
        <v>4.0439660152638758E-2</v>
      </c>
      <c r="L40" s="712">
        <f>tertiair!K20</f>
        <v>0</v>
      </c>
      <c r="M40" s="712">
        <f ca="1">tertiair!L20</f>
        <v>0</v>
      </c>
      <c r="N40" s="712">
        <f>tertiair!M20</f>
        <v>0</v>
      </c>
      <c r="O40" s="712">
        <f ca="1">tertiair!N20</f>
        <v>0</v>
      </c>
      <c r="P40" s="712">
        <f>tertiair!O20</f>
        <v>0</v>
      </c>
      <c r="Q40" s="795">
        <f>tertiair!P20</f>
        <v>0</v>
      </c>
      <c r="R40" s="875">
        <f t="shared" ca="1" si="4"/>
        <v>9850.8712238028766</v>
      </c>
    </row>
    <row r="41" spans="1:18">
      <c r="A41" s="847" t="s">
        <v>224</v>
      </c>
      <c r="B41" s="854"/>
      <c r="C41" s="712">
        <f ca="1">huishoudens!B12</f>
        <v>6217.8406453670041</v>
      </c>
      <c r="D41" s="712">
        <f ca="1">huishoudens!C12</f>
        <v>0</v>
      </c>
      <c r="E41" s="712">
        <f>huishoudens!D12</f>
        <v>13233.15082306184</v>
      </c>
      <c r="F41" s="712">
        <f>huishoudens!E12</f>
        <v>1802.0187472547336</v>
      </c>
      <c r="G41" s="712">
        <f>huishoudens!F12</f>
        <v>7835.8979480509597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29088.908163734537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3068.1598170971683</v>
      </c>
      <c r="D43" s="712">
        <f ca="1">industrie!C22</f>
        <v>0</v>
      </c>
      <c r="E43" s="712">
        <f>industrie!D22</f>
        <v>786.00871960050006</v>
      </c>
      <c r="F43" s="712">
        <f>industrie!E22</f>
        <v>113.22825256490763</v>
      </c>
      <c r="G43" s="712">
        <f>industrie!F22</f>
        <v>581.45825041252579</v>
      </c>
      <c r="H43" s="712">
        <f>industrie!G22</f>
        <v>0</v>
      </c>
      <c r="I43" s="712">
        <f>industrie!H22</f>
        <v>0</v>
      </c>
      <c r="J43" s="712">
        <f>industrie!I22</f>
        <v>0</v>
      </c>
      <c r="K43" s="712">
        <f>industrie!J22</f>
        <v>4.8288621472233979</v>
      </c>
      <c r="L43" s="712">
        <f>industrie!K22</f>
        <v>0</v>
      </c>
      <c r="M43" s="712">
        <f>industrie!L22</f>
        <v>0</v>
      </c>
      <c r="N43" s="712">
        <f>industrie!M22</f>
        <v>0</v>
      </c>
      <c r="O43" s="712">
        <f>industrie!N22</f>
        <v>0</v>
      </c>
      <c r="P43" s="712">
        <f>industrie!O22</f>
        <v>0</v>
      </c>
      <c r="Q43" s="795">
        <f>industrie!P22</f>
        <v>0</v>
      </c>
      <c r="R43" s="874">
        <f t="shared" ca="1" si="4"/>
        <v>4553.6839018223254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13963.602309038897</v>
      </c>
      <c r="D46" s="748">
        <f t="shared" ref="D46:Q46" ca="1" si="5">SUM(D39:D45)</f>
        <v>20.575502928444113</v>
      </c>
      <c r="E46" s="748">
        <f t="shared" ca="1" si="5"/>
        <v>18390.168478630676</v>
      </c>
      <c r="F46" s="748">
        <f t="shared" si="5"/>
        <v>1970.196150057473</v>
      </c>
      <c r="G46" s="748">
        <f t="shared" ca="1" si="5"/>
        <v>9144.0515468968715</v>
      </c>
      <c r="H46" s="748">
        <f t="shared" si="5"/>
        <v>0</v>
      </c>
      <c r="I46" s="748">
        <f t="shared" si="5"/>
        <v>0</v>
      </c>
      <c r="J46" s="748">
        <f t="shared" si="5"/>
        <v>0</v>
      </c>
      <c r="K46" s="748">
        <f t="shared" si="5"/>
        <v>4.8693018073760364</v>
      </c>
      <c r="L46" s="748">
        <f t="shared" si="5"/>
        <v>0</v>
      </c>
      <c r="M46" s="748">
        <f t="shared" ca="1" si="5"/>
        <v>0</v>
      </c>
      <c r="N46" s="748">
        <f t="shared" si="5"/>
        <v>0</v>
      </c>
      <c r="O46" s="748">
        <f t="shared" ca="1" si="5"/>
        <v>0</v>
      </c>
      <c r="P46" s="748">
        <f t="shared" si="5"/>
        <v>0</v>
      </c>
      <c r="Q46" s="748">
        <f t="shared" si="5"/>
        <v>0</v>
      </c>
      <c r="R46" s="748">
        <f ca="1">SUM(R39:R45)</f>
        <v>43493.463289359737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351.07355222983557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351.07355222983557</v>
      </c>
    </row>
    <row r="50" spans="1:18">
      <c r="A50" s="850" t="s">
        <v>306</v>
      </c>
      <c r="B50" s="860"/>
      <c r="C50" s="718">
        <f ca="1">transport!B18</f>
        <v>12.713620120088427</v>
      </c>
      <c r="D50" s="718">
        <f>transport!C18</f>
        <v>0</v>
      </c>
      <c r="E50" s="718">
        <f>transport!D18</f>
        <v>52.079583630514961</v>
      </c>
      <c r="F50" s="718">
        <f>transport!E18</f>
        <v>45.218415312303911</v>
      </c>
      <c r="G50" s="718">
        <f>transport!F18</f>
        <v>0</v>
      </c>
      <c r="H50" s="718">
        <f>transport!G18</f>
        <v>19541.6011296262</v>
      </c>
      <c r="I50" s="718">
        <f>transport!H18</f>
        <v>4786.3598842004449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24437.972632889556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12.713620120088427</v>
      </c>
      <c r="D52" s="748">
        <f t="shared" ref="D52:Q52" ca="1" si="6">SUM(D48:D51)</f>
        <v>0</v>
      </c>
      <c r="E52" s="748">
        <f t="shared" si="6"/>
        <v>52.079583630514961</v>
      </c>
      <c r="F52" s="748">
        <f t="shared" si="6"/>
        <v>45.218415312303911</v>
      </c>
      <c r="G52" s="748">
        <f t="shared" si="6"/>
        <v>0</v>
      </c>
      <c r="H52" s="748">
        <f t="shared" si="6"/>
        <v>19892.674681856035</v>
      </c>
      <c r="I52" s="748">
        <f t="shared" si="6"/>
        <v>4786.3598842004449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24789.04618511939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732.19881297817403</v>
      </c>
      <c r="D54" s="718">
        <f ca="1">+landbouw!C12</f>
        <v>9.9791189202953916</v>
      </c>
      <c r="E54" s="718">
        <f>+landbouw!D12</f>
        <v>20.872308160439999</v>
      </c>
      <c r="F54" s="718">
        <f>+landbouw!E12</f>
        <v>26.771688227784082</v>
      </c>
      <c r="G54" s="718">
        <f>+landbouw!F12</f>
        <v>3565.7602668123741</v>
      </c>
      <c r="H54" s="718">
        <f>+landbouw!G12</f>
        <v>0</v>
      </c>
      <c r="I54" s="718">
        <f>+landbouw!H12</f>
        <v>0</v>
      </c>
      <c r="J54" s="718">
        <f>+landbouw!I12</f>
        <v>0</v>
      </c>
      <c r="K54" s="718">
        <f>+landbouw!J12</f>
        <v>368.55008763900156</v>
      </c>
      <c r="L54" s="718">
        <f>+landbouw!K12</f>
        <v>0</v>
      </c>
      <c r="M54" s="718">
        <f>+landbouw!L12</f>
        <v>0</v>
      </c>
      <c r="N54" s="718">
        <f>+landbouw!M12</f>
        <v>0</v>
      </c>
      <c r="O54" s="718">
        <f>+landbouw!N12</f>
        <v>0</v>
      </c>
      <c r="P54" s="718">
        <f>+landbouw!O12</f>
        <v>0</v>
      </c>
      <c r="Q54" s="719">
        <f>+landbouw!P12</f>
        <v>0</v>
      </c>
      <c r="R54" s="747">
        <f ca="1">SUM(C54:Q54)</f>
        <v>4724.1322827380691</v>
      </c>
    </row>
    <row r="55" spans="1:18" ht="15" thickBot="1">
      <c r="A55" s="850" t="s">
        <v>734</v>
      </c>
      <c r="B55" s="860"/>
      <c r="C55" s="718">
        <f ca="1">C25*'EF ele_warmte'!B12</f>
        <v>200.40253849984302</v>
      </c>
      <c r="D55" s="718"/>
      <c r="E55" s="718">
        <f>E25*EF_CO2_aardgas</f>
        <v>636.26240982000013</v>
      </c>
      <c r="F55" s="718"/>
      <c r="G55" s="718"/>
      <c r="H55" s="718"/>
      <c r="I55" s="718"/>
      <c r="J55" s="718"/>
      <c r="K55" s="718"/>
      <c r="L55" s="718"/>
      <c r="M55" s="718"/>
      <c r="N55" s="718"/>
      <c r="O55" s="718"/>
      <c r="P55" s="718"/>
      <c r="Q55" s="719"/>
      <c r="R55" s="747">
        <f ca="1">SUM(C55:Q55)</f>
        <v>836.66494831984312</v>
      </c>
    </row>
    <row r="56" spans="1:18" ht="15.75" thickBot="1">
      <c r="A56" s="848" t="s">
        <v>735</v>
      </c>
      <c r="B56" s="861"/>
      <c r="C56" s="748">
        <f ca="1">SUM(C54:C55)</f>
        <v>932.60135147801702</v>
      </c>
      <c r="D56" s="748">
        <f t="shared" ref="D56:Q56" ca="1" si="7">SUM(D54:D55)</f>
        <v>9.9791189202953916</v>
      </c>
      <c r="E56" s="748">
        <f t="shared" si="7"/>
        <v>657.13471798044009</v>
      </c>
      <c r="F56" s="748">
        <f t="shared" si="7"/>
        <v>26.771688227784082</v>
      </c>
      <c r="G56" s="748">
        <f t="shared" si="7"/>
        <v>3565.7602668123741</v>
      </c>
      <c r="H56" s="748">
        <f t="shared" si="7"/>
        <v>0</v>
      </c>
      <c r="I56" s="748">
        <f t="shared" si="7"/>
        <v>0</v>
      </c>
      <c r="J56" s="748">
        <f t="shared" si="7"/>
        <v>0</v>
      </c>
      <c r="K56" s="748">
        <f t="shared" si="7"/>
        <v>368.55008763900156</v>
      </c>
      <c r="L56" s="748">
        <f t="shared" si="7"/>
        <v>0</v>
      </c>
      <c r="M56" s="748">
        <f t="shared" si="7"/>
        <v>0</v>
      </c>
      <c r="N56" s="748">
        <f t="shared" si="7"/>
        <v>0</v>
      </c>
      <c r="O56" s="748">
        <f t="shared" si="7"/>
        <v>0</v>
      </c>
      <c r="P56" s="748">
        <f t="shared" si="7"/>
        <v>0</v>
      </c>
      <c r="Q56" s="749">
        <f t="shared" si="7"/>
        <v>0</v>
      </c>
      <c r="R56" s="750">
        <f ca="1">SUM(R54:R55)</f>
        <v>5560.7972310579125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14908.917280637002</v>
      </c>
      <c r="D61" s="756">
        <f t="shared" ref="D61:Q61" ca="1" si="8">D46+D52+D56</f>
        <v>30.554621848739504</v>
      </c>
      <c r="E61" s="756">
        <f t="shared" ca="1" si="8"/>
        <v>19099.382780241631</v>
      </c>
      <c r="F61" s="756">
        <f t="shared" si="8"/>
        <v>2042.1862535975611</v>
      </c>
      <c r="G61" s="756">
        <f t="shared" ca="1" si="8"/>
        <v>12709.811813709246</v>
      </c>
      <c r="H61" s="756">
        <f t="shared" si="8"/>
        <v>19892.674681856035</v>
      </c>
      <c r="I61" s="756">
        <f t="shared" si="8"/>
        <v>4786.3598842004449</v>
      </c>
      <c r="J61" s="756">
        <f t="shared" si="8"/>
        <v>0</v>
      </c>
      <c r="K61" s="756">
        <f t="shared" si="8"/>
        <v>373.41938944637758</v>
      </c>
      <c r="L61" s="756">
        <f t="shared" si="8"/>
        <v>0</v>
      </c>
      <c r="M61" s="756">
        <f t="shared" ca="1" si="8"/>
        <v>0</v>
      </c>
      <c r="N61" s="756">
        <f t="shared" si="8"/>
        <v>0</v>
      </c>
      <c r="O61" s="756">
        <f t="shared" ca="1" si="8"/>
        <v>0</v>
      </c>
      <c r="P61" s="756">
        <f t="shared" si="8"/>
        <v>0</v>
      </c>
      <c r="Q61" s="756">
        <f t="shared" si="8"/>
        <v>0</v>
      </c>
      <c r="R61" s="756">
        <f ca="1">R46+R52+R56</f>
        <v>73843.306705537034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0.19376186182943081</v>
      </c>
      <c r="D63" s="802">
        <f t="shared" ca="1" si="9"/>
        <v>0.16003168944345419</v>
      </c>
      <c r="E63" s="1008">
        <f t="shared" ca="1" si="9"/>
        <v>0.20200000000000001</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8105.5049349577221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43.649999999999984</v>
      </c>
      <c r="C76" s="769">
        <f>'lokale energieproductie'!B8*IFERROR(SUM(D76:H76)/SUM(D76:O76),0)</f>
        <v>89.999999999999986</v>
      </c>
      <c r="D76" s="991">
        <f>'lokale energieproductie'!C8</f>
        <v>105.88235294117646</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51.352941176470573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21.388235294117646</v>
      </c>
      <c r="R76" s="877">
        <v>0</v>
      </c>
    </row>
    <row r="77" spans="1:18" ht="15.75" thickBot="1">
      <c r="A77" s="772" t="s">
        <v>801</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9490.1549349577217</v>
      </c>
      <c r="C78" s="774">
        <f>SUM(C72:C77)</f>
        <v>89.999999999999986</v>
      </c>
      <c r="D78" s="775">
        <f t="shared" ref="D78:H78" si="10">SUM(D76:D77)</f>
        <v>105.88235294117646</v>
      </c>
      <c r="E78" s="775">
        <f t="shared" si="10"/>
        <v>0</v>
      </c>
      <c r="F78" s="775">
        <f t="shared" si="10"/>
        <v>0</v>
      </c>
      <c r="G78" s="775">
        <f t="shared" si="10"/>
        <v>0</v>
      </c>
      <c r="H78" s="775">
        <f t="shared" si="10"/>
        <v>0</v>
      </c>
      <c r="I78" s="775">
        <f>SUM(I76:I77)</f>
        <v>0</v>
      </c>
      <c r="J78" s="775">
        <f>SUM(J76:J77)</f>
        <v>3882.7815126050423</v>
      </c>
      <c r="K78" s="775">
        <f t="shared" ref="K78:L78" si="11">SUM(K76:K77)</f>
        <v>0</v>
      </c>
      <c r="L78" s="775">
        <f t="shared" si="11"/>
        <v>0</v>
      </c>
      <c r="M78" s="775">
        <f>SUM(M76:M77)</f>
        <v>0</v>
      </c>
      <c r="N78" s="775">
        <f>SUM(N76:N77)</f>
        <v>0</v>
      </c>
      <c r="O78" s="885">
        <f>SUM(O76:O77)</f>
        <v>0</v>
      </c>
      <c r="P78" s="776">
        <v>0</v>
      </c>
      <c r="Q78" s="776">
        <f>SUM(Q76:Q77)</f>
        <v>21.388235294117646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128.57142857142858</v>
      </c>
      <c r="D87" s="798">
        <f>'lokale energieproductie'!C17</f>
        <v>151.2605042016807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30.554621848739504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128.57142857142858</v>
      </c>
      <c r="D90" s="774">
        <f t="shared" ref="D90:H90" si="12">SUM(D87:D89)</f>
        <v>151.2605042016807</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30.554621848739504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8105.5049349577221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133.64999999999998</v>
      </c>
      <c r="C8" s="574">
        <f>B101</f>
        <v>105.88235294117646</v>
      </c>
      <c r="D8" s="575"/>
      <c r="E8" s="575">
        <f>E101</f>
        <v>0</v>
      </c>
      <c r="F8" s="576"/>
      <c r="G8" s="577"/>
      <c r="H8" s="575">
        <f>I101</f>
        <v>0</v>
      </c>
      <c r="I8" s="575">
        <f>G101+F101</f>
        <v>0</v>
      </c>
      <c r="J8" s="575">
        <f>H101+D101+C101</f>
        <v>51.352941176470573</v>
      </c>
      <c r="K8" s="575"/>
      <c r="L8" s="575"/>
      <c r="M8" s="575"/>
      <c r="N8" s="578"/>
      <c r="O8" s="579">
        <f>C8*$C$12+D8*$D$12+E8*$E$12+F8*$F$12+G8*$G$12+H8*$H$12+I8*$I$12+J8*$J$12</f>
        <v>21.388235294117646</v>
      </c>
      <c r="P8" s="1291"/>
      <c r="Q8" s="1292"/>
      <c r="S8" s="569"/>
      <c r="T8" s="1288"/>
      <c r="U8" s="1288"/>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9580.1549349577217</v>
      </c>
      <c r="C10" s="589">
        <f t="shared" ref="C10:L10" si="0">SUM(C8:C9)</f>
        <v>105.88235294117646</v>
      </c>
      <c r="D10" s="589">
        <f t="shared" si="0"/>
        <v>0</v>
      </c>
      <c r="E10" s="589">
        <f t="shared" si="0"/>
        <v>0</v>
      </c>
      <c r="F10" s="589">
        <f t="shared" si="0"/>
        <v>0</v>
      </c>
      <c r="G10" s="589">
        <f t="shared" si="0"/>
        <v>0</v>
      </c>
      <c r="H10" s="589">
        <f t="shared" si="0"/>
        <v>0</v>
      </c>
      <c r="I10" s="589">
        <f t="shared" si="0"/>
        <v>0</v>
      </c>
      <c r="J10" s="589">
        <f t="shared" si="0"/>
        <v>3882.7815126050423</v>
      </c>
      <c r="K10" s="589">
        <f t="shared" si="0"/>
        <v>0</v>
      </c>
      <c r="L10" s="589">
        <f t="shared" si="0"/>
        <v>0</v>
      </c>
      <c r="M10" s="1004"/>
      <c r="N10" s="1004"/>
      <c r="O10" s="590">
        <f>SUM(O4:O9)</f>
        <v>21.388235294117646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190.92857142857144</v>
      </c>
      <c r="C17" s="605">
        <f>B102</f>
        <v>151.2605042016807</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30.554621848739504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190.92857142857144</v>
      </c>
      <c r="C20" s="588">
        <f>SUM(C17:C19)</f>
        <v>151.2605042016807</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30.554621848739504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13017</v>
      </c>
      <c r="C28" s="817">
        <v>2460</v>
      </c>
      <c r="D28" s="666" t="s">
        <v>886</v>
      </c>
      <c r="E28" s="665" t="s">
        <v>887</v>
      </c>
      <c r="F28" s="665" t="s">
        <v>888</v>
      </c>
      <c r="G28" s="665" t="s">
        <v>889</v>
      </c>
      <c r="H28" s="665" t="s">
        <v>890</v>
      </c>
      <c r="I28" s="665" t="s">
        <v>887</v>
      </c>
      <c r="J28" s="816">
        <v>41586</v>
      </c>
      <c r="K28" s="816">
        <v>41586</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51">
      <c r="A29" s="618"/>
      <c r="B29" s="817">
        <v>13017</v>
      </c>
      <c r="C29" s="817">
        <v>2460</v>
      </c>
      <c r="D29" s="666" t="s">
        <v>892</v>
      </c>
      <c r="E29" s="665"/>
      <c r="F29" s="665" t="s">
        <v>893</v>
      </c>
      <c r="G29" s="665" t="s">
        <v>889</v>
      </c>
      <c r="H29" s="665" t="s">
        <v>890</v>
      </c>
      <c r="I29" s="665" t="s">
        <v>894</v>
      </c>
      <c r="J29" s="816">
        <v>42396</v>
      </c>
      <c r="K29" s="816">
        <v>42377</v>
      </c>
      <c r="L29" s="665" t="s">
        <v>895</v>
      </c>
      <c r="M29" s="665">
        <v>20</v>
      </c>
      <c r="N29" s="665">
        <v>90</v>
      </c>
      <c r="O29" s="665">
        <v>128.57142857142858</v>
      </c>
      <c r="P29" s="665">
        <v>257.14285714285717</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29.7</v>
      </c>
      <c r="N58" s="623">
        <f>SUM(N28:N57)</f>
        <v>133.64999999999998</v>
      </c>
      <c r="O58" s="623">
        <f t="shared" ref="O58:W58" si="2">SUM(O28:O57)</f>
        <v>190.92857142857144</v>
      </c>
      <c r="P58" s="623">
        <f t="shared" si="2"/>
        <v>257.14285714285717</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v>
      </c>
      <c r="N60" s="623">
        <f ca="1">SUMIF($Z$28:AD57,"tertiair",N28:N57)</f>
        <v>90</v>
      </c>
      <c r="O60" s="623">
        <f ca="1">SUMIF($Z$28:AE57,"tertiair",O28:O57)</f>
        <v>128.57142857142858</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13017</v>
      </c>
      <c r="C64" s="817">
        <v>2460</v>
      </c>
      <c r="D64" s="668" t="s">
        <v>896</v>
      </c>
      <c r="E64" s="668" t="s">
        <v>897</v>
      </c>
      <c r="F64" s="668" t="s">
        <v>898</v>
      </c>
      <c r="G64" s="668" t="s">
        <v>899</v>
      </c>
      <c r="H64" s="668" t="s">
        <v>900</v>
      </c>
      <c r="I64" s="668" t="s">
        <v>901</v>
      </c>
      <c r="J64" s="816">
        <v>38768</v>
      </c>
      <c r="K64" s="816">
        <v>39052</v>
      </c>
      <c r="L64" s="668" t="s">
        <v>902</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0.41176470588235287</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105.88235294117646</v>
      </c>
      <c r="C101" s="657">
        <f t="shared" si="9"/>
        <v>51.352941176470573</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151.2605042016807</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32090.11611810682</v>
      </c>
      <c r="C4" s="478">
        <f>huishoudens!C8</f>
        <v>0</v>
      </c>
      <c r="D4" s="478">
        <f>huishoudens!D8</f>
        <v>65510.647638919996</v>
      </c>
      <c r="E4" s="478">
        <f>huishoudens!E8</f>
        <v>7938.4085782146858</v>
      </c>
      <c r="F4" s="478">
        <f>huishoudens!F8</f>
        <v>29347.932389703969</v>
      </c>
      <c r="G4" s="478">
        <f>huishoudens!G8</f>
        <v>0</v>
      </c>
      <c r="H4" s="478">
        <f>huishoudens!H8</f>
        <v>0</v>
      </c>
      <c r="I4" s="478">
        <f>huishoudens!I8</f>
        <v>0</v>
      </c>
      <c r="J4" s="478">
        <f>huishoudens!J8</f>
        <v>0</v>
      </c>
      <c r="K4" s="478">
        <f>huishoudens!K8</f>
        <v>0</v>
      </c>
      <c r="L4" s="478">
        <f>huishoudens!L8</f>
        <v>0</v>
      </c>
      <c r="M4" s="478">
        <f>huishoudens!M8</f>
        <v>0</v>
      </c>
      <c r="N4" s="478">
        <f>huishoudens!N8</f>
        <v>42085.334072977006</v>
      </c>
      <c r="O4" s="478">
        <f>huishoudens!O8</f>
        <v>642.80246308139829</v>
      </c>
      <c r="P4" s="479">
        <f>huishoudens!P8</f>
        <v>1316.7449134606277</v>
      </c>
      <c r="Q4" s="480">
        <f>SUM(B4:P4)</f>
        <v>178931.98617446452</v>
      </c>
    </row>
    <row r="5" spans="1:17">
      <c r="A5" s="477" t="s">
        <v>155</v>
      </c>
      <c r="B5" s="478">
        <f ca="1">tertiair!B16</f>
        <v>23325.349175999996</v>
      </c>
      <c r="C5" s="478">
        <f ca="1">tertiair!C16</f>
        <v>128.57142857142858</v>
      </c>
      <c r="D5" s="478">
        <f ca="1">tertiair!D16</f>
        <v>21638.658098853146</v>
      </c>
      <c r="E5" s="478">
        <f>tertiair!E16</f>
        <v>242.06674113582204</v>
      </c>
      <c r="F5" s="478">
        <f ca="1">tertiair!F16</f>
        <v>2721.7054248441409</v>
      </c>
      <c r="G5" s="478">
        <f>tertiair!G16</f>
        <v>0</v>
      </c>
      <c r="H5" s="478">
        <f>tertiair!H16</f>
        <v>0</v>
      </c>
      <c r="I5" s="478">
        <f>tertiair!I16</f>
        <v>0</v>
      </c>
      <c r="J5" s="478">
        <f>tertiair!J16</f>
        <v>0.11423632811479877</v>
      </c>
      <c r="K5" s="478">
        <f>tertiair!K16</f>
        <v>0</v>
      </c>
      <c r="L5" s="478">
        <f ca="1">tertiair!L16</f>
        <v>0</v>
      </c>
      <c r="M5" s="478">
        <f>tertiair!M16</f>
        <v>0</v>
      </c>
      <c r="N5" s="478">
        <f ca="1">tertiair!N16</f>
        <v>632.24468951463768</v>
      </c>
      <c r="O5" s="478">
        <f>tertiair!O16</f>
        <v>34.280825360888088</v>
      </c>
      <c r="P5" s="479">
        <f>tertiair!P16</f>
        <v>52.539138306495019</v>
      </c>
      <c r="Q5" s="477">
        <f t="shared" ref="Q5:Q14" ca="1" si="0">SUM(B5:P5)</f>
        <v>48775.529758914672</v>
      </c>
    </row>
    <row r="6" spans="1:17">
      <c r="A6" s="477" t="s">
        <v>193</v>
      </c>
      <c r="B6" s="478">
        <f>'openbare verlichting'!B8</f>
        <v>815.63400000000001</v>
      </c>
      <c r="C6" s="478"/>
      <c r="D6" s="478"/>
      <c r="E6" s="478"/>
      <c r="F6" s="478"/>
      <c r="G6" s="478"/>
      <c r="H6" s="478"/>
      <c r="I6" s="478"/>
      <c r="J6" s="478"/>
      <c r="K6" s="478"/>
      <c r="L6" s="478"/>
      <c r="M6" s="478"/>
      <c r="N6" s="478"/>
      <c r="O6" s="478"/>
      <c r="P6" s="479"/>
      <c r="Q6" s="477">
        <f t="shared" si="0"/>
        <v>815.63400000000001</v>
      </c>
    </row>
    <row r="7" spans="1:17">
      <c r="A7" s="477" t="s">
        <v>111</v>
      </c>
      <c r="B7" s="478">
        <f>landbouw!B8</f>
        <v>3778.859297</v>
      </c>
      <c r="C7" s="478">
        <f>landbouw!C8</f>
        <v>62.357142857142847</v>
      </c>
      <c r="D7" s="478">
        <f>landbouw!D8</f>
        <v>103.32825822</v>
      </c>
      <c r="E7" s="478">
        <f>landbouw!E8</f>
        <v>117.93695254530432</v>
      </c>
      <c r="F7" s="478">
        <f>landbouw!F8</f>
        <v>13354.907366338479</v>
      </c>
      <c r="G7" s="478">
        <f>landbouw!G8</f>
        <v>0</v>
      </c>
      <c r="H7" s="478">
        <f>landbouw!H8</f>
        <v>0</v>
      </c>
      <c r="I7" s="478">
        <f>landbouw!I8</f>
        <v>0</v>
      </c>
      <c r="J7" s="478">
        <f>landbouw!J8</f>
        <v>1041.1019424830554</v>
      </c>
      <c r="K7" s="478">
        <f>landbouw!K8</f>
        <v>0</v>
      </c>
      <c r="L7" s="478">
        <f>landbouw!L8</f>
        <v>0</v>
      </c>
      <c r="M7" s="478">
        <f>landbouw!M8</f>
        <v>0</v>
      </c>
      <c r="N7" s="478">
        <f>landbouw!N8</f>
        <v>0</v>
      </c>
      <c r="O7" s="478">
        <f>landbouw!O8</f>
        <v>0</v>
      </c>
      <c r="P7" s="479">
        <f>landbouw!P8</f>
        <v>0</v>
      </c>
      <c r="Q7" s="477">
        <f t="shared" si="0"/>
        <v>18458.490959443981</v>
      </c>
    </row>
    <row r="8" spans="1:17">
      <c r="A8" s="477" t="s">
        <v>629</v>
      </c>
      <c r="B8" s="478">
        <f>industrie!B18</f>
        <v>15834.694135</v>
      </c>
      <c r="C8" s="478">
        <f>industrie!C18</f>
        <v>0</v>
      </c>
      <c r="D8" s="478">
        <f>industrie!D18</f>
        <v>3891.13227525</v>
      </c>
      <c r="E8" s="478">
        <f>industrie!E18</f>
        <v>498.80287473527591</v>
      </c>
      <c r="F8" s="478">
        <f>industrie!F18</f>
        <v>2177.7462562266883</v>
      </c>
      <c r="G8" s="478">
        <f>industrie!G18</f>
        <v>0</v>
      </c>
      <c r="H8" s="478">
        <f>industrie!H18</f>
        <v>0</v>
      </c>
      <c r="I8" s="478">
        <f>industrie!I18</f>
        <v>0</v>
      </c>
      <c r="J8" s="478">
        <f>industrie!J18</f>
        <v>13.640853523229937</v>
      </c>
      <c r="K8" s="478">
        <f>industrie!K18</f>
        <v>0</v>
      </c>
      <c r="L8" s="478">
        <f>industrie!L18</f>
        <v>0</v>
      </c>
      <c r="M8" s="478">
        <f>industrie!M18</f>
        <v>0</v>
      </c>
      <c r="N8" s="478">
        <f>industrie!N18</f>
        <v>923.5517710616906</v>
      </c>
      <c r="O8" s="478">
        <f>industrie!O18</f>
        <v>0</v>
      </c>
      <c r="P8" s="479">
        <f>industrie!P18</f>
        <v>0</v>
      </c>
      <c r="Q8" s="477">
        <f t="shared" si="0"/>
        <v>23339.568165796885</v>
      </c>
    </row>
    <row r="9" spans="1:17" s="483" customFormat="1">
      <c r="A9" s="481" t="s">
        <v>555</v>
      </c>
      <c r="B9" s="482">
        <f>transport!B14</f>
        <v>65.614667406944449</v>
      </c>
      <c r="C9" s="482">
        <f>transport!C14</f>
        <v>0</v>
      </c>
      <c r="D9" s="482">
        <f>transport!D14</f>
        <v>257.81972094314335</v>
      </c>
      <c r="E9" s="482">
        <f>transport!E14</f>
        <v>199.20006745508331</v>
      </c>
      <c r="F9" s="482">
        <f>transport!F14</f>
        <v>0</v>
      </c>
      <c r="G9" s="482">
        <f>transport!G14</f>
        <v>73189.517339423968</v>
      </c>
      <c r="H9" s="482">
        <f>transport!H14</f>
        <v>19222.328852210623</v>
      </c>
      <c r="I9" s="482">
        <f>transport!I14</f>
        <v>0</v>
      </c>
      <c r="J9" s="482">
        <f>transport!J14</f>
        <v>0</v>
      </c>
      <c r="K9" s="482">
        <f>transport!K14</f>
        <v>0</v>
      </c>
      <c r="L9" s="482">
        <f>transport!L14</f>
        <v>0</v>
      </c>
      <c r="M9" s="482">
        <f>transport!M14</f>
        <v>5483.668793041039</v>
      </c>
      <c r="N9" s="482">
        <f>transport!N14</f>
        <v>0</v>
      </c>
      <c r="O9" s="482">
        <f>transport!O14</f>
        <v>0</v>
      </c>
      <c r="P9" s="482">
        <f>transport!P14</f>
        <v>0</v>
      </c>
      <c r="Q9" s="481">
        <f>SUM(B9:P9)</f>
        <v>98418.149440480789</v>
      </c>
    </row>
    <row r="10" spans="1:17">
      <c r="A10" s="477" t="s">
        <v>545</v>
      </c>
      <c r="B10" s="478">
        <f>transport!B54</f>
        <v>0</v>
      </c>
      <c r="C10" s="478">
        <f>transport!C54</f>
        <v>0</v>
      </c>
      <c r="D10" s="478">
        <f>transport!D54</f>
        <v>0</v>
      </c>
      <c r="E10" s="478">
        <f>transport!E54</f>
        <v>0</v>
      </c>
      <c r="F10" s="478">
        <f>transport!F54</f>
        <v>0</v>
      </c>
      <c r="G10" s="478">
        <f>transport!G54</f>
        <v>1314.8822180892716</v>
      </c>
      <c r="H10" s="478">
        <f>transport!H54</f>
        <v>0</v>
      </c>
      <c r="I10" s="478">
        <f>transport!I54</f>
        <v>0</v>
      </c>
      <c r="J10" s="478">
        <f>transport!J54</f>
        <v>0</v>
      </c>
      <c r="K10" s="478">
        <f>transport!K54</f>
        <v>0</v>
      </c>
      <c r="L10" s="478">
        <f>transport!L54</f>
        <v>0</v>
      </c>
      <c r="M10" s="478">
        <f>transport!M54</f>
        <v>73.081299165127007</v>
      </c>
      <c r="N10" s="478">
        <f>transport!N54</f>
        <v>0</v>
      </c>
      <c r="O10" s="478">
        <f>transport!O54</f>
        <v>0</v>
      </c>
      <c r="P10" s="479">
        <f>transport!P54</f>
        <v>0</v>
      </c>
      <c r="Q10" s="477">
        <f t="shared" si="0"/>
        <v>1387.9635172543985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1034.2723619999999</v>
      </c>
      <c r="C14" s="485"/>
      <c r="D14" s="485">
        <f>'SEAP template'!E25</f>
        <v>3149.8139100000003</v>
      </c>
      <c r="E14" s="485"/>
      <c r="F14" s="485"/>
      <c r="G14" s="485"/>
      <c r="H14" s="485"/>
      <c r="I14" s="485"/>
      <c r="J14" s="485"/>
      <c r="K14" s="485"/>
      <c r="L14" s="485"/>
      <c r="M14" s="485"/>
      <c r="N14" s="485"/>
      <c r="O14" s="485"/>
      <c r="P14" s="486"/>
      <c r="Q14" s="477">
        <f t="shared" si="0"/>
        <v>4184.0862720000005</v>
      </c>
    </row>
    <row r="15" spans="1:17" s="489" customFormat="1">
      <c r="A15" s="487" t="s">
        <v>549</v>
      </c>
      <c r="B15" s="488">
        <f ca="1">SUM(B4:B14)</f>
        <v>76944.539755513775</v>
      </c>
      <c r="C15" s="488">
        <f t="shared" ref="C15:Q15" ca="1" si="1">SUM(C4:C14)</f>
        <v>190.92857142857144</v>
      </c>
      <c r="D15" s="488">
        <f t="shared" ca="1" si="1"/>
        <v>94551.399902186284</v>
      </c>
      <c r="E15" s="488">
        <f t="shared" si="1"/>
        <v>8996.4152140861715</v>
      </c>
      <c r="F15" s="488">
        <f t="shared" ca="1" si="1"/>
        <v>47602.291437113279</v>
      </c>
      <c r="G15" s="488">
        <f t="shared" si="1"/>
        <v>74504.399557513243</v>
      </c>
      <c r="H15" s="488">
        <f t="shared" si="1"/>
        <v>19222.328852210623</v>
      </c>
      <c r="I15" s="488">
        <f t="shared" si="1"/>
        <v>0</v>
      </c>
      <c r="J15" s="488">
        <f t="shared" si="1"/>
        <v>1054.8570323344002</v>
      </c>
      <c r="K15" s="488">
        <f t="shared" si="1"/>
        <v>0</v>
      </c>
      <c r="L15" s="488">
        <f t="shared" ca="1" si="1"/>
        <v>0</v>
      </c>
      <c r="M15" s="488">
        <f t="shared" si="1"/>
        <v>5556.7500922061663</v>
      </c>
      <c r="N15" s="488">
        <f t="shared" ca="1" si="1"/>
        <v>43641.130533553332</v>
      </c>
      <c r="O15" s="488">
        <f t="shared" si="1"/>
        <v>677.0832884422864</v>
      </c>
      <c r="P15" s="488">
        <f t="shared" si="1"/>
        <v>1369.2840517671227</v>
      </c>
      <c r="Q15" s="488">
        <f t="shared" ca="1" si="1"/>
        <v>374311.40828835522</v>
      </c>
    </row>
    <row r="17" spans="1:17">
      <c r="A17" s="490" t="s">
        <v>550</v>
      </c>
      <c r="B17" s="807">
        <f ca="1">huishoudens!B10</f>
        <v>0.19376186182943081</v>
      </c>
      <c r="C17" s="807">
        <f ca="1">huishoudens!C10</f>
        <v>0.16003168944345419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6217.8406453670041</v>
      </c>
      <c r="C22" s="478">
        <f t="shared" ref="C22:C32" ca="1" si="3">C4*$C$17</f>
        <v>0</v>
      </c>
      <c r="D22" s="478">
        <f t="shared" ref="D22:D32" si="4">D4*$D$17</f>
        <v>13233.15082306184</v>
      </c>
      <c r="E22" s="478">
        <f t="shared" ref="E22:E32" si="5">E4*$E$17</f>
        <v>1802.0187472547336</v>
      </c>
      <c r="F22" s="478">
        <f t="shared" ref="F22:F32" si="6">F4*$F$17</f>
        <v>7835.8979480509597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29088.908163734537</v>
      </c>
    </row>
    <row r="23" spans="1:17">
      <c r="A23" s="477" t="s">
        <v>155</v>
      </c>
      <c r="B23" s="478">
        <f t="shared" ca="1" si="2"/>
        <v>4519.5630841633392</v>
      </c>
      <c r="C23" s="478">
        <f t="shared" ca="1" si="3"/>
        <v>20.575502928444113</v>
      </c>
      <c r="D23" s="478">
        <f t="shared" ca="1" si="4"/>
        <v>4371.0089359683361</v>
      </c>
      <c r="E23" s="478">
        <f t="shared" si="5"/>
        <v>54.949150237831603</v>
      </c>
      <c r="F23" s="478">
        <f t="shared" ca="1" si="6"/>
        <v>726.69534843338567</v>
      </c>
      <c r="G23" s="478">
        <f t="shared" si="7"/>
        <v>0</v>
      </c>
      <c r="H23" s="478">
        <f t="shared" si="8"/>
        <v>0</v>
      </c>
      <c r="I23" s="478">
        <f t="shared" si="9"/>
        <v>0</v>
      </c>
      <c r="J23" s="478">
        <f t="shared" si="10"/>
        <v>4.0439660152638758E-2</v>
      </c>
      <c r="K23" s="478">
        <f t="shared" si="11"/>
        <v>0</v>
      </c>
      <c r="L23" s="478">
        <f t="shared" ca="1" si="12"/>
        <v>0</v>
      </c>
      <c r="M23" s="478">
        <f t="shared" si="13"/>
        <v>0</v>
      </c>
      <c r="N23" s="478">
        <f t="shared" ca="1" si="14"/>
        <v>0</v>
      </c>
      <c r="O23" s="478">
        <f t="shared" si="15"/>
        <v>0</v>
      </c>
      <c r="P23" s="479">
        <f t="shared" si="16"/>
        <v>0</v>
      </c>
      <c r="Q23" s="477">
        <f t="shared" ref="Q23:Q31" ca="1" si="17">SUM(B23:P23)</f>
        <v>9692.8324613914901</v>
      </c>
    </row>
    <row r="24" spans="1:17">
      <c r="A24" s="477" t="s">
        <v>193</v>
      </c>
      <c r="B24" s="478">
        <f t="shared" ca="1" si="2"/>
        <v>158.03876241138596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158.03876241138596</v>
      </c>
    </row>
    <row r="25" spans="1:17">
      <c r="A25" s="477" t="s">
        <v>111</v>
      </c>
      <c r="B25" s="478">
        <f t="shared" ca="1" si="2"/>
        <v>732.19881297817403</v>
      </c>
      <c r="C25" s="478">
        <f t="shared" ca="1" si="3"/>
        <v>9.9791189202953916</v>
      </c>
      <c r="D25" s="478">
        <f t="shared" si="4"/>
        <v>20.872308160439999</v>
      </c>
      <c r="E25" s="478">
        <f t="shared" si="5"/>
        <v>26.771688227784082</v>
      </c>
      <c r="F25" s="478">
        <f t="shared" si="6"/>
        <v>3565.7602668123741</v>
      </c>
      <c r="G25" s="478">
        <f t="shared" si="7"/>
        <v>0</v>
      </c>
      <c r="H25" s="478">
        <f t="shared" si="8"/>
        <v>0</v>
      </c>
      <c r="I25" s="478">
        <f t="shared" si="9"/>
        <v>0</v>
      </c>
      <c r="J25" s="478">
        <f t="shared" si="10"/>
        <v>368.55008763900156</v>
      </c>
      <c r="K25" s="478">
        <f t="shared" si="11"/>
        <v>0</v>
      </c>
      <c r="L25" s="478">
        <f t="shared" si="12"/>
        <v>0</v>
      </c>
      <c r="M25" s="478">
        <f t="shared" si="13"/>
        <v>0</v>
      </c>
      <c r="N25" s="478">
        <f t="shared" si="14"/>
        <v>0</v>
      </c>
      <c r="O25" s="478">
        <f t="shared" si="15"/>
        <v>0</v>
      </c>
      <c r="P25" s="479">
        <f t="shared" si="16"/>
        <v>0</v>
      </c>
      <c r="Q25" s="477">
        <f t="shared" ca="1" si="17"/>
        <v>4724.1322827380691</v>
      </c>
    </row>
    <row r="26" spans="1:17">
      <c r="A26" s="477" t="s">
        <v>629</v>
      </c>
      <c r="B26" s="478">
        <f t="shared" ca="1" si="2"/>
        <v>3068.1598170971683</v>
      </c>
      <c r="C26" s="478">
        <f t="shared" ca="1" si="3"/>
        <v>0</v>
      </c>
      <c r="D26" s="478">
        <f t="shared" si="4"/>
        <v>786.00871960050006</v>
      </c>
      <c r="E26" s="478">
        <f t="shared" si="5"/>
        <v>113.22825256490763</v>
      </c>
      <c r="F26" s="478">
        <f t="shared" si="6"/>
        <v>581.45825041252579</v>
      </c>
      <c r="G26" s="478">
        <f t="shared" si="7"/>
        <v>0</v>
      </c>
      <c r="H26" s="478">
        <f t="shared" si="8"/>
        <v>0</v>
      </c>
      <c r="I26" s="478">
        <f t="shared" si="9"/>
        <v>0</v>
      </c>
      <c r="J26" s="478">
        <f t="shared" si="10"/>
        <v>4.8288621472233979</v>
      </c>
      <c r="K26" s="478">
        <f t="shared" si="11"/>
        <v>0</v>
      </c>
      <c r="L26" s="478">
        <f t="shared" si="12"/>
        <v>0</v>
      </c>
      <c r="M26" s="478">
        <f t="shared" si="13"/>
        <v>0</v>
      </c>
      <c r="N26" s="478">
        <f t="shared" si="14"/>
        <v>0</v>
      </c>
      <c r="O26" s="478">
        <f t="shared" si="15"/>
        <v>0</v>
      </c>
      <c r="P26" s="479">
        <f t="shared" si="16"/>
        <v>0</v>
      </c>
      <c r="Q26" s="477">
        <f t="shared" ca="1" si="17"/>
        <v>4553.6839018223254</v>
      </c>
    </row>
    <row r="27" spans="1:17" s="483" customFormat="1">
      <c r="A27" s="481" t="s">
        <v>555</v>
      </c>
      <c r="B27" s="801">
        <f t="shared" ca="1" si="2"/>
        <v>12.713620120088427</v>
      </c>
      <c r="C27" s="482">
        <f t="shared" ca="1" si="3"/>
        <v>0</v>
      </c>
      <c r="D27" s="482">
        <f t="shared" si="4"/>
        <v>52.079583630514961</v>
      </c>
      <c r="E27" s="482">
        <f t="shared" si="5"/>
        <v>45.218415312303911</v>
      </c>
      <c r="F27" s="482">
        <f t="shared" si="6"/>
        <v>0</v>
      </c>
      <c r="G27" s="482">
        <f t="shared" si="7"/>
        <v>19541.6011296262</v>
      </c>
      <c r="H27" s="482">
        <f t="shared" si="8"/>
        <v>4786.3598842004449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24437.972632889556</v>
      </c>
    </row>
    <row r="28" spans="1:17" ht="16.5" customHeight="1">
      <c r="A28" s="477" t="s">
        <v>545</v>
      </c>
      <c r="B28" s="478">
        <f t="shared" ca="1" si="2"/>
        <v>0</v>
      </c>
      <c r="C28" s="478">
        <f t="shared" ca="1" si="3"/>
        <v>0</v>
      </c>
      <c r="D28" s="478">
        <f t="shared" si="4"/>
        <v>0</v>
      </c>
      <c r="E28" s="478">
        <f t="shared" si="5"/>
        <v>0</v>
      </c>
      <c r="F28" s="478">
        <f t="shared" si="6"/>
        <v>0</v>
      </c>
      <c r="G28" s="478">
        <f t="shared" si="7"/>
        <v>351.07355222983557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351.07355222983557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200.40253849984302</v>
      </c>
      <c r="C32" s="478">
        <f t="shared" ca="1" si="3"/>
        <v>0</v>
      </c>
      <c r="D32" s="478">
        <f t="shared" si="4"/>
        <v>636.26240982000013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836.66494831984312</v>
      </c>
    </row>
    <row r="33" spans="1:17" s="489" customFormat="1">
      <c r="A33" s="487" t="s">
        <v>549</v>
      </c>
      <c r="B33" s="488">
        <f ca="1">SUM(B22:B32)</f>
        <v>14908.917280637002</v>
      </c>
      <c r="C33" s="488">
        <f t="shared" ref="C33:Q33" ca="1" si="19">SUM(C22:C32)</f>
        <v>30.554621848739504</v>
      </c>
      <c r="D33" s="488">
        <f t="shared" ca="1" si="19"/>
        <v>19099.382780241631</v>
      </c>
      <c r="E33" s="488">
        <f t="shared" si="19"/>
        <v>2042.1862535975611</v>
      </c>
      <c r="F33" s="488">
        <f t="shared" ca="1" si="19"/>
        <v>12709.811813709246</v>
      </c>
      <c r="G33" s="488">
        <f t="shared" si="19"/>
        <v>19892.674681856035</v>
      </c>
      <c r="H33" s="488">
        <f t="shared" si="19"/>
        <v>4786.3598842004449</v>
      </c>
      <c r="I33" s="488">
        <f t="shared" si="19"/>
        <v>0</v>
      </c>
      <c r="J33" s="488">
        <f t="shared" si="19"/>
        <v>373.41938944637758</v>
      </c>
      <c r="K33" s="488">
        <f t="shared" si="19"/>
        <v>0</v>
      </c>
      <c r="L33" s="488">
        <f t="shared" ca="1" si="19"/>
        <v>0</v>
      </c>
      <c r="M33" s="488">
        <f t="shared" si="19"/>
        <v>0</v>
      </c>
      <c r="N33" s="488">
        <f t="shared" ca="1" si="19"/>
        <v>0</v>
      </c>
      <c r="O33" s="488">
        <f t="shared" si="19"/>
        <v>0</v>
      </c>
      <c r="P33" s="488">
        <f t="shared" si="19"/>
        <v>0</v>
      </c>
      <c r="Q33" s="488">
        <f t="shared" ca="1" si="19"/>
        <v>73843.306705537034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8105.5049349577221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43.649999999999984</v>
      </c>
      <c r="C8" s="1062">
        <f>'SEAP template'!C76</f>
        <v>89.999999999999986</v>
      </c>
      <c r="D8" s="1062">
        <f>'SEAP template'!D76</f>
        <v>105.88235294117646</v>
      </c>
      <c r="E8" s="1062">
        <f>'SEAP template'!E76</f>
        <v>0</v>
      </c>
      <c r="F8" s="1062">
        <f>'SEAP template'!F76</f>
        <v>0</v>
      </c>
      <c r="G8" s="1062">
        <f>'SEAP template'!G76</f>
        <v>0</v>
      </c>
      <c r="H8" s="1062">
        <f>'SEAP template'!H76</f>
        <v>0</v>
      </c>
      <c r="I8" s="1062">
        <f>'SEAP template'!I76</f>
        <v>0</v>
      </c>
      <c r="J8" s="1062">
        <f>'SEAP template'!J76</f>
        <v>51.352941176470573</v>
      </c>
      <c r="K8" s="1062">
        <f>'SEAP template'!K76</f>
        <v>0</v>
      </c>
      <c r="L8" s="1062">
        <f>'SEAP template'!L76</f>
        <v>0</v>
      </c>
      <c r="M8" s="1062">
        <f>'SEAP template'!M76</f>
        <v>0</v>
      </c>
      <c r="N8" s="1062">
        <f>'SEAP template'!N76</f>
        <v>0</v>
      </c>
      <c r="O8" s="1062">
        <f>'SEAP template'!O76</f>
        <v>0</v>
      </c>
      <c r="P8" s="1063">
        <f>'SEAP template'!Q76</f>
        <v>21.388235294117646</v>
      </c>
    </row>
    <row r="9" spans="1:16">
      <c r="A9" s="1068" t="s">
        <v>802</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9490.1549349577217</v>
      </c>
      <c r="C10" s="1064">
        <f>SUM(C4:C9)</f>
        <v>89.999999999999986</v>
      </c>
      <c r="D10" s="1064">
        <f t="shared" ref="D10:H10" si="0">SUM(D8:D9)</f>
        <v>105.88235294117646</v>
      </c>
      <c r="E10" s="1064">
        <f t="shared" si="0"/>
        <v>0</v>
      </c>
      <c r="F10" s="1064">
        <f t="shared" si="0"/>
        <v>0</v>
      </c>
      <c r="G10" s="1064">
        <f t="shared" si="0"/>
        <v>0</v>
      </c>
      <c r="H10" s="1064">
        <f t="shared" si="0"/>
        <v>0</v>
      </c>
      <c r="I10" s="1064">
        <f>SUM(I8:I9)</f>
        <v>0</v>
      </c>
      <c r="J10" s="1064">
        <f>SUM(J8:J9)</f>
        <v>3882.7815126050423</v>
      </c>
      <c r="K10" s="1064">
        <f t="shared" ref="K10:L10" si="1">SUM(K8:K9)</f>
        <v>0</v>
      </c>
      <c r="L10" s="1064">
        <f t="shared" si="1"/>
        <v>0</v>
      </c>
      <c r="M10" s="1064">
        <f>SUM(M8:M9)</f>
        <v>0</v>
      </c>
      <c r="N10" s="1064">
        <f>SUM(N8:N9)</f>
        <v>0</v>
      </c>
      <c r="O10" s="1064">
        <f>SUM(O8:O9)</f>
        <v>0</v>
      </c>
      <c r="P10" s="1064">
        <f>SUM(P8:P9)</f>
        <v>21.388235294117646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0.19376186182943081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128.57142857142858</v>
      </c>
      <c r="D17" s="1063">
        <f>'SEAP template'!D87</f>
        <v>151.2605042016807</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30.554621848739504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128.57142857142858</v>
      </c>
      <c r="D20" s="1064">
        <f t="shared" ref="D20:H20" si="2">SUM(D17:D19)</f>
        <v>151.2605042016807</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30.554621848739504</v>
      </c>
    </row>
    <row r="21" spans="1:16">
      <c r="B21" s="913"/>
    </row>
    <row r="22" spans="1:16">
      <c r="A22" s="490" t="s">
        <v>814</v>
      </c>
      <c r="B22" s="807" t="s">
        <v>812</v>
      </c>
      <c r="C22" s="807">
        <f ca="1">'EF ele_warmte'!B22</f>
        <v>0.16003168944345419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0.19376186182943081</v>
      </c>
      <c r="C17" s="527">
        <f ca="1">'EF ele_warmte'!B22</f>
        <v>0.16003168944345419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2019-08-12T08:38:19Z</dcterms:modified>
</cp:coreProperties>
</file>