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<sst xmlns="http://schemas.openxmlformats.org/spreadsheetml/2006/main" count="2559" uniqueCount="952">
  <si>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</si>
  <si>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</si>
  <si>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</si>
  <si>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</si>
  <si>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</si>
  <si>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</si>
  <si>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</si>
  <si>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</si>
  <si>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</si>
  <si>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</si>
  <si>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</si>
  <si>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</si>
  <si>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</si>
  <si>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</si>
  <si>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</si>
  <si>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</si>
  <si>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</si>
  <si>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</si>
  <si>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</si>
  <si>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</si>
  <si>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</si>
  <si>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</si>
  <si>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</si>
  <si>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</si>
  <si>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</si>
  <si>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</si>
  <si>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</si>
  <si>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</si>
  <si>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</si>
  <si>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</si>
  <si>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</si>
  <si>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</si>
  <si>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</si>
  <si>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</si>
  <si>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</si>
  <si>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</si>
  <si>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</si>
  <si>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</si>
  <si>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</si>
  <si>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</si>
  <si>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</si>
  <si>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</si>
  <si>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</si>
  <si>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</si>
  <si>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</si>
  <si>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</si>
  <si>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</si>
  <si>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</si>
  <si>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</si>
  <si>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</si>
  <si>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</si>
  <si>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</si>
  <si>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</si>
  <si>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</si>
  <si>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</si>
  <si>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</si>
  <si>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</si>
  <si>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</si>
  <si>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</si>
  <si>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</si>
  <si>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</si>
  <si>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</si>
  <si>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</si>
  <si>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</si>
  <si>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</si>
  <si>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</si>
  <si>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</si>
  <si>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</si>
  <si>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</si>
  <si>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</si>
  <si>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</si>
  <si>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</si>
  <si>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</si>
  <si>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</si>
  <si>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</si>
  <si>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</si>
  <si>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</si>
  <si>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</si>
  <si>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</si>
  <si>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</si>
  <si>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</si>
  <si>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</si>
  <si>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</si>
  <si>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</si>
  <si>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</si>
  <si>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</si>
  <si>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</si>
  <si>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</si>
  <si>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</si>
  <si>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</si>
  <si>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</si>
  <si>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</si>
  <si>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</si>
  <si>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</si>
  <si>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</si>
  <si>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</si>
  <si>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</si>
  <si>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</si>
  <si>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</si>
  <si>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</si>
  <si>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</si>
  <si>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</si>
  <si>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</si>
  <si>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</si>
  <si>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</si>
  <si>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</si>
  <si>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</si>
  <si>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</si>
  <si>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</si>
  <si>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</si>
  <si>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</si>
  <si>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</si>
  <si>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</si>
  <si>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</si>
  <si>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</si>
  <si>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</si>
  <si>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</si>
  <si>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</si>
  <si>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</si>
  <si>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</si>
  <si>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</si>
  <si>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</si>
  <si>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</si>
  <si>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</si>
  <si>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</si>
  <si>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</si>
  <si>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</si>
  <si>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</si>
  <si>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</si>
  <si>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</si>
  <si>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</si>
  <si>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</si>
  <si>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</si>
  <si>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</si>
  <si>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</si>
  <si>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</si>
  <si>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</si>
  <si>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</si>
  <si>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</si>
  <si>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</si>
  <si>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</si>
  <si>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</si>
  <si>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</si>
  <si>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</si>
  <si>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</si>
  <si>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</si>
  <si>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</si>
  <si>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</si>
  <si>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</si>
  <si>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</si>
  <si>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</si>
  <si>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</si>
  <si>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</si>
  <si>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</si>
  <si>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</si>
  <si>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</si>
  <si>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</si>
  <si>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</si>
  <si>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</si>
  <si>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</si>
  <si>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</si>
  <si>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</si>
  <si>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</si>
  <si>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</si>
  <si>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</si>
  <si>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</si>
  <si>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</si>
  <si>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</si>
  <si>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</si>
  <si>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</si>
  <si>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</si>
  <si>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</si>
  <si>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</si>
  <si>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</si>
  <si>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</si>
  <si>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</si>
  <si>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</si>
  <si>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</si>
  <si>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</si>
  <si>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</si>
  <si>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</si>
  <si>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</si>
  <si>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</si>
  <si>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</si>
  <si>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</si>
  <si>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</si>
  <si>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</si>
  <si>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</si>
  <si>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</si>
  <si>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</si>
  <si>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</si>
  <si>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</si>
  <si>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</si>
  <si>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</si>
  <si>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</si>
  <si>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</si>
  <si>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</si>
  <si>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</si>
  <si>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</si>
  <si>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</si>
  <si>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</si>
  <si>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</si>
  <si>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</si>
  <si>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</si>
  <si>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</si>
  <si>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</si>
  <si>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</si>
  <si>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</si>
  <si>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</si>
  <si>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</si>
  <si>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</si>
  <si>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</si>
  <si>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</si>
  <si>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</si>
  <si>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</si>
  <si>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</si>
  <si>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</si>
  <si>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</si>
  <si>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</si>
  <si>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</si>
  <si>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</si>
  <si>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</si>
  <si>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</si>
  <si>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</si>
  <si>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</si>
  <si>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</si>
  <si>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</si>
  <si>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</si>
  <si>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</si>
  <si>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</si>
  <si>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</si>
  <si>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</si>
  <si>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</si>
  <si>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</si>
  <si>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</si>
  <si>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</si>
  <si>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</si>
  <si>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</si>
  <si>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</si>
  <si>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</si>
  <si>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</si>
  <si>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</si>
  <si>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</si>
  <si>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</si>
  <si>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</si>
  <si>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</si>
  <si>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</si>
  <si>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</si>
  <si>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</si>
  <si>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</si>
  <si>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</si>
  <si>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</si>
  <si>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</si>
  <si>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</si>
  <si>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</si>
  <si>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</si>
  <si>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</si>
  <si>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</si>
  <si>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</si>
  <si>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</si>
  <si>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</si>
  <si>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</si>
  <si>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</si>
  <si>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</si>
  <si>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</si>
  <si>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</si>
  <si>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</si>
  <si>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</si>
  <si>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</si>
  <si>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</si>
  <si>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</si>
  <si>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</si>
  <si>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</si>
  <si>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</si>
  <si>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</si>
  <si>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</si>
  <si>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</si>
  <si>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</si>
  <si>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</si>
  <si>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</si>
  <si>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</si>
  <si>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</si>
  <si>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</si>
  <si>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</si>
  <si>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</si>
  <si>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</si>
  <si>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</si>
  <si>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</si>
  <si>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</si>
  <si>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</si>
  <si>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</si>
  <si>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</si>
  <si>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</si>
  <si>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</si>
  <si>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</si>
  <si>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</si>
  <si>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</si>
  <si>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</si>
  <si>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</si>
  <si>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</si>
  <si>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</si>
  <si>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</si>
  <si>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</si>
  <si>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</si>
  <si>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</si>
  <si>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</si>
  <si>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</si>
  <si>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</si>
  <si>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</si>
  <si>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</si>
  <si>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</si>
  <si>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</si>
  <si>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</si>
  <si>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</si>
  <si>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</si>
  <si>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</si>
  <si>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</si>
  <si>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</si>
  <si>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</si>
  <si>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</si>
  <si>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</si>
  <si>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</si>
  <si>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</si>
  <si>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</si>
  <si>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</si>
  <si>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</si>
  <si>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</si>
  <si>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</si>
  <si>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</si>
  <si>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</si>
  <si>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</si>
  <si>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</si>
  <si>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</si>
  <si>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</si>
  <si>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</si>
  <si>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</si>
  <si>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</si>
  <si>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</si>
  <si>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</si>
  <si>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</si>
  <si>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</si>
  <si>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</si>
  <si>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</si>
  <si>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</si>
  <si>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</si>
  <si>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</si>
  <si>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</si>
  <si>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</si>
  <si>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</si>
  <si>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</si>
  <si>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</si>
  <si>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</si>
  <si>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</si>
  <si>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</si>
  <si>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</si>
  <si>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</si>
  <si>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</si>
  <si>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</si>
  <si>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</si>
  <si>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</si>
  <si>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</si>
  <si>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</si>
  <si>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</si>
  <si>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</si>
  <si>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</si>
  <si>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</si>
  <si>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</si>
  <si>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</si>
  <si>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</si>
  <si>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</si>
  <si>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</si>
  <si>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</si>
  <si>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</si>
  <si>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</si>
  <si>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</si>
  <si>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</si>
  <si>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</si>
  <si>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</si>
  <si>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</si>
  <si>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</si>
  <si>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</si>
  <si>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</si>
  <si>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</si>
  <si>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</si>
  <si>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</si>
  <si>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</si>
  <si>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</si>
  <si>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</si>
  <si>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</si>
  <si>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</si>
  <si>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</si>
  <si>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</si>
  <si>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</si>
  <si>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</si>
  <si>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</si>
  <si>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</si>
  <si>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</si>
  <si>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</si>
  <si>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</si>
  <si>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</si>
  <si>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</si>
  <si>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</si>
  <si>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</si>
  <si>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</si>
  <si>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</si>
  <si>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</si>
  <si>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</si>
  <si>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</si>
  <si>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</si>
  <si>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</si>
  <si>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</si>
  <si>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</si>
  <si>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</si>
  <si>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</si>
  <si>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</si>
  <si>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</si>
  <si>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</si>
  <si>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</si>
  <si>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</si>
  <si>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</si>
  <si>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</si>
  <si>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</si>
  <si>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</si>
  <si>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</si>
  <si>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</si>
  <si>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</si>
  <si>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</si>
  <si>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</si>
  <si>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</si>
  <si>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</si>
  <si>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</si>
  <si>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</si>
  <si>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</si>
  <si>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</si>
  <si>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</si>
  <si>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</si>
  <si>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</si>
  <si>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</si>
  <si>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</si>
  <si>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</si>
  <si>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</si>
  <si>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</si>
  <si>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</si>
  <si>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</si>
  <si>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</si>
  <si>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</si>
  <si>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</si>
  <si>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</si>
  <si>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</si>
  <si>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</si>
  <si>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</si>
  <si>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</si>
  <si>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</si>
  <si>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</si>
  <si>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</si>
  <si>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</si>
  <si>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</si>
  <si>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</si>
  <si>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</si>
  <si>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</si>
  <si>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</si>
  <si>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</si>
  <si>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</si>
  <si>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</si>
  <si>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</si>
  <si>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</si>
  <si>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</si>
  <si>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</si>
  <si>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</si>
  <si>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</si>
  <si>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</si>
  <si>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</si>
  <si>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</si>
  <si>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</si>
  <si>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</si>
  <si>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</si>
  <si>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</si>
  <si>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</si>
  <si>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</si>
  <si>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</si>
  <si>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</si>
  <si>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</si>
  <si>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</si>
  <si>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</si>
  <si>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</si>
  <si>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</si>
  <si>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</si>
  <si>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</si>
  <si>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</si>
  <si>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</si>
  <si>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</si>
  <si>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</si>
  <si>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</si>
  <si>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</si>
  <si>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</si>
  <si>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</si>
  <si>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</si>
  <si>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</si>
  <si>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</si>
  <si>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</si>
  <si>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</si>
  <si>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</si>
  <si>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</si>
  <si>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</si>
  <si>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</si>
  <si>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</si>
  <si>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</si>
  <si>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</si>
  <si>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</si>
  <si>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</si>
  <si>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</si>
  <si>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</si>
  <si>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</si>
  <si>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</si>
  <si>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</si>
  <si>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</si>
  <si>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</si>
  <si>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</si>
  <si>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</si>
  <si>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</si>
  <si>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</si>
  <si>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</si>
  <si>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</si>
  <si>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</si>
  <si>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</si>
  <si>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</si>
  <si>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</si>
  <si>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</si>
  <si>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</si>
  <si>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</si>
  <si>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</si>
  <si>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</si>
  <si>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</si>
  <si>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</si>
  <si>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</si>
  <si>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</si>
  <si>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</si>
  <si>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</si>
  <si>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</si>
  <si>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</si>
  <si>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</si>
  <si>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</si>
  <si>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</si>
  <si>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</si>
  <si>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</si>
  <si>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</si>
  <si>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</si>
  <si>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</si>
  <si>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</si>
  <si>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</si>
  <si>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</si>
  <si>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</si>
  <si>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</si>
  <si>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</si>
  <si>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</si>
  <si>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</si>
  <si>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</si>
  <si>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</si>
  <si>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</si>
  <si>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</si>
  <si>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</si>
  <si>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</si>
  <si>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</si>
  <si>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</si>
  <si>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</si>
  <si>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</si>
  <si>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</si>
  <si>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</si>
  <si>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</si>
  <si>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</si>
  <si>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</si>
  <si>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</si>
  <si>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</si>
  <si>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</si>
  <si>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</si>
  <si>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</si>
  <si>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</si>
  <si>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</si>
  <si>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</si>
  <si>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</si>
  <si>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</si>
  <si>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</si>
  <si>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</si>
  <si>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</si>
  <si>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</si>
  <si>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</si>
  <si>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</si>
  <si>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</si>
  <si>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</si>
  <si>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</si>
  <si>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</si>
  <si>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</si>
  <si>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</si>
  <si>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</si>
  <si>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</si>
  <si>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</si>
  <si>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</si>
  <si>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</si>
  <si>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</si>
  <si>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</si>
  <si>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</si>
  <si>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</si>
  <si>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</si>
  <si>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</si>
  <si>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</si>
  <si>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</si>
  <si>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</si>
  <si>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</si>
  <si>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</si>
  <si>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</si>
  <si>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</si>
  <si>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</si>
  <si>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</si>
  <si>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</si>
  <si>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</si>
  <si>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</si>
  <si>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</si>
  <si>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</si>
  <si>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</si>
  <si>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</si>
  <si>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</si>
  <si>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</si>
  <si>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</si>
  <si>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</si>
  <si>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</si>
  <si>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</si>
  <si>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</si>
  <si>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</si>
  <si>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</si>
  <si>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</si>
  <si>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</si>
  <si>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</si>
  <si>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</si>
  <si>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</si>
  <si>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</si>
  <si>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</si>
  <si>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</si>
  <si>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</si>
  <si>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</si>
  <si>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</si>
  <si>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</si>
  <si>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</si>
  <si>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</si>
  <si>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</si>
  <si>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</si>
  <si>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</si>
  <si>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</si>
  <si>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</si>
  <si>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</si>
  <si>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</si>
  <si>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</si>
  <si>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</si>
  <si>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</si>
  <si>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</si>
  <si>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</si>
  <si>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</si>
  <si>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</si>
  <si>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</si>
  <si>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</si>
  <si>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</si>
  <si>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</si>
  <si>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</si>
  <si>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</si>
  <si>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</si>
  <si>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</si>
  <si>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</si>
  <si>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</si>
  <si>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</si>
  <si>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</si>
  <si>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</si>
  <si>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</si>
  <si>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</si>
  <si>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</si>
  <si>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</si>
  <si>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</si>
  <si>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</si>
  <si>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</si>
  <si>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</si>
  <si>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</si>
  <si>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</si>
  <si>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</si>
  <si>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</si>
  <si>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</si>
  <si>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</si>
  <si>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</si>
  <si>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</si>
  <si>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</si>
  <si>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</si>
  <si>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</si>
  <si>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</si>
  <si>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</si>
  <si>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</si>
  <si>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</si>
  <si>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</si>
  <si>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</si>
  <si>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</si>
  <si>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</si>
  <si>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</si>
  <si>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</si>
  <si>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</si>
  <si>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</si>
  <si>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</si>
  <si>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</si>
  <si>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</si>
  <si>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</si>
  <si>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</si>
  <si>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</si>
  <si>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</si>
  <si>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</si>
  <si>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</si>
  <si>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</si>
  <si>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</si>
  <si>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</si>
  <si>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</si>
  <si>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</si>
  <si>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</si>
  <si>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</si>
  <si>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</si>
  <si>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</si>
  <si>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</si>
  <si>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</si>
  <si>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</si>
  <si>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</si>
  <si>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</si>
  <si>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</si>
  <si>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</si>
  <si>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</si>
  <si>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</si>
  <si>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</si>
  <si>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</si>
  <si>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</si>
  <si>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</si>
  <si>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</si>
  <si>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</si>
  <si>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</si>
  <si>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</si>
  <si>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</si>
  <si>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</si>
  <si>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</si>
  <si>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</si>
  <si>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</si>
  <si>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</si>
  <si>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</si>
  <si>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</si>
  <si>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</si>
  <si>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</si>
  <si>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</si>
  <si>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</si>
  <si>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</si>
  <si>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</si>
  <si>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</si>
  <si>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</si>
  <si>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</si>
  <si>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</si>
  <si>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</si>
  <si>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</si>
  <si>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</si>
  <si>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</si>
  <si>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</si>
  <si>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</si>
  <si>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</si>
  <si>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</si>
  <si>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</si>
  <si>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</si>
  <si>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</si>
  <si>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</si>
  <si>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</si>
  <si>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</si>
  <si>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</si>
  <si>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</si>
  <si>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</si>
  <si>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</si>
  <si>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</si>
  <si>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</si>
  <si>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</si>
  <si>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</si>
  <si>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</si>
  <si>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</si>
  <si>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</si>
  <si>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</si>
  <si>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</si>
  <si>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</si>
  <si>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</si>
  <si>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</si>
  <si>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</si>
  <si>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</si>
  <si>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</si>
  <si>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</si>
  <si>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</si>
  <si>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</si>
  <si>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</si>
  <si>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</si>
  <si>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</si>
  <si>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</si>
  <si>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</si>
  <si>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</si>
  <si>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</si>
  <si>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</si>
  <si>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</si>
  <si>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</si>
  <si>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</si>
  <si>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</si>
  <si>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</si>
  <si>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</si>
  <si>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</si>
  <si>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</si>
  <si>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</si>
  <si>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</si>
  <si>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</si>
  <si>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</si>
  <si>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</si>
  <si>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</si>
  <si>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</si>
  <si>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</si>
  <si>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</si>
  <si>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</si>
  <si>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</si>
  <si>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</si>
  <si>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</si>
  <si>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</si>
  <si>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</si>
  <si>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</si>
  <si>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</si>
  <si>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</si>
  <si>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</si>
  <si>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</si>
  <si>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</si>
  <si>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</si>
  <si>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</si>
  <si>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</si>
  <si>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</si>
  <si>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</si>
  <si>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</si>
  <si>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</si>
  <si>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</si>
  <si>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</si>
  <si>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</si>
  <si>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</si>
  <si>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</si>
  <si>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</si>
  <si>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</si>
  <si>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</si>
  <si>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</si>
  <si>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</si>
  <si>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</si>
  <si>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</si>
  <si>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</si>
  <si>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</si>
  <si>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</si>
  <si>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</si>
  <si>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</si>
  <si>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</si>
  <si>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</si>
  <si>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</si>
  <si>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</si>
  <si>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</si>
  <si>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</si>
  <si>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</si>
  <si>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</si>
  <si>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</si>
  <si>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</si>
  <si>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</si>
  <si>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</si>
  <si>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</si>
  <si>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</si>
  <si>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</si>
  <si>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</si>
  <si>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</si>
  <si>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</si>
  <si>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</si>
  <si>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</si>
  <si>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</si>
  <si>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</si>
  <si>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</si>
  <si>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</si>
  <si>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</si>
  <si>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</si>
  <si>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</si>
  <si>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13014</t>
  </si>
  <si>
    <t>HOOGSTRATEN</t>
  </si>
  <si>
    <t>Mestbank (maart 2019)</t>
  </si>
  <si>
    <t>Fluvius (februari 2019)</t>
  </si>
  <si>
    <t>referentietaak LNE (2017); Jaarverslag De Lijn (2018)</t>
  </si>
  <si>
    <t>VEA (30 april 2019)</t>
  </si>
  <si>
    <t>VEA (mei 2018)</t>
  </si>
  <si>
    <t>VEA (mei 2019)</t>
  </si>
  <si>
    <t>Meer Fresh Products bvba</t>
  </si>
  <si>
    <t>Kettingdreef 3, 2321 Meer</t>
  </si>
  <si>
    <t>WKK-0120 Meer Fresh products</t>
  </si>
  <si>
    <t>interne verbrandingsmotor</t>
  </si>
  <si>
    <t>WKK interne verbrandinsgmotor (gas)</t>
  </si>
  <si>
    <t>IVEKA</t>
  </si>
  <si>
    <t>Vergo Energie</t>
  </si>
  <si>
    <t>Maxburghdreef 6A, 2321 Meer</t>
  </si>
  <si>
    <t>WKK-0122 Vergo Energie</t>
  </si>
  <si>
    <t>Groeikracht Rielbro NV</t>
  </si>
  <si>
    <t>Eindsestraat 1d, 2321 Meer</t>
  </si>
  <si>
    <t>WKK-0141 Groeikracht Rielbro</t>
  </si>
  <si>
    <t>Pafa bvba</t>
  </si>
  <si>
    <t>Maxburgdreef 36A, 2321 Meer</t>
  </si>
  <si>
    <t>WKK-0164 Pafa</t>
  </si>
  <si>
    <t>Rovak bvba</t>
  </si>
  <si>
    <t>Gaarshof 12 , 2321 Meer</t>
  </si>
  <si>
    <t>WKK-0180 Rovak bvba</t>
  </si>
  <si>
    <t>Desta NV</t>
  </si>
  <si>
    <t>Heerle 11 , 2320 Hoogstraten</t>
  </si>
  <si>
    <t>WKK-0233 Desta NV</t>
  </si>
  <si>
    <t>Willy Jacobs</t>
  </si>
  <si>
    <t>Oosteneind 2 A, 2328 Meerle</t>
  </si>
  <si>
    <t>WKK-0312 Willy Jacobs</t>
  </si>
  <si>
    <t>WKK interne verbrandinsgmotor (vloeibaar)</t>
  </si>
  <si>
    <t>eilandwerking</t>
  </si>
  <si>
    <t>Malve NV</t>
  </si>
  <si>
    <t>John Lijsenstraat 49 , 2321 Meer</t>
  </si>
  <si>
    <t>WKK-0403 Malve</t>
  </si>
  <si>
    <t>Biolectric nv</t>
  </si>
  <si>
    <t>Jan de Malschelaan 4 B, 9140 Temse</t>
  </si>
  <si>
    <t>WKK-0479 Peter Vermeiren</t>
  </si>
  <si>
    <t>Hal 19 , 2322 Minderhout</t>
  </si>
  <si>
    <t>WKK-0510 Jan Vermeiren</t>
  </si>
  <si>
    <t>Beemden 18 , 2322 Minderhout</t>
  </si>
  <si>
    <t>Adams Herman BVBA</t>
  </si>
  <si>
    <t>Eindsestraat 14 , 2321 Meer</t>
  </si>
  <si>
    <t>WKK-0578 Adams Herman</t>
  </si>
  <si>
    <t>WKK-0581 Vergo II</t>
  </si>
  <si>
    <t>Maxburgdreef 6A , 2321 Meer</t>
  </si>
  <si>
    <t>Boeren Frank bvba</t>
  </si>
  <si>
    <t>Langstraat 8 a, 2328 Meerle</t>
  </si>
  <si>
    <t>WKK-0544 Frank Boeren</t>
  </si>
  <si>
    <t>Jacobs-Braspenning bvba</t>
  </si>
  <si>
    <t>Slikgat 4 , 2328 Meerle</t>
  </si>
  <si>
    <t>WKK-0590 Jacobs-Braspenning</t>
  </si>
  <si>
    <t>WKK-0543 Meer Fresh Products II</t>
  </si>
  <si>
    <t>Kettingdreef 3 , 2321 Meer</t>
  </si>
  <si>
    <t>WKK-0686 Rovak II</t>
  </si>
  <si>
    <t>VW Tuinderijen I</t>
  </si>
  <si>
    <t>WKK-0734</t>
  </si>
  <si>
    <t>Interne verbrandingsmotor</t>
  </si>
  <si>
    <t>Kettingdreef 7</t>
  </si>
  <si>
    <t>IVEKA (via EANDIS)</t>
  </si>
  <si>
    <t>VW Tuinderijen II</t>
  </si>
  <si>
    <t>WKK-0735</t>
  </si>
  <si>
    <t>Proefcentrum Hoogstraten</t>
  </si>
  <si>
    <t>WKK-0749</t>
  </si>
  <si>
    <t>Voort 71</t>
  </si>
  <si>
    <t>Aquafin NV</t>
  </si>
  <si>
    <t>Dijkstraat 8 , 2630 Aartselaar</t>
  </si>
  <si>
    <t>BGS-0044 RWZI Hoogstraten</t>
  </si>
  <si>
    <t>biogas - RWZI</t>
  </si>
  <si>
    <t>niet WKK interne verbrandingsmotor (gas)</t>
  </si>
  <si>
    <t>Rollekens 4 , 2320 Hoogstraten</t>
  </si>
  <si>
    <t>Iveka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</si>
</sst>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180888.45988877112</c:v>
                </c:pt>
                <c:pt idx="1">
                  <c:v>128149.94269313334</c:v>
                </c:pt>
                <c:pt idx="2">
                  <c:v>1440.163</c:v>
                </c:pt>
                <c:pt idx="3">
                  <c:v>396142.11269461713</c:v>
                </c:pt>
                <c:pt idx="4">
                  <c:v>219136.25459962973</c:v>
                </c:pt>
                <c:pt idx="5">
                  <c:v>307647.64921175689</c:v>
                </c:pt>
                <c:pt idx="6">
                  <c:v>1724.4095252167926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180888.45988877112</c:v>
                </c:pt>
                <c:pt idx="1">
                  <c:v>128149.94269313334</c:v>
                </c:pt>
                <c:pt idx="2">
                  <c:v>1440.163</c:v>
                </c:pt>
                <c:pt idx="3">
                  <c:v>396142.11269461713</c:v>
                </c:pt>
                <c:pt idx="4">
                  <c:v>219136.25459962973</c:v>
                </c:pt>
                <c:pt idx="5">
                  <c:v>307647.64921175689</c:v>
                </c:pt>
                <c:pt idx="6">
                  <c:v>1724.4095252167926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27353.200194581426</c:v>
                </c:pt>
                <c:pt idx="1">
                  <c:v>20775.166235267632</c:v>
                </c:pt>
                <c:pt idx="2">
                  <c:v>171.7895084395297</c:v>
                </c:pt>
                <c:pt idx="3">
                  <c:v>79598.524886606872</c:v>
                </c:pt>
                <c:pt idx="4">
                  <c:v>37469.55192080517</c:v>
                </c:pt>
                <c:pt idx="5">
                  <c:v>76737.449162054021</c:v>
                </c:pt>
                <c:pt idx="6">
                  <c:v>436.17470487580641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8720"/>
        <c:axId val="182560256"/>
      </c:barChart>
      <c:catAx>
        <c:axId val="182558720"/>
        <c:scaling>
          <c:orientation val="minMax"/>
        </c:scaling>
        <c:axPos val="b"/>
        <c:numFmt formatCode="General" sourceLinked="0"/>
        <c:tickLblPos val="nextTo"/>
        <c:crossAx val="182560256"/>
        <c:crosses val="autoZero"/>
        <c:auto val="1"/>
        <c:lblAlgn val="ctr"/>
        <c:lblOffset val="100"/>
      </c:catAx>
      <c:valAx>
        <c:axId val="182560256"/>
        <c:scaling>
          <c:orientation val="minMax"/>
        </c:scaling>
        <c:axPos val="l"/>
        <c:majorGridlines/>
        <c:numFmt formatCode="#,##0" sourceLinked="1"/>
        <c:tickLblPos val="nextTo"/>
        <c:crossAx val="1825587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27353.200194581426</c:v>
                </c:pt>
                <c:pt idx="1">
                  <c:v>20775.166235267632</c:v>
                </c:pt>
                <c:pt idx="2">
                  <c:v>171.7895084395297</c:v>
                </c:pt>
                <c:pt idx="3">
                  <c:v>79598.524886606872</c:v>
                </c:pt>
                <c:pt idx="4">
                  <c:v>37469.55192080517</c:v>
                </c:pt>
                <c:pt idx="5">
                  <c:v>76737.449162054021</c:v>
                </c:pt>
                <c:pt idx="6">
                  <c:v>436.17470487580641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13014</v>
      </c>
      <c r="B6" s="415"/>
      <c r="C6" s="416"/>
    </row>
    <row r="7" spans="1:7" s="413" customFormat="1" ht="15.75" customHeight="1">
      <c r="A7" s="417" t="str">
        <f>txtMunicipality</f>
        <v>HOOGSTRATEN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0.1192847673766995</v>
      </c>
      <c r="C17" s="527">
        <f ca="1">'EF ele_warmte'!B22</f>
        <v>0.17792855416111458</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0.1192847673766995</v>
      </c>
      <c r="C29" s="528">
        <f ca="1">'EF ele_warmte'!B22</f>
        <v>0.17792855416111458</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8590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6306.59</v>
      </c>
    </row>
    <row r="15" spans="1:6">
      <c r="A15" s="348" t="s">
        <v>183</v>
      </c>
      <c r="B15" s="334">
        <v>2798</v>
      </c>
    </row>
    <row r="16" spans="1:6">
      <c r="A16" s="348" t="s">
        <v>6</v>
      </c>
      <c r="B16" s="334">
        <v>7178</v>
      </c>
    </row>
    <row r="17" spans="1:6">
      <c r="A17" s="348" t="s">
        <v>7</v>
      </c>
      <c r="B17" s="334">
        <v>755</v>
      </c>
    </row>
    <row r="18" spans="1:6">
      <c r="A18" s="348" t="s">
        <v>8</v>
      </c>
      <c r="B18" s="334">
        <v>3795</v>
      </c>
    </row>
    <row r="19" spans="1:6">
      <c r="A19" s="348" t="s">
        <v>9</v>
      </c>
      <c r="B19" s="334">
        <v>3637</v>
      </c>
    </row>
    <row r="20" spans="1:6">
      <c r="A20" s="348" t="s">
        <v>10</v>
      </c>
      <c r="B20" s="334">
        <v>1778</v>
      </c>
    </row>
    <row r="21" spans="1:6">
      <c r="A21" s="348" t="s">
        <v>11</v>
      </c>
      <c r="B21" s="334">
        <v>77607</v>
      </c>
    </row>
    <row r="22" spans="1:6">
      <c r="A22" s="348" t="s">
        <v>12</v>
      </c>
      <c r="B22" s="334">
        <v>171365</v>
      </c>
    </row>
    <row r="23" spans="1:6">
      <c r="A23" s="348" t="s">
        <v>13</v>
      </c>
      <c r="B23" s="334">
        <v>3968</v>
      </c>
    </row>
    <row r="24" spans="1:6">
      <c r="A24" s="348" t="s">
        <v>14</v>
      </c>
      <c r="B24" s="334">
        <v>205</v>
      </c>
    </row>
    <row r="25" spans="1:6">
      <c r="A25" s="348" t="s">
        <v>15</v>
      </c>
      <c r="B25" s="334">
        <v>14689</v>
      </c>
    </row>
    <row r="26" spans="1:6">
      <c r="A26" s="348" t="s">
        <v>16</v>
      </c>
      <c r="B26" s="334">
        <v>597</v>
      </c>
    </row>
    <row r="27" spans="1:6">
      <c r="A27" s="348" t="s">
        <v>17</v>
      </c>
      <c r="B27" s="334">
        <v>2141</v>
      </c>
    </row>
    <row r="28" spans="1:6" s="356" customFormat="1">
      <c r="A28" s="355" t="s">
        <v>18</v>
      </c>
      <c r="B28" s="355">
        <v>1521193</v>
      </c>
    </row>
    <row r="29" spans="1:6">
      <c r="A29" s="355" t="s">
        <v>713</v>
      </c>
      <c r="B29" s="355">
        <v>348</v>
      </c>
      <c r="C29" s="356"/>
      <c r="D29" s="356"/>
      <c r="E29" s="356"/>
      <c r="F29" s="356"/>
    </row>
    <row r="30" spans="1:6">
      <c r="A30" s="341" t="s">
        <v>714</v>
      </c>
      <c r="B30" s="341">
        <v>101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4</v>
      </c>
      <c r="F35" s="334">
        <v>351247.33100000001</v>
      </c>
    </row>
    <row r="36" spans="1:6">
      <c r="A36" s="348" t="s">
        <v>24</v>
      </c>
      <c r="B36" s="348" t="s">
        <v>26</v>
      </c>
      <c r="C36" s="334">
        <v>0</v>
      </c>
      <c r="D36" s="334">
        <v>0</v>
      </c>
      <c r="E36" s="334">
        <v>7</v>
      </c>
      <c r="F36" s="334">
        <v>454303.00300000003</v>
      </c>
    </row>
    <row r="37" spans="1:6">
      <c r="A37" s="348" t="s">
        <v>24</v>
      </c>
      <c r="B37" s="348" t="s">
        <v>27</v>
      </c>
      <c r="C37" s="334">
        <v>0</v>
      </c>
      <c r="D37" s="334">
        <v>0</v>
      </c>
      <c r="E37" s="334">
        <v>0</v>
      </c>
      <c r="F37" s="334">
        <v>0</v>
      </c>
    </row>
    <row r="38" spans="1:6">
      <c r="A38" s="348" t="s">
        <v>24</v>
      </c>
      <c r="B38" s="348" t="s">
        <v>28</v>
      </c>
      <c r="C38" s="334">
        <v>3</v>
      </c>
      <c r="D38" s="334">
        <v>74756934.620000005</v>
      </c>
      <c r="E38" s="334">
        <v>9</v>
      </c>
      <c r="F38" s="334">
        <v>215574.20300000001</v>
      </c>
    </row>
    <row r="39" spans="1:6">
      <c r="A39" s="348" t="s">
        <v>29</v>
      </c>
      <c r="B39" s="348" t="s">
        <v>30</v>
      </c>
      <c r="C39" s="334">
        <v>5941</v>
      </c>
      <c r="D39" s="334">
        <v>100046022.40000001</v>
      </c>
      <c r="E39" s="334">
        <v>8131</v>
      </c>
      <c r="F39" s="334">
        <v>31152577.640000001</v>
      </c>
    </row>
    <row r="40" spans="1:6">
      <c r="A40" s="348" t="s">
        <v>29</v>
      </c>
      <c r="B40" s="348" t="s">
        <v>28</v>
      </c>
      <c r="C40" s="334">
        <v>1</v>
      </c>
      <c r="D40" s="334">
        <v>28356.030999999999</v>
      </c>
      <c r="E40" s="334">
        <v>1</v>
      </c>
      <c r="F40" s="334">
        <v>3717.877</v>
      </c>
    </row>
    <row r="41" spans="1:6">
      <c r="A41" s="348" t="s">
        <v>31</v>
      </c>
      <c r="B41" s="348" t="s">
        <v>32</v>
      </c>
      <c r="C41" s="334">
        <v>42</v>
      </c>
      <c r="D41" s="334">
        <v>3395408.3620000002</v>
      </c>
      <c r="E41" s="334">
        <v>167</v>
      </c>
      <c r="F41" s="334">
        <v>25464747.309999999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6</v>
      </c>
      <c r="D44" s="334">
        <v>783717.53200000001</v>
      </c>
      <c r="E44" s="334">
        <v>13</v>
      </c>
      <c r="F44" s="334">
        <v>894534.53300000005</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7</v>
      </c>
      <c r="D47" s="334">
        <v>1420536.4779999999</v>
      </c>
      <c r="E47" s="334">
        <v>10</v>
      </c>
      <c r="F47" s="334">
        <v>3281588.2370000002</v>
      </c>
    </row>
    <row r="48" spans="1:6">
      <c r="A48" s="348" t="s">
        <v>31</v>
      </c>
      <c r="B48" s="348" t="s">
        <v>28</v>
      </c>
      <c r="C48" s="334">
        <v>92</v>
      </c>
      <c r="D48" s="334">
        <v>68871339.879999995</v>
      </c>
      <c r="E48" s="334">
        <v>138</v>
      </c>
      <c r="F48" s="334">
        <v>71839051.650000006</v>
      </c>
    </row>
    <row r="49" spans="1:6">
      <c r="A49" s="348" t="s">
        <v>31</v>
      </c>
      <c r="B49" s="348" t="s">
        <v>39</v>
      </c>
      <c r="C49" s="334">
        <v>0</v>
      </c>
      <c r="D49" s="334">
        <v>0</v>
      </c>
      <c r="E49" s="334">
        <v>0</v>
      </c>
      <c r="F49" s="334">
        <v>0</v>
      </c>
    </row>
    <row r="50" spans="1:6">
      <c r="A50" s="348" t="s">
        <v>31</v>
      </c>
      <c r="B50" s="348" t="s">
        <v>40</v>
      </c>
      <c r="C50" s="334">
        <v>7</v>
      </c>
      <c r="D50" s="334">
        <v>486355.71</v>
      </c>
      <c r="E50" s="334">
        <v>8</v>
      </c>
      <c r="F50" s="334">
        <v>215917.64199999999</v>
      </c>
    </row>
    <row r="51" spans="1:6">
      <c r="A51" s="348" t="s">
        <v>41</v>
      </c>
      <c r="B51" s="348" t="s">
        <v>42</v>
      </c>
      <c r="C51" s="334">
        <v>33</v>
      </c>
      <c r="D51" s="334">
        <v>377095250.60000002</v>
      </c>
      <c r="E51" s="334">
        <v>441</v>
      </c>
      <c r="F51" s="334">
        <v>24411647.350000001</v>
      </c>
    </row>
    <row r="52" spans="1:6">
      <c r="A52" s="348" t="s">
        <v>41</v>
      </c>
      <c r="B52" s="348" t="s">
        <v>28</v>
      </c>
      <c r="C52" s="334">
        <v>30</v>
      </c>
      <c r="D52" s="334">
        <v>34343273.600000001</v>
      </c>
      <c r="E52" s="334">
        <v>38</v>
      </c>
      <c r="F52" s="334">
        <v>1300115.7220000001</v>
      </c>
    </row>
    <row r="53" spans="1:6">
      <c r="A53" s="348" t="s">
        <v>43</v>
      </c>
      <c r="B53" s="348" t="s">
        <v>44</v>
      </c>
      <c r="C53" s="334">
        <v>143</v>
      </c>
      <c r="D53" s="334">
        <v>2657528.6970000002</v>
      </c>
      <c r="E53" s="334">
        <v>311</v>
      </c>
      <c r="F53" s="334">
        <v>1657171.175</v>
      </c>
    </row>
    <row r="54" spans="1:6">
      <c r="A54" s="348" t="s">
        <v>45</v>
      </c>
      <c r="B54" s="348" t="s">
        <v>46</v>
      </c>
      <c r="C54" s="334">
        <v>0</v>
      </c>
      <c r="D54" s="334">
        <v>0</v>
      </c>
      <c r="E54" s="334">
        <v>3</v>
      </c>
      <c r="F54" s="334">
        <v>1440163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39</v>
      </c>
      <c r="D57" s="334">
        <v>1371319.047</v>
      </c>
      <c r="E57" s="334">
        <v>110</v>
      </c>
      <c r="F57" s="334">
        <v>2651655.1340000001</v>
      </c>
    </row>
    <row r="58" spans="1:6">
      <c r="A58" s="348" t="s">
        <v>48</v>
      </c>
      <c r="B58" s="348" t="s">
        <v>50</v>
      </c>
      <c r="C58" s="334">
        <v>25</v>
      </c>
      <c r="D58" s="334">
        <v>650288.53500000003</v>
      </c>
      <c r="E58" s="334">
        <v>36</v>
      </c>
      <c r="F58" s="334">
        <v>250597.80499999999</v>
      </c>
    </row>
    <row r="59" spans="1:6">
      <c r="A59" s="348" t="s">
        <v>48</v>
      </c>
      <c r="B59" s="348" t="s">
        <v>51</v>
      </c>
      <c r="C59" s="334">
        <v>69</v>
      </c>
      <c r="D59" s="334">
        <v>3101173.1490000002</v>
      </c>
      <c r="E59" s="334">
        <v>191</v>
      </c>
      <c r="F59" s="334">
        <v>11670077.869999999</v>
      </c>
    </row>
    <row r="60" spans="1:6">
      <c r="A60" s="348" t="s">
        <v>48</v>
      </c>
      <c r="B60" s="348" t="s">
        <v>52</v>
      </c>
      <c r="C60" s="334">
        <v>77</v>
      </c>
      <c r="D60" s="334">
        <v>4171383.7370000002</v>
      </c>
      <c r="E60" s="334">
        <v>102</v>
      </c>
      <c r="F60" s="334">
        <v>3362863.1910000001</v>
      </c>
    </row>
    <row r="61" spans="1:6">
      <c r="A61" s="348" t="s">
        <v>48</v>
      </c>
      <c r="B61" s="348" t="s">
        <v>53</v>
      </c>
      <c r="C61" s="334">
        <v>200</v>
      </c>
      <c r="D61" s="334">
        <v>11037256.76</v>
      </c>
      <c r="E61" s="334">
        <v>467</v>
      </c>
      <c r="F61" s="334">
        <v>11525462.76</v>
      </c>
    </row>
    <row r="62" spans="1:6">
      <c r="A62" s="348" t="s">
        <v>48</v>
      </c>
      <c r="B62" s="348" t="s">
        <v>54</v>
      </c>
      <c r="C62" s="334">
        <v>12</v>
      </c>
      <c r="D62" s="334">
        <v>3035018.1529999999</v>
      </c>
      <c r="E62" s="334">
        <v>7</v>
      </c>
      <c r="F62" s="334">
        <v>1122160.6540000001</v>
      </c>
    </row>
    <row r="63" spans="1:6">
      <c r="A63" s="348" t="s">
        <v>48</v>
      </c>
      <c r="B63" s="348" t="s">
        <v>28</v>
      </c>
      <c r="C63" s="334">
        <v>209</v>
      </c>
      <c r="D63" s="334">
        <v>56329118.740000002</v>
      </c>
      <c r="E63" s="334">
        <v>298</v>
      </c>
      <c r="F63" s="334">
        <v>21181480.460000001</v>
      </c>
    </row>
    <row r="64" spans="1:6">
      <c r="A64" s="348" t="s">
        <v>55</v>
      </c>
      <c r="B64" s="348" t="s">
        <v>56</v>
      </c>
      <c r="C64" s="334">
        <v>0</v>
      </c>
      <c r="D64" s="334">
        <v>0</v>
      </c>
      <c r="E64" s="334">
        <v>0</v>
      </c>
      <c r="F64" s="334">
        <v>0</v>
      </c>
    </row>
    <row r="65" spans="1:6">
      <c r="A65" s="348" t="s">
        <v>55</v>
      </c>
      <c r="B65" s="348" t="s">
        <v>28</v>
      </c>
      <c r="C65" s="334">
        <v>5</v>
      </c>
      <c r="D65" s="334">
        <v>174354.52799999999</v>
      </c>
      <c r="E65" s="334">
        <v>5</v>
      </c>
      <c r="F65" s="334">
        <v>119122.558</v>
      </c>
    </row>
    <row r="66" spans="1:6">
      <c r="A66" s="348" t="s">
        <v>55</v>
      </c>
      <c r="B66" s="348" t="s">
        <v>57</v>
      </c>
      <c r="C66" s="334">
        <v>0</v>
      </c>
      <c r="D66" s="334">
        <v>0</v>
      </c>
      <c r="E66" s="334">
        <v>14</v>
      </c>
      <c r="F66" s="334">
        <v>689577.90300000005</v>
      </c>
    </row>
    <row r="67" spans="1:6">
      <c r="A67" s="355" t="s">
        <v>55</v>
      </c>
      <c r="B67" s="355" t="s">
        <v>58</v>
      </c>
      <c r="C67" s="334">
        <v>0</v>
      </c>
      <c r="D67" s="334">
        <v>0</v>
      </c>
      <c r="E67" s="334">
        <v>0</v>
      </c>
      <c r="F67" s="334">
        <v>0</v>
      </c>
    </row>
    <row r="68" spans="1:6">
      <c r="A68" s="341" t="s">
        <v>55</v>
      </c>
      <c r="B68" s="341" t="s">
        <v>59</v>
      </c>
      <c r="C68" s="334">
        <v>0</v>
      </c>
      <c r="D68" s="334">
        <v>0</v>
      </c>
      <c r="E68" s="334">
        <v>23</v>
      </c>
      <c r="F68" s="334">
        <v>628937.68599999999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83256300</v>
      </c>
      <c r="E73" s="476"/>
    </row>
    <row r="74" spans="1:6">
      <c r="A74" s="348" t="s">
        <v>63</v>
      </c>
      <c r="B74" s="348" t="s">
        <v>651</v>
      </c>
      <c r="C74" s="1307" t="s">
        <v>653</v>
      </c>
      <c r="D74" s="476">
        <v>9528478.5</v>
      </c>
      <c r="E74" s="476"/>
    </row>
    <row r="75" spans="1:6">
      <c r="A75" s="348" t="s">
        <v>64</v>
      </c>
      <c r="B75" s="348" t="s">
        <v>650</v>
      </c>
      <c r="C75" s="1307" t="s">
        <v>654</v>
      </c>
      <c r="D75" s="476">
        <v>40134092</v>
      </c>
      <c r="E75" s="476"/>
    </row>
    <row r="76" spans="1:6">
      <c r="A76" s="348" t="s">
        <v>64</v>
      </c>
      <c r="B76" s="348" t="s">
        <v>651</v>
      </c>
      <c r="C76" s="1307" t="s">
        <v>655</v>
      </c>
      <c r="D76" s="476">
        <v>543173.5</v>
      </c>
      <c r="E76" s="476"/>
    </row>
    <row r="77" spans="1:6">
      <c r="A77" s="348" t="s">
        <v>65</v>
      </c>
      <c r="B77" s="348" t="s">
        <v>650</v>
      </c>
      <c r="C77" s="1307" t="s">
        <v>656</v>
      </c>
      <c r="D77" s="476">
        <v>140052313</v>
      </c>
      <c r="E77" s="476"/>
    </row>
    <row r="78" spans="1:6">
      <c r="A78" s="341" t="s">
        <v>65</v>
      </c>
      <c r="B78" s="341" t="s">
        <v>651</v>
      </c>
      <c r="C78" s="341" t="s">
        <v>657</v>
      </c>
      <c r="D78" s="1308">
        <v>38174059</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479063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67035.237083930755</v>
      </c>
    </row>
    <row r="91" spans="1:6">
      <c r="A91" s="348" t="s">
        <v>67</v>
      </c>
      <c r="B91" s="334">
        <v>5550.5145593876287</v>
      </c>
    </row>
    <row r="92" spans="1:6">
      <c r="A92" s="341" t="s">
        <v>68</v>
      </c>
      <c r="B92" s="342">
        <v>4737.2191736082414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2912</v>
      </c>
    </row>
    <row r="98" spans="1:6">
      <c r="A98" s="348" t="s">
        <v>71</v>
      </c>
      <c r="B98" s="334">
        <v>9</v>
      </c>
    </row>
    <row r="99" spans="1:6">
      <c r="A99" s="348" t="s">
        <v>72</v>
      </c>
      <c r="B99" s="334">
        <v>149</v>
      </c>
    </row>
    <row r="100" spans="1:6">
      <c r="A100" s="348" t="s">
        <v>73</v>
      </c>
      <c r="B100" s="334">
        <v>429</v>
      </c>
    </row>
    <row r="101" spans="1:6">
      <c r="A101" s="348" t="s">
        <v>74</v>
      </c>
      <c r="B101" s="334">
        <v>128</v>
      </c>
    </row>
    <row r="102" spans="1:6">
      <c r="A102" s="348" t="s">
        <v>75</v>
      </c>
      <c r="B102" s="334">
        <v>67</v>
      </c>
    </row>
    <row r="103" spans="1:6">
      <c r="A103" s="348" t="s">
        <v>76</v>
      </c>
      <c r="B103" s="334">
        <v>104</v>
      </c>
    </row>
    <row r="104" spans="1:6">
      <c r="A104" s="348" t="s">
        <v>77</v>
      </c>
      <c r="B104" s="334">
        <v>2695</v>
      </c>
    </row>
    <row r="105" spans="1:6">
      <c r="A105" s="341" t="s">
        <v>78</v>
      </c>
      <c r="B105" s="341">
        <v>7</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72</v>
      </c>
      <c r="C123" s="334">
        <v>58</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293</v>
      </c>
    </row>
    <row r="130" spans="1:6">
      <c r="A130" s="348" t="s">
        <v>294</v>
      </c>
      <c r="B130" s="334">
        <v>5</v>
      </c>
    </row>
    <row r="131" spans="1:6">
      <c r="A131" s="348" t="s">
        <v>295</v>
      </c>
      <c r="B131" s="334">
        <v>5</v>
      </c>
    </row>
    <row r="132" spans="1:6">
      <c r="A132" s="341" t="s">
        <v>296</v>
      </c>
      <c r="B132" s="342">
        <v>49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230009.10859390849</v>
      </c>
      <c r="C3" s="43" t="s">
        <v>169</v>
      </c>
      <c r="D3" s="43"/>
      <c r="E3" s="154"/>
      <c r="F3" s="43"/>
      <c r="G3" s="43"/>
      <c r="H3" s="43"/>
      <c r="I3" s="43"/>
      <c r="J3" s="43"/>
      <c r="K3" s="96"/>
    </row>
    <row r="4" spans="1:11">
      <c r="A4" s="383" t="s">
        <v>170</v>
      </c>
      <c r="B4" s="49">
        <f>IF(ISERROR('SEAP template'!B78+'SEAP template'!C78),0,'SEAP template'!B78+'SEAP template'!C78)</f>
        <v>238670.92081692663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28469.805269229761</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0.1192847673766995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40468.921873627391</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227444.78571428574</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0.17792855416111458</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1440.163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1440.163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0.1192847673766995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171.7895084395297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31156.295517000002</v>
      </c>
      <c r="C5" s="17">
        <f>IF(ISERROR('Eigen informatie GS &amp; warmtenet'!B59),0,'Eigen informatie GS &amp; warmtenet'!B59)</f>
        <v>0</v>
      </c>
      <c r="D5" s="30">
        <f>(SUM(HH_hh_gas_kWh,HH_rest_gas_kWh)/1000)*0.902</f>
        <v>90267.089344762004</v>
      </c>
      <c r="E5" s="17">
        <f>B46*B57</f>
        <v>20884.074210735303</v>
      </c>
      <c r="F5" s="17">
        <f>B51*B62</f>
        <v>0</v>
      </c>
      <c r="G5" s="18"/>
      <c r="H5" s="17"/>
      <c r="I5" s="17"/>
      <c r="J5" s="17">
        <f>B50*B61+C50*C61</f>
        <v>0</v>
      </c>
      <c r="K5" s="17"/>
      <c r="L5" s="17"/>
      <c r="M5" s="17"/>
      <c r="N5" s="17">
        <f>B48*B59+C48*C59</f>
        <v>31046.989928124396</v>
      </c>
      <c r="O5" s="17">
        <f>B69*B70*B71</f>
        <v>698.35329322423524</v>
      </c>
      <c r="P5" s="17">
        <f>B77*B78*B79/1000-B77*B78*B79/1000/B80</f>
        <v>1285.1430355375728</v>
      </c>
    </row>
    <row r="6" spans="1:16">
      <c r="A6" s="16" t="s">
        <v>615</v>
      </c>
      <c r="B6" s="809">
        <f>kWh_PV_kleiner_dan_10kW</f>
        <v>5550.5145593876287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36706.810076387628</v>
      </c>
      <c r="C8" s="21">
        <f>C5</f>
        <v>0</v>
      </c>
      <c r="D8" s="21">
        <f>D5</f>
        <v>90267.089344762004</v>
      </c>
      <c r="E8" s="21">
        <f>E5</f>
        <v>20884.074210735303</v>
      </c>
      <c r="F8" s="21">
        <f>F5</f>
        <v>0</v>
      </c>
      <c r="G8" s="21"/>
      <c r="H8" s="21"/>
      <c r="I8" s="21"/>
      <c r="J8" s="21">
        <f>J5</f>
        <v>0</v>
      </c>
      <c r="K8" s="21"/>
      <c r="L8" s="21">
        <f>L5</f>
        <v>0</v>
      </c>
      <c r="M8" s="21">
        <f>M5</f>
        <v>0</v>
      </c>
      <c r="N8" s="21">
        <f>N5</f>
        <v>31046.989928124396</v>
      </c>
      <c r="O8" s="21">
        <f>O5</f>
        <v>698.35329322423524</v>
      </c>
      <c r="P8" s="21">
        <f>P5</f>
        <v>1285.1430355375728</v>
      </c>
    </row>
    <row r="9" spans="1:16">
      <c r="B9" s="19"/>
      <c r="C9" s="19"/>
      <c r="D9" s="258"/>
      <c r="E9" s="19"/>
      <c r="F9" s="19"/>
      <c r="G9" s="19"/>
      <c r="H9" s="19"/>
      <c r="I9" s="19"/>
      <c r="J9" s="19"/>
      <c r="K9" s="19"/>
      <c r="L9" s="19"/>
      <c r="M9" s="19"/>
      <c r="N9" s="19"/>
      <c r="O9" s="19"/>
      <c r="P9" s="19"/>
    </row>
    <row r="10" spans="1:16">
      <c r="A10" s="24" t="s">
        <v>213</v>
      </c>
      <c r="B10" s="25">
        <f ca="1">'EF ele_warmte'!B12</f>
        <v>0.1192847673766995</v>
      </c>
      <c r="C10" s="25">
        <f ca="1">'EF ele_warmte'!B22</f>
        <v>0.17792855416111458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4378.5633011025875</v>
      </c>
      <c r="C12" s="23">
        <f ca="1">C10*C8</f>
        <v>0</v>
      </c>
      <c r="D12" s="23">
        <f>D8*D10</f>
        <v>18233.952047641927</v>
      </c>
      <c r="E12" s="23">
        <f>E10*E8</f>
        <v>4740.6848458369141</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2912</v>
      </c>
      <c r="C18" s="166" t="s">
        <v>110</v>
      </c>
      <c r="D18" s="228"/>
      <c r="E18" s="15"/>
    </row>
    <row r="19" spans="1:7">
      <c r="A19" s="171" t="s">
        <v>71</v>
      </c>
      <c r="B19" s="37">
        <f>aantalw2001_ander</f>
        <v>9</v>
      </c>
      <c r="C19" s="166" t="s">
        <v>110</v>
      </c>
      <c r="D19" s="229"/>
      <c r="E19" s="15"/>
    </row>
    <row r="20" spans="1:7">
      <c r="A20" s="171" t="s">
        <v>72</v>
      </c>
      <c r="B20" s="37">
        <f>aantalw2001_propaan</f>
        <v>149</v>
      </c>
      <c r="C20" s="167">
        <f>IF(ISERROR(B20/SUM($B$20,$B$21,$B$22)*100),0,B20/SUM($B$20,$B$21,$B$22)*100)</f>
        <v>21.104815864022662</v>
      </c>
      <c r="D20" s="229"/>
      <c r="E20" s="15"/>
    </row>
    <row r="21" spans="1:7">
      <c r="A21" s="171" t="s">
        <v>73</v>
      </c>
      <c r="B21" s="37">
        <f>aantalw2001_elektriciteit</f>
        <v>429</v>
      </c>
      <c r="C21" s="167">
        <f>IF(ISERROR(B21/SUM($B$20,$B$21,$B$22)*100),0,B21/SUM($B$20,$B$21,$B$22)*100)</f>
        <v>60.76487252124646</v>
      </c>
      <c r="D21" s="229"/>
      <c r="E21" s="15"/>
    </row>
    <row r="22" spans="1:7">
      <c r="A22" s="171" t="s">
        <v>74</v>
      </c>
      <c r="B22" s="37">
        <f>aantalw2001_hout</f>
        <v>128</v>
      </c>
      <c r="C22" s="167">
        <f>IF(ISERROR(B22/SUM($B$20,$B$21,$B$22)*100),0,B22/SUM($B$20,$B$21,$B$22)*100)</f>
        <v>18.130311614730878</v>
      </c>
      <c r="D22" s="229"/>
      <c r="E22" s="15"/>
    </row>
    <row r="23" spans="1:7">
      <c r="A23" s="171" t="s">
        <v>75</v>
      </c>
      <c r="B23" s="37">
        <f>aantalw2001_niet_gespec</f>
        <v>67</v>
      </c>
      <c r="C23" s="166" t="s">
        <v>110</v>
      </c>
      <c r="D23" s="228"/>
      <c r="E23" s="15"/>
    </row>
    <row r="24" spans="1:7">
      <c r="A24" s="171" t="s">
        <v>76</v>
      </c>
      <c r="B24" s="37">
        <f>aantalw2001_steenkool</f>
        <v>104</v>
      </c>
      <c r="C24" s="166" t="s">
        <v>110</v>
      </c>
      <c r="D24" s="229"/>
      <c r="E24" s="15"/>
    </row>
    <row r="25" spans="1:7">
      <c r="A25" s="171" t="s">
        <v>77</v>
      </c>
      <c r="B25" s="37">
        <f>aantalw2001_stookolie</f>
        <v>2695</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836</v>
      </c>
      <c r="B28" s="37">
        <f>aantalHuishoudens2011</f>
        <v>8590</v>
      </c>
      <c r="C28" s="36"/>
      <c r="D28" s="228"/>
    </row>
    <row r="29" spans="1:7" s="15" customFormat="1">
      <c r="A29" s="230" t="s">
        <v>837</v>
      </c>
      <c r="B29" s="37">
        <f>SUM(HH_hh_gas_aantal,HH_rest_gas_aantal)</f>
        <v>5942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5942</v>
      </c>
      <c r="C32" s="167">
        <f>IF(ISERROR(B32/SUM($B$32,$B$34,$B$35,$B$36,$B$38,$B$39)*100),0,B32/SUM($B$32,$B$34,$B$35,$B$36,$B$38,$B$39)*100)</f>
        <v>70.170051960321217</v>
      </c>
      <c r="D32" s="233"/>
      <c r="G32" s="15"/>
    </row>
    <row r="33" spans="1:7">
      <c r="A33" s="171" t="s">
        <v>71</v>
      </c>
      <c r="B33" s="34" t="s">
        <v>110</v>
      </c>
      <c r="C33" s="167"/>
      <c r="D33" s="233"/>
      <c r="G33" s="15"/>
    </row>
    <row r="34" spans="1:7">
      <c r="A34" s="171" t="s">
        <v>72</v>
      </c>
      <c r="B34" s="33">
        <f>IF((($B$28-$B$32-$B$39-$B$77-$B$38)*C20/100)&lt;0,0,($B$28-$B$32-$B$39-$B$77-$B$38)*C20/100)</f>
        <v>533.10764872521247</v>
      </c>
      <c r="C34" s="167">
        <f>IF(ISERROR(B34/SUM($B$32,$B$34,$B$35,$B$36,$B$38,$B$39)*100),0,B34/SUM($B$32,$B$34,$B$35,$B$36,$B$38,$B$39)*100)</f>
        <v>6.2955556061078468</v>
      </c>
      <c r="D34" s="233"/>
      <c r="G34" s="15"/>
    </row>
    <row r="35" spans="1:7">
      <c r="A35" s="171" t="s">
        <v>73</v>
      </c>
      <c r="B35" s="33">
        <f>IF((($B$28-$B$32-$B$39-$B$77-$B$38)*C21/100)&lt;0,0,($B$28-$B$32-$B$39-$B$77-$B$38)*C21/100)</f>
        <v>1534.9206798866858</v>
      </c>
      <c r="C35" s="167">
        <f>IF(ISERROR(B35/SUM($B$32,$B$34,$B$35,$B$36,$B$38,$B$39)*100),0,B35/SUM($B$32,$B$34,$B$35,$B$36,$B$38,$B$39)*100)</f>
        <v>18.126129899464878</v>
      </c>
      <c r="D35" s="233"/>
      <c r="G35" s="15"/>
    </row>
    <row r="36" spans="1:7">
      <c r="A36" s="171" t="s">
        <v>74</v>
      </c>
      <c r="B36" s="33">
        <f>IF((($B$28-$B$32-$B$39-$B$77-$B$38)*C22/100)&lt;0,0,($B$28-$B$32-$B$39-$B$77-$B$38)*C22/100)</f>
        <v>457.97167138810198</v>
      </c>
      <c r="C36" s="167">
        <f>IF(ISERROR(B36/SUM($B$32,$B$34,$B$35,$B$36,$B$38,$B$39)*100),0,B36/SUM($B$32,$B$34,$B$35,$B$36,$B$38,$B$39)*100)</f>
        <v>5.4082625341060693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5942</v>
      </c>
      <c r="C44" s="34" t="s">
        <v>110</v>
      </c>
      <c r="D44" s="174"/>
    </row>
    <row r="45" spans="1:7">
      <c r="A45" s="171" t="s">
        <v>71</v>
      </c>
      <c r="B45" s="33" t="str">
        <f t="shared" si="0"/>
        <v>-</v>
      </c>
      <c r="C45" s="34" t="s">
        <v>110</v>
      </c>
      <c r="D45" s="174"/>
    </row>
    <row r="46" spans="1:7">
      <c r="A46" s="171" t="s">
        <v>72</v>
      </c>
      <c r="B46" s="33">
        <f t="shared" si="0"/>
        <v>533.10764872521247</v>
      </c>
      <c r="C46" s="34" t="s">
        <v>110</v>
      </c>
      <c r="D46" s="174"/>
    </row>
    <row r="47" spans="1:7">
      <c r="A47" s="171" t="s">
        <v>73</v>
      </c>
      <c r="B47" s="33">
        <f t="shared" si="0"/>
        <v>1534.9206798866858</v>
      </c>
      <c r="C47" s="34" t="s">
        <v>110</v>
      </c>
      <c r="D47" s="174"/>
    </row>
    <row r="48" spans="1:7">
      <c r="A48" s="171" t="s">
        <v>74</v>
      </c>
      <c r="B48" s="33">
        <f t="shared" si="0"/>
        <v>457.97167138810198</v>
      </c>
      <c r="C48" s="33">
        <f>B48*10</f>
        <v>4579.71671388102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352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122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51764.297874000004</v>
      </c>
      <c r="C5" s="17">
        <f>IF(ISERROR('Eigen informatie GS &amp; warmtenet'!B60),0,'Eigen informatie GS &amp; warmtenet'!B60)</f>
        <v>0</v>
      </c>
      <c r="D5" s="30">
        <f>SUM(D6:D12)</f>
        <v>71885.393425142014</v>
      </c>
      <c r="E5" s="17">
        <f>SUM(E6:E12)</f>
        <v>748.63853862348151</v>
      </c>
      <c r="F5" s="17">
        <f>SUM(F6:F12)</f>
        <v>5927.9489710135149</v>
      </c>
      <c r="G5" s="18"/>
      <c r="H5" s="17"/>
      <c r="I5" s="17"/>
      <c r="J5" s="17">
        <f>SUM(J6:J12)</f>
        <v>8.5607829023730098E-2</v>
      </c>
      <c r="K5" s="17"/>
      <c r="L5" s="17"/>
      <c r="M5" s="17"/>
      <c r="N5" s="17">
        <f>SUM(N6:N12)</f>
        <v>3373.8148465783506</v>
      </c>
      <c r="O5" s="17">
        <f>B38*B39*B40</f>
        <v>24.486303829205774</v>
      </c>
      <c r="P5" s="17">
        <f>B46*B47*B48/1000-B46*B47*B48/1000/B49</f>
        <v>315.23482983897009</v>
      </c>
      <c r="R5" s="32"/>
    </row>
    <row r="6" spans="1:18">
      <c r="A6" s="32" t="s">
        <v>53</v>
      </c>
      <c r="B6" s="37">
        <f>B26</f>
        <v>11525.46276</v>
      </c>
      <c r="C6" s="33"/>
      <c r="D6" s="37">
        <f>IF(ISERROR(TER_kantoor_gas_kWh/1000),0,TER_kantoor_gas_kWh/1000)*0.902</f>
        <v>9955.6055975199997</v>
      </c>
      <c r="E6" s="33">
        <f>$C$26*'E Balans VL '!I12/100/3.6*1000000</f>
        <v>92.741703475230267</v>
      </c>
      <c r="F6" s="33">
        <f>$C$26*('E Balans VL '!L12+'E Balans VL '!N12)/100/3.6*1000000</f>
        <v>1409.1090663965292</v>
      </c>
      <c r="G6" s="34"/>
      <c r="H6" s="33"/>
      <c r="I6" s="33"/>
      <c r="J6" s="33">
        <f>$C$26*('E Balans VL '!D12+'E Balans VL '!E12)/100/3.6*1000000</f>
        <v>0</v>
      </c>
      <c r="K6" s="33"/>
      <c r="L6" s="33"/>
      <c r="M6" s="33"/>
      <c r="N6" s="33">
        <f>$C$26*'E Balans VL '!Y12/100/3.6*1000000</f>
        <v>6.1943686658894643</v>
      </c>
      <c r="O6" s="33"/>
      <c r="P6" s="33"/>
      <c r="R6" s="32"/>
    </row>
    <row r="7" spans="1:18">
      <c r="A7" s="32" t="s">
        <v>52</v>
      </c>
      <c r="B7" s="37">
        <f t="shared" ref="B7:B12" si="0">B27</f>
        <v>3362.8631909999999</v>
      </c>
      <c r="C7" s="33"/>
      <c r="D7" s="37">
        <f>IF(ISERROR(TER_horeca_gas_kWh/1000),0,TER_horeca_gas_kWh/1000)*0.902</f>
        <v>3762.5881307740001</v>
      </c>
      <c r="E7" s="33">
        <f>$C$27*'E Balans VL '!I9/100/3.6*1000000</f>
        <v>36.108892923030737</v>
      </c>
      <c r="F7" s="33">
        <f>$C$27*('E Balans VL '!L9+'E Balans VL '!N9)/100/3.6*1000000</f>
        <v>404.47089684117088</v>
      </c>
      <c r="G7" s="34"/>
      <c r="H7" s="33"/>
      <c r="I7" s="33"/>
      <c r="J7" s="33">
        <f>$C$27*('E Balans VL '!D9+'E Balans VL '!E9)/100/3.6*1000000</f>
        <v>0</v>
      </c>
      <c r="K7" s="33"/>
      <c r="L7" s="33"/>
      <c r="M7" s="33"/>
      <c r="N7" s="33">
        <f>$C$27*'E Balans VL '!Y9/100/3.6*1000000</f>
        <v>0.50416134965481607</v>
      </c>
      <c r="O7" s="33"/>
      <c r="P7" s="33"/>
      <c r="R7" s="32"/>
    </row>
    <row r="8" spans="1:18">
      <c r="A8" s="6" t="s">
        <v>51</v>
      </c>
      <c r="B8" s="37">
        <f t="shared" si="0"/>
        <v>11670.077869999999</v>
      </c>
      <c r="C8" s="33"/>
      <c r="D8" s="37">
        <f>IF(ISERROR(TER_handel_gas_kWh/1000),0,TER_handel_gas_kWh/1000)*0.902</f>
        <v>2797.2581803980001</v>
      </c>
      <c r="E8" s="33">
        <f>$C$28*'E Balans VL '!I13/100/3.6*1000000</f>
        <v>313.18916243398701</v>
      </c>
      <c r="F8" s="33">
        <f>$C$28*('E Balans VL '!L13+'E Balans VL '!N13)/100/3.6*1000000</f>
        <v>1113.6851098722409</v>
      </c>
      <c r="G8" s="34"/>
      <c r="H8" s="33"/>
      <c r="I8" s="33"/>
      <c r="J8" s="33">
        <f>$C$28*('E Balans VL '!D13+'E Balans VL '!E13)/100/3.6*1000000</f>
        <v>0</v>
      </c>
      <c r="K8" s="33"/>
      <c r="L8" s="33"/>
      <c r="M8" s="33"/>
      <c r="N8" s="33">
        <f>$C$28*'E Balans VL '!Y13/100/3.6*1000000</f>
        <v>4.6261515609519712</v>
      </c>
      <c r="O8" s="33"/>
      <c r="P8" s="33"/>
      <c r="R8" s="32"/>
    </row>
    <row r="9" spans="1:18">
      <c r="A9" s="32" t="s">
        <v>50</v>
      </c>
      <c r="B9" s="37">
        <f t="shared" si="0"/>
        <v>250.59780499999999</v>
      </c>
      <c r="C9" s="33"/>
      <c r="D9" s="37">
        <f>IF(ISERROR(TER_gezond_gas_kWh/1000),0,TER_gezond_gas_kWh/1000)*0.902</f>
        <v>586.56025857000009</v>
      </c>
      <c r="E9" s="33">
        <f>$C$29*'E Balans VL '!I10/100/3.6*1000000</f>
        <v>0.46970188475861119</v>
      </c>
      <c r="F9" s="33">
        <f>$C$29*('E Balans VL '!L10+'E Balans VL '!N10)/100/3.6*1000000</f>
        <v>20.601426099786003</v>
      </c>
      <c r="G9" s="34"/>
      <c r="H9" s="33"/>
      <c r="I9" s="33"/>
      <c r="J9" s="33">
        <f>$C$29*('E Balans VL '!D10+'E Balans VL '!E10)/100/3.6*1000000</f>
        <v>0</v>
      </c>
      <c r="K9" s="33"/>
      <c r="L9" s="33"/>
      <c r="M9" s="33"/>
      <c r="N9" s="33">
        <f>$C$29*'E Balans VL '!Y10/100/3.6*1000000</f>
        <v>1.9498378957280862</v>
      </c>
      <c r="O9" s="33"/>
      <c r="P9" s="33"/>
      <c r="R9" s="32"/>
    </row>
    <row r="10" spans="1:18">
      <c r="A10" s="32" t="s">
        <v>49</v>
      </c>
      <c r="B10" s="37">
        <f t="shared" si="0"/>
        <v>2651.6551340000001</v>
      </c>
      <c r="C10" s="33"/>
      <c r="D10" s="37">
        <f>IF(ISERROR(TER_ander_gas_kWh/1000),0,TER_ander_gas_kWh/1000)*0.902</f>
        <v>1236.9297803940001</v>
      </c>
      <c r="E10" s="33">
        <f>$C$30*'E Balans VL '!I14/100/3.6*1000000</f>
        <v>4.0875532578673157</v>
      </c>
      <c r="F10" s="33">
        <f>$C$30*('E Balans VL '!L14+'E Balans VL '!N14)/100/3.6*1000000</f>
        <v>411.67019158314588</v>
      </c>
      <c r="G10" s="34"/>
      <c r="H10" s="33"/>
      <c r="I10" s="33"/>
      <c r="J10" s="33">
        <f>$C$30*('E Balans VL '!D14+'E Balans VL '!E14)/100/3.6*1000000</f>
        <v>4.5014642400914927E-2</v>
      </c>
      <c r="K10" s="33"/>
      <c r="L10" s="33"/>
      <c r="M10" s="33"/>
      <c r="N10" s="33">
        <f>$C$30*'E Balans VL '!Y14/100/3.6*1000000</f>
        <v>1754.2500517452836</v>
      </c>
      <c r="O10" s="33"/>
      <c r="P10" s="33"/>
      <c r="R10" s="32"/>
    </row>
    <row r="11" spans="1:18">
      <c r="A11" s="32" t="s">
        <v>54</v>
      </c>
      <c r="B11" s="37">
        <f t="shared" si="0"/>
        <v>1122.160654</v>
      </c>
      <c r="C11" s="33"/>
      <c r="D11" s="37">
        <f>IF(ISERROR(TER_onderwijs_gas_kWh/1000),0,TER_onderwijs_gas_kWh/1000)*0.902</f>
        <v>2737.5863740059999</v>
      </c>
      <c r="E11" s="33">
        <f>$C$31*'E Balans VL '!I11/100/3.6*1000000</f>
        <v>28.622761097594108</v>
      </c>
      <c r="F11" s="33">
        <f>$C$31*('E Balans VL '!L11+'E Balans VL '!N11)/100/3.6*1000000</f>
        <v>134.9503808217973</v>
      </c>
      <c r="G11" s="34"/>
      <c r="H11" s="33"/>
      <c r="I11" s="33"/>
      <c r="J11" s="33">
        <f>$C$31*('E Balans VL '!D11+'E Balans VL '!E11)/100/3.6*1000000</f>
        <v>0</v>
      </c>
      <c r="K11" s="33"/>
      <c r="L11" s="33"/>
      <c r="M11" s="33"/>
      <c r="N11" s="33">
        <f>$C$31*'E Balans VL '!Y11/100/3.6*1000000</f>
        <v>2.4956579135401098</v>
      </c>
      <c r="O11" s="33"/>
      <c r="P11" s="33"/>
      <c r="R11" s="32"/>
    </row>
    <row r="12" spans="1:18">
      <c r="A12" s="32" t="s">
        <v>259</v>
      </c>
      <c r="B12" s="37">
        <f t="shared" si="0"/>
        <v>21181.480460000002</v>
      </c>
      <c r="C12" s="33"/>
      <c r="D12" s="37">
        <f>IF(ISERROR(TER_rest_gas_kWh/1000),0,TER_rest_gas_kWh/1000)*0.902</f>
        <v>50808.865103480006</v>
      </c>
      <c r="E12" s="33">
        <f>$C$32*'E Balans VL '!I8/100/3.6*1000000</f>
        <v>273.41876355101351</v>
      </c>
      <c r="F12" s="33">
        <f>$C$32*('E Balans VL '!L8+'E Balans VL '!N8)/100/3.6*1000000</f>
        <v>2433.4618993988452</v>
      </c>
      <c r="G12" s="34"/>
      <c r="H12" s="33"/>
      <c r="I12" s="33"/>
      <c r="J12" s="33">
        <f>$C$32*('E Balans VL '!D8+'E Balans VL '!E8)/100/3.6*1000000</f>
        <v>4.0593186622815178E-2</v>
      </c>
      <c r="K12" s="33"/>
      <c r="L12" s="33"/>
      <c r="M12" s="33"/>
      <c r="N12" s="33">
        <f>$C$32*'E Balans VL '!Y8/100/3.6*1000000</f>
        <v>1603.7946174473025</v>
      </c>
      <c r="O12" s="33"/>
      <c r="P12" s="33"/>
      <c r="R12" s="32"/>
    </row>
    <row r="13" spans="1:18">
      <c r="A13" s="16" t="s">
        <v>482</v>
      </c>
      <c r="B13" s="247">
        <f ca="1">'lokale energieproductie'!N91+'lokale energieproductie'!N60</f>
        <v>10341</v>
      </c>
      <c r="C13" s="247">
        <f ca="1">'lokale energieproductie'!O91+'lokale energieproductie'!O60</f>
        <v>12857.142857142857</v>
      </c>
      <c r="D13" s="310">
        <f ca="1">('lokale energieproductie'!P60+'lokale energieproductie'!P91)*(-1)</f>
        <v>-25714.285714285717</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-3831.4285714285716</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62105.297874000004</v>
      </c>
      <c r="C16" s="21">
        <f t="shared" ca="1" si="1"/>
        <v>12857.142857142857</v>
      </c>
      <c r="D16" s="21">
        <f t="shared" ca="1" si="1"/>
        <v>46171.107710856297</v>
      </c>
      <c r="E16" s="21">
        <f t="shared" si="1"/>
        <v>748.63853862348151</v>
      </c>
      <c r="F16" s="21">
        <f t="shared" ca="1" si="1"/>
        <v>5927.9489710135149</v>
      </c>
      <c r="G16" s="21">
        <f t="shared" si="1"/>
        <v>0</v>
      </c>
      <c r="H16" s="21">
        <f t="shared" si="1"/>
        <v>0</v>
      </c>
      <c r="I16" s="21">
        <f t="shared" si="1"/>
        <v>0</v>
      </c>
      <c r="J16" s="21">
        <f t="shared" si="1"/>
        <v>8.5607829023730098E-2</v>
      </c>
      <c r="K16" s="21">
        <f t="shared" si="1"/>
        <v>0</v>
      </c>
      <c r="L16" s="21">
        <f t="shared" ca="1" si="1"/>
        <v>0</v>
      </c>
      <c r="M16" s="21">
        <f t="shared" si="1"/>
        <v>0</v>
      </c>
      <c r="N16" s="21">
        <f t="shared" ca="1" si="1"/>
        <v>0</v>
      </c>
      <c r="O16" s="21">
        <f>O5</f>
        <v>24.486303829205774</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0.1192847673766995</v>
      </c>
      <c r="C18" s="25">
        <f ca="1">'EF ele_warmte'!B22</f>
        <v>0.17792855416111458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7408.2160097607211</v>
      </c>
      <c r="C20" s="23">
        <f t="shared" ref="C20:P20" ca="1" si="2">C16*C18</f>
        <v>2287.6528392143305</v>
      </c>
      <c r="D20" s="23">
        <f t="shared" ca="1" si="2"/>
        <v>9326.5637575929723</v>
      </c>
      <c r="E20" s="23">
        <f t="shared" si="2"/>
        <v>169.9409482675303</v>
      </c>
      <c r="F20" s="23">
        <f t="shared" ca="1" si="2"/>
        <v>1582.7623752606087</v>
      </c>
      <c r="G20" s="23">
        <f t="shared" si="2"/>
        <v>0</v>
      </c>
      <c r="H20" s="23">
        <f t="shared" si="2"/>
        <v>0</v>
      </c>
      <c r="I20" s="23">
        <f t="shared" si="2"/>
        <v>0</v>
      </c>
      <c r="J20" s="23">
        <f t="shared" si="2"/>
        <v>3.0305171474400452E-2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11525.46276</v>
      </c>
      <c r="C26" s="39">
        <f>IF(ISERROR(B26*3.6/1000000/'E Balans VL '!Z12*100),0,B26*3.6/1000000/'E Balans VL '!Z12*100)</f>
        <v>0.24450214786584826</v>
      </c>
      <c r="D26" s="237" t="s">
        <v>716</v>
      </c>
      <c r="F26" s="6"/>
    </row>
    <row r="27" spans="1:18">
      <c r="A27" s="231" t="s">
        <v>52</v>
      </c>
      <c r="B27" s="33">
        <f>IF(ISERROR(TER_horeca_ele_kWh/1000),0,TER_horeca_ele_kWh/1000)</f>
        <v>3362.8631909999999</v>
      </c>
      <c r="C27" s="39">
        <f>IF(ISERROR(B27*3.6/1000000/'E Balans VL '!Z9*100),0,B27*3.6/1000000/'E Balans VL '!Z9*100)</f>
        <v>0.2532533882279297</v>
      </c>
      <c r="D27" s="237" t="s">
        <v>716</v>
      </c>
      <c r="F27" s="6"/>
    </row>
    <row r="28" spans="1:18">
      <c r="A28" s="171" t="s">
        <v>51</v>
      </c>
      <c r="B28" s="33">
        <f>IF(ISERROR(TER_handel_ele_kWh/1000),0,TER_handel_ele_kWh/1000)</f>
        <v>11670.077869999999</v>
      </c>
      <c r="C28" s="39">
        <f>IF(ISERROR(B28*3.6/1000000/'E Balans VL '!Z13*100),0,B28*3.6/1000000/'E Balans VL '!Z13*100)</f>
        <v>0.33874101025398062</v>
      </c>
      <c r="D28" s="237" t="s">
        <v>716</v>
      </c>
      <c r="F28" s="6"/>
    </row>
    <row r="29" spans="1:18">
      <c r="A29" s="231" t="s">
        <v>50</v>
      </c>
      <c r="B29" s="33">
        <f>IF(ISERROR(TER_gezond_ele_kWh/1000),0,TER_gezond_ele_kWh/1000)</f>
        <v>250.59780499999999</v>
      </c>
      <c r="C29" s="39">
        <f>IF(ISERROR(B29*3.6/1000000/'E Balans VL '!Z10*100),0,B29*3.6/1000000/'E Balans VL '!Z10*100)</f>
        <v>2.527308748430436E-2</v>
      </c>
      <c r="D29" s="237" t="s">
        <v>716</v>
      </c>
      <c r="F29" s="6"/>
    </row>
    <row r="30" spans="1:18">
      <c r="A30" s="231" t="s">
        <v>49</v>
      </c>
      <c r="B30" s="33">
        <f>IF(ISERROR(TER_ander_ele_kWh/1000),0,TER_ander_ele_kWh/1000)</f>
        <v>2651.6551340000001</v>
      </c>
      <c r="C30" s="39">
        <f>IF(ISERROR(B30*3.6/1000000/'E Balans VL '!Z14*100),0,B30*3.6/1000000/'E Balans VL '!Z14*100)</f>
        <v>0.19241375518063625</v>
      </c>
      <c r="D30" s="237" t="s">
        <v>716</v>
      </c>
      <c r="F30" s="6"/>
    </row>
    <row r="31" spans="1:18">
      <c r="A31" s="231" t="s">
        <v>54</v>
      </c>
      <c r="B31" s="33">
        <f>IF(ISERROR(TER_onderwijs_ele_kWh/1000),0,TER_onderwijs_ele_kWh/1000)</f>
        <v>1122.160654</v>
      </c>
      <c r="C31" s="39">
        <f>IF(ISERROR(B31*3.6/1000000/'E Balans VL '!Z11*100),0,B31*3.6/1000000/'E Balans VL '!Z11*100)</f>
        <v>0.31986148289962613</v>
      </c>
      <c r="D31" s="237" t="s">
        <v>716</v>
      </c>
    </row>
    <row r="32" spans="1:18">
      <c r="A32" s="231" t="s">
        <v>259</v>
      </c>
      <c r="B32" s="33">
        <f>IF(ISERROR(TER_rest_ele_kWh/1000),0,TER_rest_ele_kWh/1000)</f>
        <v>21181.480460000002</v>
      </c>
      <c r="C32" s="39">
        <f>IF(ISERROR(B32*3.6/1000000/'E Balans VL '!Z8*100),0,B32*3.6/1000000/'E Balans VL '!Z8*100)</f>
        <v>0.17351437346274434</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5</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6</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101695.839372</v>
      </c>
      <c r="C5" s="17">
        <f>IF(ISERROR('Eigen informatie GS &amp; warmtenet'!B61),0,'Eigen informatie GS &amp; warmtenet'!B61)</f>
        <v>0</v>
      </c>
      <c r="D5" s="30">
        <f>SUM(D6:D15)</f>
        <v>67611.536881724009</v>
      </c>
      <c r="E5" s="17">
        <f>SUM(E6:E15)</f>
        <v>10463.441291927265</v>
      </c>
      <c r="F5" s="17">
        <f>SUM(F6:F15)</f>
        <v>34008.872085810784</v>
      </c>
      <c r="G5" s="18"/>
      <c r="H5" s="17"/>
      <c r="I5" s="17"/>
      <c r="J5" s="17">
        <f>SUM(J6:J15)</f>
        <v>953.40162694993933</v>
      </c>
      <c r="K5" s="17"/>
      <c r="L5" s="17"/>
      <c r="M5" s="17"/>
      <c r="N5" s="17">
        <f>SUM(N6:N15)</f>
        <v>4638.4490555034408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894.53453300000001</v>
      </c>
      <c r="C8" s="33"/>
      <c r="D8" s="37">
        <f>IF( ISERROR(IND_metaal_Gas_kWH/1000),0,IND_metaal_Gas_kWH/1000)*0.902</f>
        <v>706.913213864</v>
      </c>
      <c r="E8" s="33">
        <f>C30*'E Balans VL '!I18/100/3.6*1000000</f>
        <v>6.4534388125818065</v>
      </c>
      <c r="F8" s="33">
        <f>C30*'E Balans VL '!L18/100/3.6*1000000+C30*'E Balans VL '!N18/100/3.6*1000000</f>
        <v>84.606472760423969</v>
      </c>
      <c r="G8" s="34"/>
      <c r="H8" s="33"/>
      <c r="I8" s="33"/>
      <c r="J8" s="40">
        <f>C30*'E Balans VL '!D18/100/3.6*1000000+C30*'E Balans VL '!E18/100/3.6*1000000</f>
        <v>0.89972803160879355</v>
      </c>
      <c r="K8" s="33"/>
      <c r="L8" s="33"/>
      <c r="M8" s="33"/>
      <c r="N8" s="33">
        <f>C30*'E Balans VL '!Y18/100/3.6*1000000</f>
        <v>11.309283201837957</v>
      </c>
      <c r="O8" s="33"/>
      <c r="P8" s="33"/>
      <c r="R8" s="32"/>
    </row>
    <row r="9" spans="1:18">
      <c r="A9" s="6" t="s">
        <v>32</v>
      </c>
      <c r="B9" s="37">
        <f t="shared" si="0"/>
        <v>25464.747309999999</v>
      </c>
      <c r="C9" s="33"/>
      <c r="D9" s="37">
        <f>IF( ISERROR(IND_andere_gas_kWh/1000),0,IND_andere_gas_kWh/1000)*0.902</f>
        <v>3062.6583425240001</v>
      </c>
      <c r="E9" s="33">
        <f>C31*'E Balans VL '!I19/100/3.6*1000000</f>
        <v>7056.6219859319272</v>
      </c>
      <c r="F9" s="33">
        <f>C31*'E Balans VL '!L19/100/3.6*1000000+C31*'E Balans VL '!N19/100/3.6*1000000</f>
        <v>21105.237600271044</v>
      </c>
      <c r="G9" s="34"/>
      <c r="H9" s="33"/>
      <c r="I9" s="33"/>
      <c r="J9" s="40">
        <f>C31*'E Balans VL '!D19/100/3.6*1000000+C31*'E Balans VL '!E19/100/3.6*1000000</f>
        <v>0</v>
      </c>
      <c r="K9" s="33"/>
      <c r="L9" s="33"/>
      <c r="M9" s="33"/>
      <c r="N9" s="33">
        <f>C31*'E Balans VL '!Y19/100/3.6*1000000</f>
        <v>1848.4291871274597</v>
      </c>
      <c r="O9" s="33"/>
      <c r="P9" s="33"/>
      <c r="R9" s="32"/>
    </row>
    <row r="10" spans="1:18">
      <c r="A10" s="6" t="s">
        <v>40</v>
      </c>
      <c r="B10" s="37">
        <f t="shared" si="0"/>
        <v>215.917642</v>
      </c>
      <c r="C10" s="33"/>
      <c r="D10" s="37">
        <f>IF( ISERROR(IND_voed_gas_kWh/1000),0,IND_voed_gas_kWh/1000)*0.902</f>
        <v>438.69285042000007</v>
      </c>
      <c r="E10" s="33">
        <f>C32*'E Balans VL '!I20/100/3.6*1000000</f>
        <v>0.3822473623343034</v>
      </c>
      <c r="F10" s="33">
        <f>C32*'E Balans VL '!L20/100/3.6*1000000+C32*'E Balans VL '!N20/100/3.6*1000000</f>
        <v>11.661466328895226</v>
      </c>
      <c r="G10" s="34"/>
      <c r="H10" s="33"/>
      <c r="I10" s="33"/>
      <c r="J10" s="40">
        <f>C32*'E Balans VL '!D20/100/3.6*1000000+C32*'E Balans VL '!E20/100/3.6*1000000</f>
        <v>0</v>
      </c>
      <c r="K10" s="33"/>
      <c r="L10" s="33"/>
      <c r="M10" s="33"/>
      <c r="N10" s="33">
        <f>C32*'E Balans VL '!Y20/100/3.6*1000000</f>
        <v>12.546463983779754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3281.5882370000004</v>
      </c>
      <c r="C13" s="33"/>
      <c r="D13" s="37">
        <f>IF( ISERROR(IND_papier_gas_kWh/1000),0,IND_papier_gas_kWh/1000)*0.902</f>
        <v>1281.3239031559999</v>
      </c>
      <c r="E13" s="33">
        <f>C35*'E Balans VL '!I23/100/3.6*1000000</f>
        <v>4.8283431289736578</v>
      </c>
      <c r="F13" s="33">
        <f>C35*'E Balans VL '!L23/100/3.6*1000000+C35*'E Balans VL '!N23/100/3.6*1000000</f>
        <v>35.136971150770535</v>
      </c>
      <c r="G13" s="34"/>
      <c r="H13" s="33"/>
      <c r="I13" s="33"/>
      <c r="J13" s="40">
        <f>C35*'E Balans VL '!D23/100/3.6*1000000+C35*'E Balans VL '!E23/100/3.6*1000000</f>
        <v>359.02415531166235</v>
      </c>
      <c r="K13" s="33"/>
      <c r="L13" s="33"/>
      <c r="M13" s="33"/>
      <c r="N13" s="33">
        <f>C35*'E Balans VL '!Y23/100/3.6*1000000</f>
        <v>-29.728377540315556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71839.051650000009</v>
      </c>
      <c r="C15" s="33"/>
      <c r="D15" s="37">
        <f>IF( ISERROR(IND_rest_gas_kWh/1000),0,IND_rest_gas_kWh/1000)*0.902</f>
        <v>62121.948571760004</v>
      </c>
      <c r="E15" s="33">
        <f>C37*'E Balans VL '!I15/100/3.6*1000000</f>
        <v>3395.1552766914483</v>
      </c>
      <c r="F15" s="33">
        <f>C37*'E Balans VL '!L15/100/3.6*1000000+C37*'E Balans VL '!N15/100/3.6*1000000</f>
        <v>12772.229575299649</v>
      </c>
      <c r="G15" s="34"/>
      <c r="H15" s="33"/>
      <c r="I15" s="33"/>
      <c r="J15" s="40">
        <f>C37*'E Balans VL '!D15/100/3.6*1000000+C37*'E Balans VL '!E15/100/3.6*1000000</f>
        <v>593.47774360666813</v>
      </c>
      <c r="K15" s="33"/>
      <c r="L15" s="33"/>
      <c r="M15" s="33"/>
      <c r="N15" s="33">
        <f>C37*'E Balans VL '!Y15/100/3.6*1000000</f>
        <v>2795.8924987306787</v>
      </c>
      <c r="O15" s="33"/>
      <c r="P15" s="33"/>
      <c r="R15" s="32"/>
    </row>
    <row r="16" spans="1:18">
      <c r="A16" s="16" t="s">
        <v>482</v>
      </c>
      <c r="B16" s="247">
        <f>'lokale energieproductie'!N90+'lokale energieproductie'!N59</f>
        <v>549</v>
      </c>
      <c r="C16" s="247">
        <f>'lokale energieproductie'!O90+'lokale energieproductie'!O59</f>
        <v>784.28571428571433</v>
      </c>
      <c r="D16" s="310">
        <f>('lokale energieproductie'!P59+'lokale energieproductie'!P90)*(-1)</f>
        <v>-1568.5714285714287</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102244.839372</v>
      </c>
      <c r="C18" s="21">
        <f>C5+C16</f>
        <v>784.28571428571433</v>
      </c>
      <c r="D18" s="21">
        <f>MAX((D5+D16),0)</f>
        <v>66042.965453152574</v>
      </c>
      <c r="E18" s="21">
        <f>MAX((E5+E16),0)</f>
        <v>10463.441291927265</v>
      </c>
      <c r="F18" s="21">
        <f>MAX((F5+F16),0)</f>
        <v>34008.872085810784</v>
      </c>
      <c r="G18" s="21"/>
      <c r="H18" s="21"/>
      <c r="I18" s="21"/>
      <c r="J18" s="21">
        <f>MAX((J5+J16),0)</f>
        <v>953.40162694993933</v>
      </c>
      <c r="K18" s="21"/>
      <c r="L18" s="21">
        <f>MAX((L5+L16),0)</f>
        <v>0</v>
      </c>
      <c r="M18" s="21"/>
      <c r="N18" s="21">
        <f>MAX((N5+N16),0)</f>
        <v>4638.4490555034408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0.1192847673766995</v>
      </c>
      <c r="C20" s="25">
        <f ca="1">'EF ele_warmte'!B22</f>
        <v>0.17792855416111458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12196.251879957026</v>
      </c>
      <c r="C22" s="23">
        <f ca="1">C18*C20</f>
        <v>139.54682319207416</v>
      </c>
      <c r="D22" s="23">
        <f>D18*D20</f>
        <v>13340.67902153682</v>
      </c>
      <c r="E22" s="23">
        <f>E18*E20</f>
        <v>2375.2011732674891</v>
      </c>
      <c r="F22" s="23">
        <f>F18*F20</f>
        <v>9080.3688469114804</v>
      </c>
      <c r="G22" s="23"/>
      <c r="H22" s="23"/>
      <c r="I22" s="23"/>
      <c r="J22" s="23">
        <f>J18*J20</f>
        <v>337.50417594027851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894.53453300000001</v>
      </c>
      <c r="C30" s="39">
        <f>IF(ISERROR(B30*3.6/1000000/'E Balans VL '!Z18*100),0,B30*3.6/1000000/'E Balans VL '!Z18*100)</f>
        <v>5.164008280521766E-2</v>
      </c>
      <c r="D30" s="237" t="s">
        <v>716</v>
      </c>
    </row>
    <row r="31" spans="1:18">
      <c r="A31" s="6" t="s">
        <v>32</v>
      </c>
      <c r="B31" s="37">
        <f>IF( ISERROR(IND_ander_ele_kWh/1000),0,IND_ander_ele_kWh/1000)</f>
        <v>25464.747309999999</v>
      </c>
      <c r="C31" s="39">
        <f>IF(ISERROR(B31*3.6/1000000/'E Balans VL '!Z19*100),0,B31*3.6/1000000/'E Balans VL '!Z19*100)</f>
        <v>1.2807942489106543</v>
      </c>
      <c r="D31" s="237" t="s">
        <v>716</v>
      </c>
    </row>
    <row r="32" spans="1:18">
      <c r="A32" s="171" t="s">
        <v>40</v>
      </c>
      <c r="B32" s="37">
        <f>IF( ISERROR(IND_voed_ele_kWh/1000),0,IND_voed_ele_kWh/1000)</f>
        <v>215.917642</v>
      </c>
      <c r="C32" s="39">
        <f>IF(ISERROR(B32*3.6/1000000/'E Balans VL '!Z20*100),0,B32*3.6/1000000/'E Balans VL '!Z20*100)</f>
        <v>7.1913396511242038E-3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3281.5882370000004</v>
      </c>
      <c r="C35" s="39">
        <f>IF(ISERROR(B35*3.6/1000000/'E Balans VL '!Z22*100),0,B35*3.6/1000000/'E Balans VL '!Z22*100)</f>
        <v>0.61212704630049741</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71839.051650000009</v>
      </c>
      <c r="C37" s="39">
        <f>IF(ISERROR(B37*3.6/1000000/'E Balans VL '!Z15*100),0,B37*3.6/1000000/'E Balans VL '!Z15*100)</f>
        <v>0.56054105618152561</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25711.763072000002</v>
      </c>
      <c r="C5" s="17">
        <f>'Eigen informatie GS &amp; warmtenet'!B62</f>
        <v>0</v>
      </c>
      <c r="D5" s="30">
        <f>IF(ISERROR(SUM(LB_lb_gas_kWh,LB_rest_gas_kWh)/1000),0,SUM(LB_lb_gas_kWh,LB_rest_gas_kWh)/1000)*0.902</f>
        <v>371117.54882840003</v>
      </c>
      <c r="E5" s="17">
        <f>B17*'E Balans VL '!I25/3.6*1000000/100</f>
        <v>802.45564678365724</v>
      </c>
      <c r="F5" s="17">
        <f>B17*('E Balans VL '!L25/3.6*1000000+'E Balans VL '!N25/3.6*1000000)/100</f>
        <v>90868.218968726142</v>
      </c>
      <c r="G5" s="18"/>
      <c r="H5" s="17"/>
      <c r="I5" s="17"/>
      <c r="J5" s="17">
        <f>('E Balans VL '!D25+'E Balans VL '!E25)/3.6*1000000*landbouw!B17/100</f>
        <v>7083.7690358502105</v>
      </c>
      <c r="K5" s="17"/>
      <c r="L5" s="17">
        <f>L6*(-1)</f>
        <v>7020</v>
      </c>
      <c r="M5" s="17"/>
      <c r="N5" s="17">
        <f>N6*(-1)</f>
        <v>374.14285714285711</v>
      </c>
      <c r="O5" s="17"/>
      <c r="P5" s="17"/>
      <c r="R5" s="32"/>
    </row>
    <row r="6" spans="1:18">
      <c r="A6" s="16" t="s">
        <v>482</v>
      </c>
      <c r="B6" s="17" t="s">
        <v>210</v>
      </c>
      <c r="C6" s="17">
        <f>'lokale energieproductie'!O92+'lokale energieproductie'!O61</f>
        <v>213803.35714285716</v>
      </c>
      <c r="D6" s="310">
        <f>('lokale energieproductie'!P61+'lokale energieproductie'!P92)*(-1)</f>
        <v>-310905</v>
      </c>
      <c r="E6" s="248"/>
      <c r="F6" s="310">
        <f>('lokale energieproductie'!S61+'lokale energieproductie'!S92)*(-1)</f>
        <v>-2340</v>
      </c>
      <c r="G6" s="249"/>
      <c r="H6" s="248"/>
      <c r="I6" s="248"/>
      <c r="J6" s="248"/>
      <c r="K6" s="248"/>
      <c r="L6" s="310">
        <f>('lokale energieproductie'!T61+'lokale energieproductie'!U61+'lokale energieproductie'!T92+'lokale energieproductie'!U92)*(-1)</f>
        <v>-7020</v>
      </c>
      <c r="M6" s="248"/>
      <c r="N6" s="310">
        <f>('lokale energieproductie'!V61+'lokale energieproductie'!R61+'lokale energieproductie'!Q61+'lokale energieproductie'!Q92+'lokale energieproductie'!R92+'lokale energieproductie'!V92)*(-1)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25711.763072000002</v>
      </c>
      <c r="C8" s="21">
        <f>C5+C6</f>
        <v>213803.35714285716</v>
      </c>
      <c r="D8" s="21">
        <f>MAX((D5+D6),0)</f>
        <v>60212.548828400031</v>
      </c>
      <c r="E8" s="21">
        <f>MAX((E5+E6),0)</f>
        <v>802.45564678365724</v>
      </c>
      <c r="F8" s="21">
        <f>MAX((F5+F6),0)</f>
        <v>88528.218968726142</v>
      </c>
      <c r="G8" s="21"/>
      <c r="H8" s="21"/>
      <c r="I8" s="21"/>
      <c r="J8" s="21">
        <f>MAX((J5+J6),0)</f>
        <v>7083.7690358502105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0.1192847673766995</v>
      </c>
      <c r="C10" s="31">
        <f ca="1">'EF ele_warmte'!B22</f>
        <v>0.17792855416111458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3067.0216768883329</v>
      </c>
      <c r="C12" s="23">
        <f ca="1">C8*C10</f>
        <v>38041.722211220986</v>
      </c>
      <c r="D12" s="23">
        <f>D8*D10</f>
        <v>12162.934863336806</v>
      </c>
      <c r="E12" s="23">
        <f>E8*E10</f>
        <v>182.15743181989021</v>
      </c>
      <c r="F12" s="23">
        <f>F8*F10</f>
        <v>23637.034464649882</v>
      </c>
      <c r="G12" s="23"/>
      <c r="H12" s="23"/>
      <c r="I12" s="23"/>
      <c r="J12" s="23">
        <f>J8*J10</f>
        <v>2507.6542386909746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3.8222379000296325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1999.4592541284665</v>
      </c>
      <c r="C26" s="247">
        <f>B26*'GWP N2O_CH4'!B5</f>
        <v>41988.644336697798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1515.3295766977433</v>
      </c>
      <c r="C27" s="247">
        <f>B27*'GWP N2O_CH4'!B5</f>
        <v>31821.921110652609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28.167742668584136</v>
      </c>
      <c r="C28" s="247">
        <f>B28*'GWP N2O_CH4'!B4</f>
        <v>8732.0002272610818</v>
      </c>
      <c r="D28" s="50"/>
    </row>
    <row r="29" spans="1:4">
      <c r="A29" s="41" t="s">
        <v>276</v>
      </c>
      <c r="B29" s="247">
        <f>B34*'ha_N2O bodem landbouw'!B4</f>
        <v>42.581204119101216</v>
      </c>
      <c r="C29" s="247">
        <f>B29*'GWP N2O_CH4'!B4</f>
        <v>13200.173276921378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9.3372914059768816E-3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5.1503048827499995E-4</v>
      </c>
      <c r="C5" s="463" t="s">
        <v>210</v>
      </c>
      <c r="D5" s="448">
        <f>SUM(D6:D11)</f>
        <v>2.0434498158278121E-3</v>
      </c>
      <c r="E5" s="448">
        <f>SUM(E6:E11)</f>
        <v>1.7740305416241249E-3</v>
      </c>
      <c r="F5" s="461" t="s">
        <v>210</v>
      </c>
      <c r="G5" s="448">
        <f>SUM(G6:G11)</f>
        <v>0.88621177482498692</v>
      </c>
      <c r="H5" s="448">
        <f>SUM(H6:H11)</f>
        <v>0.15566006432687252</v>
      </c>
      <c r="I5" s="463" t="s">
        <v>210</v>
      </c>
      <c r="J5" s="463" t="s">
        <v>210</v>
      </c>
      <c r="K5" s="463" t="s">
        <v>210</v>
      </c>
      <c r="L5" s="463" t="s">
        <v>210</v>
      </c>
      <c r="M5" s="448">
        <f>SUM(M6:M11)</f>
        <v>6.1327187164738291E-2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1.6276606649999998E-4</v>
      </c>
      <c r="C6" s="449"/>
      <c r="D6" s="917">
        <f>vkm_2011_GW_PW*SUMIFS(TableVerdeelsleutelVkm[CNG],TableVerdeelsleutelVkm[Voertuigtype],"Lichte voertuigen")*SUMIFS(TableECFTransport[EnergieConsumptieFactor (PJ per km)],TableECFTransport[Index],CONCATENATE($A6,"_CNG_CNG"))</f>
        <v>5.6596533756839997E-4</v>
      </c>
      <c r="E6" s="917">
        <f>vkm_2011_GW_PW*SUMIFS(TableVerdeelsleutelVkm[LPG],TableVerdeelsleutelVkm[Voertuigtype],"Lichte voertuigen")*SUMIFS(TableECFTransport[EnergieConsumptieFactor (PJ per km)],TableECFTransport[Index],CONCATENATE($A6,"_LPG_LPG"))</f>
        <v>4.4588744027999997E-4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0.1213757457740231</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4.247344943333424E-2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9.7910192628682634E-3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9.0140846535038982E-2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2.2709384018155608E-5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5.1978028308263171E-3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7.8462149859999988E-5</v>
      </c>
      <c r="C8" s="449"/>
      <c r="D8" s="451">
        <f>vkm_2011_NGW_PW*SUMIFS(TableVerdeelsleutelVkm[CNG],TableVerdeelsleutelVkm[Voertuigtype],"Lichte voertuigen")*SUMIFS(TableECFTransport[EnergieConsumptieFactor (PJ per km)],TableECFTransport[Index],CONCATENATE($A8,"_CNG_CNG"))</f>
        <v>4.8283239112416001E-4</v>
      </c>
      <c r="E8" s="451">
        <f>vkm_2011_NGW_PW*SUMIFS(TableVerdeelsleutelVkm[LPG],TableVerdeelsleutelVkm[Voertuigtype],"Lichte voertuigen")*SUMIFS(TableECFTransport[EnergieConsumptieFactor (PJ per km)],TableECFTransport[Index],CONCATENATE($A8,"_LPG_LPG"))</f>
        <v>3.5264722952869996E-4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8.9080133642232287E-2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3.5307331561963924E-2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7.4578638160352744E-3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6.5738653482315234E-3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1.5626856238332303E-6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3.7906346436941994E-4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2.7380227191499998E-4</v>
      </c>
      <c r="C10" s="449"/>
      <c r="D10" s="451">
        <f>vkm_2011_SW_PW*SUMIFS(TableVerdeelsleutelVkm[CNG],TableVerdeelsleutelVkm[Voertuigtype],"Lichte voertuigen")*SUMIFS(TableECFTransport[EnergieConsumptieFactor (PJ per km)],TableECFTransport[Index],CONCATENATE($A10,"_CNG_CNG"))</f>
        <v>9.9465208713525209E-4</v>
      </c>
      <c r="E10" s="451">
        <f>vkm_2011_SW_PW*SUMIFS(TableVerdeelsleutelVkm[LPG],TableVerdeelsleutelVkm[Voertuigtype],"Lichte voertuigen")*SUMIFS(TableECFTransport[EnergieConsumptieFactor (PJ per km)],TableECFTransport[Index],CONCATENATE($A10,"_LPG_LPG"))</f>
        <v>9.7549587181542502E-4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0.23588010819839617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7.776137542430181E-2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1.8713225574625743E-2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0.34316107532706486</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9.3635837630570286E-5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1.9788212216013269E-2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143.06402452083333</v>
      </c>
      <c r="C14" s="21"/>
      <c r="D14" s="21">
        <f t="shared" ref="D14:M14" si="0">((D5)*10^9/3600)+D12</f>
        <v>567.62494884105888</v>
      </c>
      <c r="E14" s="21">
        <f t="shared" si="0"/>
        <v>492.78626156225693</v>
      </c>
      <c r="F14" s="21"/>
      <c r="G14" s="21">
        <f t="shared" si="0"/>
        <v>246169.93745138525</v>
      </c>
      <c r="H14" s="21">
        <f t="shared" si="0"/>
        <v>43238.906757464589</v>
      </c>
      <c r="I14" s="21"/>
      <c r="J14" s="21"/>
      <c r="K14" s="21"/>
      <c r="L14" s="21"/>
      <c r="M14" s="21">
        <f t="shared" si="0"/>
        <v>17035.329767982857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0.1192847673766995</v>
      </c>
      <c r="C16" s="56">
        <f ca="1">'EF ele_warmte'!B22</f>
        <v>0.17792855416111458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17.065358884942036</v>
      </c>
      <c r="C18" s="23"/>
      <c r="D18" s="23">
        <f t="shared" ref="D18:M18" si="1">D14*D16</f>
        <v>114.6602396658939</v>
      </c>
      <c r="E18" s="23">
        <f t="shared" si="1"/>
        <v>111.86248137463232</v>
      </c>
      <c r="F18" s="23"/>
      <c r="G18" s="23">
        <f t="shared" si="1"/>
        <v>65727.373299519866</v>
      </c>
      <c r="H18" s="23">
        <f t="shared" si="1"/>
        <v>10766.487782608683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5.8810072567524463E-3</v>
      </c>
      <c r="H50" s="321">
        <f t="shared" si="2"/>
        <v>0</v>
      </c>
      <c r="I50" s="321">
        <f t="shared" si="2"/>
        <v>0</v>
      </c>
      <c r="J50" s="321">
        <f t="shared" si="2"/>
        <v>0</v>
      </c>
      <c r="K50" s="321">
        <f t="shared" si="2"/>
        <v>0</v>
      </c>
      <c r="L50" s="321">
        <f t="shared" si="2"/>
        <v>0</v>
      </c>
      <c r="M50" s="321">
        <f t="shared" si="2"/>
        <v>3.2686703402800779E-4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5.8810072567524463E-3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3.2686703402800779E-4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1633.6131268756794</v>
      </c>
      <c r="H54" s="21">
        <f t="shared" si="3"/>
        <v>0</v>
      </c>
      <c r="I54" s="21">
        <f t="shared" si="3"/>
        <v>0</v>
      </c>
      <c r="J54" s="21">
        <f t="shared" si="3"/>
        <v>0</v>
      </c>
      <c r="K54" s="21">
        <f t="shared" si="3"/>
        <v>0</v>
      </c>
      <c r="L54" s="21">
        <f t="shared" si="3"/>
        <v>0</v>
      </c>
      <c r="M54" s="21">
        <f t="shared" si="3"/>
        <v>90.796398341113274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0.1192847673766995</v>
      </c>
      <c r="C56" s="56">
        <f ca="1">'EF ele_warmte'!B22</f>
        <v>0.17792855416111458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436.17470487580641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63545.460874000004</v>
      </c>
      <c r="D10" s="712">
        <f ca="1">tertiair!C16</f>
        <v>12857.142857142857</v>
      </c>
      <c r="E10" s="712">
        <f ca="1">tertiair!D16</f>
        <v>46171.107710856297</v>
      </c>
      <c r="F10" s="712">
        <f>tertiair!E16</f>
        <v>748.63853862348151</v>
      </c>
      <c r="G10" s="712">
        <f ca="1">tertiair!F16</f>
        <v>5927.9489710135149</v>
      </c>
      <c r="H10" s="712">
        <f>tertiair!G16</f>
        <v>0</v>
      </c>
      <c r="I10" s="712">
        <f>tertiair!H16</f>
        <v>0</v>
      </c>
      <c r="J10" s="712">
        <f>tertiair!I16</f>
        <v>0</v>
      </c>
      <c r="K10" s="712">
        <f>tertiair!J16</f>
        <v>8.5607829023730098E-2</v>
      </c>
      <c r="L10" s="712">
        <f>tertiair!K16</f>
        <v>0</v>
      </c>
      <c r="M10" s="712">
        <f ca="1">tertiair!L16</f>
        <v>0</v>
      </c>
      <c r="N10" s="712">
        <f>tertiair!M16</f>
        <v>0</v>
      </c>
      <c r="O10" s="712">
        <f ca="1">tertiair!N16</f>
        <v>0</v>
      </c>
      <c r="P10" s="712">
        <f>tertiair!O16</f>
        <v>24.486303829205774</v>
      </c>
      <c r="Q10" s="713">
        <f>tertiair!P16</f>
        <v>315.23482983897009</v>
      </c>
      <c r="R10" s="715">
        <f ca="1">SUM(C10:Q10)</f>
        <v>129590.10569313334</v>
      </c>
      <c r="S10" s="67"/>
    </row>
    <row r="11" spans="1:19" s="474" customFormat="1">
      <c r="A11" s="834" t="s">
        <v>224</v>
      </c>
      <c r="B11" s="839"/>
      <c r="C11" s="712">
        <f>huishoudens!B8</f>
        <v>36706.810076387628</v>
      </c>
      <c r="D11" s="712">
        <f>huishoudens!C8</f>
        <v>0</v>
      </c>
      <c r="E11" s="712">
        <f>huishoudens!D8</f>
        <v>90267.089344762004</v>
      </c>
      <c r="F11" s="712">
        <f>huishoudens!E8</f>
        <v>20884.074210735303</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31046.989928124396</v>
      </c>
      <c r="P11" s="712">
        <f>huishoudens!O8</f>
        <v>698.35329322423524</v>
      </c>
      <c r="Q11" s="713">
        <f>huishoudens!P8</f>
        <v>1285.1430355375728</v>
      </c>
      <c r="R11" s="715">
        <f>SUM(C11:Q11)</f>
        <v>180888.45988877112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102244.839372</v>
      </c>
      <c r="D13" s="712">
        <f>industrie!C18</f>
        <v>784.28571428571433</v>
      </c>
      <c r="E13" s="712">
        <f>industrie!D18</f>
        <v>66042.965453152574</v>
      </c>
      <c r="F13" s="712">
        <f>industrie!E18</f>
        <v>10463.441291927265</v>
      </c>
      <c r="G13" s="712">
        <f>industrie!F18</f>
        <v>34008.872085810784</v>
      </c>
      <c r="H13" s="712">
        <f>industrie!G18</f>
        <v>0</v>
      </c>
      <c r="I13" s="712">
        <f>industrie!H18</f>
        <v>0</v>
      </c>
      <c r="J13" s="712">
        <f>industrie!I18</f>
        <v>0</v>
      </c>
      <c r="K13" s="712">
        <f>industrie!J18</f>
        <v>953.40162694993933</v>
      </c>
      <c r="L13" s="712">
        <f>industrie!K18</f>
        <v>0</v>
      </c>
      <c r="M13" s="712">
        <f>industrie!L18</f>
        <v>0</v>
      </c>
      <c r="N13" s="712">
        <f>industrie!M18</f>
        <v>0</v>
      </c>
      <c r="O13" s="712">
        <f>industrie!N18</f>
        <v>4638.4490555034408</v>
      </c>
      <c r="P13" s="712">
        <f>industrie!O18</f>
        <v>0</v>
      </c>
      <c r="Q13" s="713">
        <f>industrie!P18</f>
        <v>0</v>
      </c>
      <c r="R13" s="715">
        <f>SUM(C13:Q13)</f>
        <v>219136.25459962973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202497.11032238766</v>
      </c>
      <c r="D16" s="748">
        <f t="shared" ref="D16:R16" ca="1" si="0">SUM(D9:D15)</f>
        <v>13641.428571428571</v>
      </c>
      <c r="E16" s="748">
        <f t="shared" ca="1" si="0"/>
        <v>202481.16250877088</v>
      </c>
      <c r="F16" s="748">
        <f t="shared" si="0"/>
        <v>32096.154041286049</v>
      </c>
      <c r="G16" s="748">
        <f t="shared" ca="1" si="0"/>
        <v>39936.821056824301</v>
      </c>
      <c r="H16" s="748">
        <f t="shared" si="0"/>
        <v>0</v>
      </c>
      <c r="I16" s="748">
        <f t="shared" si="0"/>
        <v>0</v>
      </c>
      <c r="J16" s="748">
        <f t="shared" si="0"/>
        <v>0</v>
      </c>
      <c r="K16" s="748">
        <f t="shared" si="0"/>
        <v>953.48723477896306</v>
      </c>
      <c r="L16" s="748">
        <f t="shared" si="0"/>
        <v>0</v>
      </c>
      <c r="M16" s="748">
        <f t="shared" ca="1" si="0"/>
        <v>0</v>
      </c>
      <c r="N16" s="748">
        <f t="shared" si="0"/>
        <v>0</v>
      </c>
      <c r="O16" s="748">
        <f t="shared" ca="1" si="0"/>
        <v>35685.438983627835</v>
      </c>
      <c r="P16" s="748">
        <f t="shared" si="0"/>
        <v>722.83959705344103</v>
      </c>
      <c r="Q16" s="748">
        <f t="shared" si="0"/>
        <v>1600.377865376543</v>
      </c>
      <c r="R16" s="748">
        <f t="shared" ca="1" si="0"/>
        <v>529614.82018153416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1633.6131268756794</v>
      </c>
      <c r="I19" s="712">
        <f>transport!H54</f>
        <v>0</v>
      </c>
      <c r="J19" s="712">
        <f>transport!I54</f>
        <v>0</v>
      </c>
      <c r="K19" s="712">
        <f>transport!J54</f>
        <v>0</v>
      </c>
      <c r="L19" s="712">
        <f>transport!K54</f>
        <v>0</v>
      </c>
      <c r="M19" s="712">
        <f>transport!L54</f>
        <v>0</v>
      </c>
      <c r="N19" s="712">
        <f>transport!M54</f>
        <v>90.796398341113274</v>
      </c>
      <c r="O19" s="712">
        <f>transport!N54</f>
        <v>0</v>
      </c>
      <c r="P19" s="712">
        <f>transport!O54</f>
        <v>0</v>
      </c>
      <c r="Q19" s="713">
        <f>transport!P54</f>
        <v>0</v>
      </c>
      <c r="R19" s="715">
        <f>SUM(C19:Q19)</f>
        <v>1724.4095252167926</v>
      </c>
      <c r="S19" s="67"/>
    </row>
    <row r="20" spans="1:19" s="474" customFormat="1">
      <c r="A20" s="834" t="s">
        <v>306</v>
      </c>
      <c r="B20" s="839"/>
      <c r="C20" s="712">
        <f>transport!B14</f>
        <v>143.06402452083333</v>
      </c>
      <c r="D20" s="712">
        <f>transport!C14</f>
        <v>0</v>
      </c>
      <c r="E20" s="712">
        <f>transport!D14</f>
        <v>567.62494884105888</v>
      </c>
      <c r="F20" s="712">
        <f>transport!E14</f>
        <v>492.78626156225693</v>
      </c>
      <c r="G20" s="712">
        <f>transport!F14</f>
        <v>0</v>
      </c>
      <c r="H20" s="712">
        <f>transport!G14</f>
        <v>246169.93745138525</v>
      </c>
      <c r="I20" s="712">
        <f>transport!H14</f>
        <v>43238.906757464589</v>
      </c>
      <c r="J20" s="712">
        <f>transport!I14</f>
        <v>0</v>
      </c>
      <c r="K20" s="712">
        <f>transport!J14</f>
        <v>0</v>
      </c>
      <c r="L20" s="712">
        <f>transport!K14</f>
        <v>0</v>
      </c>
      <c r="M20" s="712">
        <f>transport!L14</f>
        <v>0</v>
      </c>
      <c r="N20" s="712">
        <f>transport!M14</f>
        <v>17035.329767982857</v>
      </c>
      <c r="O20" s="712">
        <f>transport!N14</f>
        <v>0</v>
      </c>
      <c r="P20" s="712">
        <f>transport!O14</f>
        <v>0</v>
      </c>
      <c r="Q20" s="713">
        <f>transport!P14</f>
        <v>0</v>
      </c>
      <c r="R20" s="715">
        <f>SUM(C20:Q20)</f>
        <v>307647.64921175689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143.06402452083333</v>
      </c>
      <c r="D22" s="837">
        <f t="shared" ref="D22:R22" si="1">SUM(D18:D21)</f>
        <v>0</v>
      </c>
      <c r="E22" s="837">
        <f t="shared" si="1"/>
        <v>567.62494884105888</v>
      </c>
      <c r="F22" s="837">
        <f t="shared" si="1"/>
        <v>492.78626156225693</v>
      </c>
      <c r="G22" s="837">
        <f t="shared" si="1"/>
        <v>0</v>
      </c>
      <c r="H22" s="837">
        <f t="shared" si="1"/>
        <v>247803.55057826094</v>
      </c>
      <c r="I22" s="837">
        <f t="shared" si="1"/>
        <v>43238.906757464589</v>
      </c>
      <c r="J22" s="837">
        <f t="shared" si="1"/>
        <v>0</v>
      </c>
      <c r="K22" s="837">
        <f t="shared" si="1"/>
        <v>0</v>
      </c>
      <c r="L22" s="837">
        <f t="shared" si="1"/>
        <v>0</v>
      </c>
      <c r="M22" s="837">
        <f t="shared" si="1"/>
        <v>0</v>
      </c>
      <c r="N22" s="837">
        <f t="shared" si="1"/>
        <v>17126.126166323971</v>
      </c>
      <c r="O22" s="837">
        <f t="shared" si="1"/>
        <v>0</v>
      </c>
      <c r="P22" s="837">
        <f t="shared" si="1"/>
        <v>0</v>
      </c>
      <c r="Q22" s="837">
        <f t="shared" si="1"/>
        <v>0</v>
      </c>
      <c r="R22" s="837">
        <f t="shared" si="1"/>
        <v>309372.05873697367</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25711.763072000002</v>
      </c>
      <c r="D24" s="712">
        <f>+landbouw!C8</f>
        <v>213803.35714285716</v>
      </c>
      <c r="E24" s="712">
        <f>+landbouw!D8</f>
        <v>60212.548828400031</v>
      </c>
      <c r="F24" s="712">
        <f>+landbouw!E8</f>
        <v>802.45564678365724</v>
      </c>
      <c r="G24" s="712">
        <f>+landbouw!F8</f>
        <v>88528.218968726142</v>
      </c>
      <c r="H24" s="712">
        <f>+landbouw!G8</f>
        <v>0</v>
      </c>
      <c r="I24" s="712">
        <f>+landbouw!H8</f>
        <v>0</v>
      </c>
      <c r="J24" s="712">
        <f>+landbouw!I8</f>
        <v>0</v>
      </c>
      <c r="K24" s="712">
        <f>+landbouw!J8</f>
        <v>7083.7690358502105</v>
      </c>
      <c r="L24" s="712">
        <f>+landbouw!K8</f>
        <v>0</v>
      </c>
      <c r="M24" s="712">
        <f>+landbouw!L8</f>
        <v>0</v>
      </c>
      <c r="N24" s="712">
        <f>+landbouw!M8</f>
        <v>0</v>
      </c>
      <c r="O24" s="712">
        <f>+landbouw!N8</f>
        <v>0</v>
      </c>
      <c r="P24" s="712">
        <f>+landbouw!O8</f>
        <v>0</v>
      </c>
      <c r="Q24" s="713">
        <f>+landbouw!P8</f>
        <v>0</v>
      </c>
      <c r="R24" s="715">
        <f>SUM(C24:Q24)</f>
        <v>396142.11269461713</v>
      </c>
      <c r="S24" s="67"/>
    </row>
    <row r="25" spans="1:19" s="474" customFormat="1" ht="15" thickBot="1">
      <c r="A25" s="856" t="s">
        <v>734</v>
      </c>
      <c r="B25" s="982"/>
      <c r="C25" s="983">
        <f>IF(Onbekend_ele_kWh="---",0,Onbekend_ele_kWh)/1000+IF(REST_rest_ele_kWh="---",0,REST_rest_ele_kWh)/1000</f>
        <v>1657.1711749999999</v>
      </c>
      <c r="D25" s="983"/>
      <c r="E25" s="983">
        <f>IF(onbekend_gas_kWh="---",0,onbekend_gas_kWh)/1000+IF(REST_rest_gas_kWh="---",0,REST_rest_gas_kWh)/1000</f>
        <v>2657.5286970000002</v>
      </c>
      <c r="F25" s="983"/>
      <c r="G25" s="983"/>
      <c r="H25" s="983"/>
      <c r="I25" s="983"/>
      <c r="J25" s="983"/>
      <c r="K25" s="983"/>
      <c r="L25" s="983"/>
      <c r="M25" s="983"/>
      <c r="N25" s="983"/>
      <c r="O25" s="983"/>
      <c r="P25" s="983"/>
      <c r="Q25" s="984"/>
      <c r="R25" s="715">
        <f>SUM(C25:Q25)</f>
        <v>4314.6998720000001</v>
      </c>
      <c r="S25" s="67"/>
    </row>
    <row r="26" spans="1:19" s="474" customFormat="1" ht="15.75" thickBot="1">
      <c r="A26" s="720" t="s">
        <v>735</v>
      </c>
      <c r="B26" s="842"/>
      <c r="C26" s="837">
        <f>SUM(C24:C25)</f>
        <v>27368.934247000001</v>
      </c>
      <c r="D26" s="837">
        <f t="shared" ref="D26:R26" si="2">SUM(D24:D25)</f>
        <v>213803.35714285716</v>
      </c>
      <c r="E26" s="837">
        <f t="shared" si="2"/>
        <v>62870.077525400033</v>
      </c>
      <c r="F26" s="837">
        <f t="shared" si="2"/>
        <v>802.45564678365724</v>
      </c>
      <c r="G26" s="837">
        <f t="shared" si="2"/>
        <v>88528.218968726142</v>
      </c>
      <c r="H26" s="837">
        <f t="shared" si="2"/>
        <v>0</v>
      </c>
      <c r="I26" s="837">
        <f t="shared" si="2"/>
        <v>0</v>
      </c>
      <c r="J26" s="837">
        <f t="shared" si="2"/>
        <v>0</v>
      </c>
      <c r="K26" s="837">
        <f t="shared" si="2"/>
        <v>7083.7690358502105</v>
      </c>
      <c r="L26" s="837">
        <f t="shared" si="2"/>
        <v>0</v>
      </c>
      <c r="M26" s="837">
        <f t="shared" si="2"/>
        <v>0</v>
      </c>
      <c r="N26" s="837">
        <f t="shared" si="2"/>
        <v>0</v>
      </c>
      <c r="O26" s="837">
        <f t="shared" si="2"/>
        <v>0</v>
      </c>
      <c r="P26" s="837">
        <f t="shared" si="2"/>
        <v>0</v>
      </c>
      <c r="Q26" s="837">
        <f t="shared" si="2"/>
        <v>0</v>
      </c>
      <c r="R26" s="837">
        <f t="shared" si="2"/>
        <v>400456.81256661715</v>
      </c>
      <c r="S26" s="67"/>
    </row>
    <row r="27" spans="1:19" s="474" customFormat="1" ht="17.25" thickTop="1" thickBot="1">
      <c r="A27" s="721" t="s">
        <v>115</v>
      </c>
      <c r="B27" s="829"/>
      <c r="C27" s="722">
        <f ca="1">C22+C16+C26</f>
        <v>230009.10859390849</v>
      </c>
      <c r="D27" s="722">
        <f t="shared" ref="D27:R27" ca="1" si="3">D22+D16+D26</f>
        <v>227444.78571428574</v>
      </c>
      <c r="E27" s="722">
        <f t="shared" ca="1" si="3"/>
        <v>265918.86498301197</v>
      </c>
      <c r="F27" s="722">
        <f t="shared" si="3"/>
        <v>33391.395949631966</v>
      </c>
      <c r="G27" s="722">
        <f t="shared" ca="1" si="3"/>
        <v>128465.04002555044</v>
      </c>
      <c r="H27" s="722">
        <f t="shared" si="3"/>
        <v>247803.55057826094</v>
      </c>
      <c r="I27" s="722">
        <f t="shared" si="3"/>
        <v>43238.906757464589</v>
      </c>
      <c r="J27" s="722">
        <f t="shared" si="3"/>
        <v>0</v>
      </c>
      <c r="K27" s="722">
        <f t="shared" si="3"/>
        <v>8037.2562706291737</v>
      </c>
      <c r="L27" s="722">
        <f t="shared" si="3"/>
        <v>0</v>
      </c>
      <c r="M27" s="722">
        <f t="shared" ca="1" si="3"/>
        <v>0</v>
      </c>
      <c r="N27" s="722">
        <f t="shared" si="3"/>
        <v>17126.126166323971</v>
      </c>
      <c r="O27" s="722">
        <f t="shared" ca="1" si="3"/>
        <v>35685.438983627835</v>
      </c>
      <c r="P27" s="722">
        <f t="shared" si="3"/>
        <v>722.83959705344103</v>
      </c>
      <c r="Q27" s="722">
        <f t="shared" si="3"/>
        <v>1600.377865376543</v>
      </c>
      <c r="R27" s="722">
        <f t="shared" ca="1" si="3"/>
        <v>1239443.6914851251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7580.0055182002507</v>
      </c>
      <c r="D40" s="712">
        <f ca="1">tertiair!C20</f>
        <v>2287.6528392143305</v>
      </c>
      <c r="E40" s="712">
        <f ca="1">tertiair!D20</f>
        <v>9326.5637575929723</v>
      </c>
      <c r="F40" s="712">
        <f>tertiair!E20</f>
        <v>169.9409482675303</v>
      </c>
      <c r="G40" s="712">
        <f ca="1">tertiair!F20</f>
        <v>1582.7623752606087</v>
      </c>
      <c r="H40" s="712">
        <f>tertiair!G20</f>
        <v>0</v>
      </c>
      <c r="I40" s="712">
        <f>tertiair!H20</f>
        <v>0</v>
      </c>
      <c r="J40" s="712">
        <f>tertiair!I20</f>
        <v>0</v>
      </c>
      <c r="K40" s="712">
        <f>tertiair!J20</f>
        <v>3.0305171474400452E-2</v>
      </c>
      <c r="L40" s="712">
        <f>tertiair!K20</f>
        <v>0</v>
      </c>
      <c r="M40" s="712">
        <f ca="1">tertiair!L20</f>
        <v>0</v>
      </c>
      <c r="N40" s="712">
        <f>tertiair!M20</f>
        <v>0</v>
      </c>
      <c r="O40" s="712">
        <f ca="1">tertiair!N20</f>
        <v>0</v>
      </c>
      <c r="P40" s="712">
        <f>tertiair!O20</f>
        <v>0</v>
      </c>
      <c r="Q40" s="795">
        <f>tertiair!P20</f>
        <v>0</v>
      </c>
      <c r="R40" s="875">
        <f t="shared" ca="1" si="4"/>
        <v>20946.955743707163</v>
      </c>
    </row>
    <row r="41" spans="1:18">
      <c r="A41" s="847" t="s">
        <v>224</v>
      </c>
      <c r="B41" s="854"/>
      <c r="C41" s="712">
        <f ca="1">huishoudens!B12</f>
        <v>4378.5633011025875</v>
      </c>
      <c r="D41" s="712">
        <f ca="1">huishoudens!C12</f>
        <v>0</v>
      </c>
      <c r="E41" s="712">
        <f>huishoudens!D12</f>
        <v>18233.952047641927</v>
      </c>
      <c r="F41" s="712">
        <f>huishoudens!E12</f>
        <v>4740.6848458369141</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27353.200194581426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12196.251879957026</v>
      </c>
      <c r="D43" s="712">
        <f ca="1">industrie!C22</f>
        <v>139.54682319207416</v>
      </c>
      <c r="E43" s="712">
        <f>industrie!D22</f>
        <v>13340.67902153682</v>
      </c>
      <c r="F43" s="712">
        <f>industrie!E22</f>
        <v>2375.2011732674891</v>
      </c>
      <c r="G43" s="712">
        <f>industrie!F22</f>
        <v>9080.3688469114804</v>
      </c>
      <c r="H43" s="712">
        <f>industrie!G22</f>
        <v>0</v>
      </c>
      <c r="I43" s="712">
        <f>industrie!H22</f>
        <v>0</v>
      </c>
      <c r="J43" s="712">
        <f>industrie!I22</f>
        <v>0</v>
      </c>
      <c r="K43" s="712">
        <f>industrie!J22</f>
        <v>337.50417594027851</v>
      </c>
      <c r="L43" s="712">
        <f>industrie!K22</f>
        <v>0</v>
      </c>
      <c r="M43" s="712">
        <f>industrie!L22</f>
        <v>0</v>
      </c>
      <c r="N43" s="712">
        <f>industrie!M22</f>
        <v>0</v>
      </c>
      <c r="O43" s="712">
        <f>industrie!N22</f>
        <v>0</v>
      </c>
      <c r="P43" s="712">
        <f>industrie!O22</f>
        <v>0</v>
      </c>
      <c r="Q43" s="795">
        <f>industrie!P22</f>
        <v>0</v>
      </c>
      <c r="R43" s="874">
        <f t="shared" ca="1" si="4"/>
        <v>37469.55192080517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24154.820699259864</v>
      </c>
      <c r="D46" s="748">
        <f t="shared" ref="D46:Q46" ca="1" si="5">SUM(D39:D45)</f>
        <v>2427.1996624064045</v>
      </c>
      <c r="E46" s="748">
        <f t="shared" ca="1" si="5"/>
        <v>40901.194826771723</v>
      </c>
      <c r="F46" s="748">
        <f t="shared" si="5"/>
        <v>7285.8269673719333</v>
      </c>
      <c r="G46" s="748">
        <f t="shared" ca="1" si="5"/>
        <v>10663.131222172089</v>
      </c>
      <c r="H46" s="748">
        <f t="shared" si="5"/>
        <v>0</v>
      </c>
      <c r="I46" s="748">
        <f t="shared" si="5"/>
        <v>0</v>
      </c>
      <c r="J46" s="748">
        <f t="shared" si="5"/>
        <v>0</v>
      </c>
      <c r="K46" s="748">
        <f t="shared" si="5"/>
        <v>337.53448111175294</v>
      </c>
      <c r="L46" s="748">
        <f t="shared" si="5"/>
        <v>0</v>
      </c>
      <c r="M46" s="748">
        <f t="shared" ca="1" si="5"/>
        <v>0</v>
      </c>
      <c r="N46" s="748">
        <f t="shared" si="5"/>
        <v>0</v>
      </c>
      <c r="O46" s="748">
        <f t="shared" ca="1" si="5"/>
        <v>0</v>
      </c>
      <c r="P46" s="748">
        <f t="shared" si="5"/>
        <v>0</v>
      </c>
      <c r="Q46" s="748">
        <f t="shared" si="5"/>
        <v>0</v>
      </c>
      <c r="R46" s="748">
        <f ca="1">SUM(R39:R45)</f>
        <v>85769.70785909376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436.17470487580641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436.17470487580641</v>
      </c>
    </row>
    <row r="50" spans="1:18">
      <c r="A50" s="850" t="s">
        <v>306</v>
      </c>
      <c r="B50" s="860"/>
      <c r="C50" s="718">
        <f ca="1">transport!B18</f>
        <v>17.065358884942036</v>
      </c>
      <c r="D50" s="718">
        <f>transport!C18</f>
        <v>0</v>
      </c>
      <c r="E50" s="718">
        <f>transport!D18</f>
        <v>114.6602396658939</v>
      </c>
      <c r="F50" s="718">
        <f>transport!E18</f>
        <v>111.86248137463232</v>
      </c>
      <c r="G50" s="718">
        <f>transport!F18</f>
        <v>0</v>
      </c>
      <c r="H50" s="718">
        <f>transport!G18</f>
        <v>65727.373299519866</v>
      </c>
      <c r="I50" s="718">
        <f>transport!H18</f>
        <v>10766.487782608683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76737.449162054021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17.065358884942036</v>
      </c>
      <c r="D52" s="748">
        <f t="shared" ref="D52:Q52" ca="1" si="6">SUM(D48:D51)</f>
        <v>0</v>
      </c>
      <c r="E52" s="748">
        <f t="shared" si="6"/>
        <v>114.6602396658939</v>
      </c>
      <c r="F52" s="748">
        <f t="shared" si="6"/>
        <v>111.86248137463232</v>
      </c>
      <c r="G52" s="748">
        <f t="shared" si="6"/>
        <v>0</v>
      </c>
      <c r="H52" s="748">
        <f t="shared" si="6"/>
        <v>66163.548004395678</v>
      </c>
      <c r="I52" s="748">
        <f t="shared" si="6"/>
        <v>10766.487782608683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77173.623866929833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3067.0216768883329</v>
      </c>
      <c r="D54" s="718">
        <f ca="1">+landbouw!C12</f>
        <v>38041.722211220986</v>
      </c>
      <c r="E54" s="718">
        <f>+landbouw!D12</f>
        <v>12162.934863336806</v>
      </c>
      <c r="F54" s="718">
        <f>+landbouw!E12</f>
        <v>182.15743181989021</v>
      </c>
      <c r="G54" s="718">
        <f>+landbouw!F12</f>
        <v>23637.034464649882</v>
      </c>
      <c r="H54" s="718">
        <f>+landbouw!G12</f>
        <v>0</v>
      </c>
      <c r="I54" s="718">
        <f>+landbouw!H12</f>
        <v>0</v>
      </c>
      <c r="J54" s="718">
        <f>+landbouw!I12</f>
        <v>0</v>
      </c>
      <c r="K54" s="718">
        <f>+landbouw!J12</f>
        <v>2507.6542386909746</v>
      </c>
      <c r="L54" s="718">
        <f>+landbouw!K12</f>
        <v>0</v>
      </c>
      <c r="M54" s="718">
        <f>+landbouw!L12</f>
        <v>0</v>
      </c>
      <c r="N54" s="718">
        <f>+landbouw!M12</f>
        <v>0</v>
      </c>
      <c r="O54" s="718">
        <f>+landbouw!N12</f>
        <v>0</v>
      </c>
      <c r="P54" s="718">
        <f>+landbouw!O12</f>
        <v>0</v>
      </c>
      <c r="Q54" s="719">
        <f>+landbouw!P12</f>
        <v>0</v>
      </c>
      <c r="R54" s="747">
        <f ca="1">SUM(C54:Q54)</f>
        <v>79598.524886606872</v>
      </c>
    </row>
    <row r="55" spans="1:18" ht="15" thickBot="1">
      <c r="A55" s="850" t="s">
        <v>734</v>
      </c>
      <c r="B55" s="860"/>
      <c r="C55" s="718">
        <f ca="1">C25*'EF ele_warmte'!B12</f>
        <v>197.67527811324678</v>
      </c>
      <c r="D55" s="718"/>
      <c r="E55" s="718">
        <f>E25*EF_CO2_aardgas</f>
        <v>536.8207967940001</v>
      </c>
      <c r="F55" s="718"/>
      <c r="G55" s="718"/>
      <c r="H55" s="718"/>
      <c r="I55" s="718"/>
      <c r="J55" s="718"/>
      <c r="K55" s="718"/>
      <c r="L55" s="718"/>
      <c r="M55" s="718"/>
      <c r="N55" s="718"/>
      <c r="O55" s="718"/>
      <c r="P55" s="718"/>
      <c r="Q55" s="719"/>
      <c r="R55" s="747">
        <f ca="1">SUM(C55:Q55)</f>
        <v>734.49607490724691</v>
      </c>
    </row>
    <row r="56" spans="1:18" ht="15.75" thickBot="1">
      <c r="A56" s="848" t="s">
        <v>735</v>
      </c>
      <c r="B56" s="861"/>
      <c r="C56" s="748">
        <f ca="1">SUM(C54:C55)</f>
        <v>3264.6969550015797</v>
      </c>
      <c r="D56" s="748">
        <f t="shared" ref="D56:Q56" ca="1" si="7">SUM(D54:D55)</f>
        <v>38041.722211220986</v>
      </c>
      <c r="E56" s="748">
        <f t="shared" si="7"/>
        <v>12699.755660130806</v>
      </c>
      <c r="F56" s="748">
        <f t="shared" si="7"/>
        <v>182.15743181989021</v>
      </c>
      <c r="G56" s="748">
        <f t="shared" si="7"/>
        <v>23637.034464649882</v>
      </c>
      <c r="H56" s="748">
        <f t="shared" si="7"/>
        <v>0</v>
      </c>
      <c r="I56" s="748">
        <f t="shared" si="7"/>
        <v>0</v>
      </c>
      <c r="J56" s="748">
        <f t="shared" si="7"/>
        <v>0</v>
      </c>
      <c r="K56" s="748">
        <f t="shared" si="7"/>
        <v>2507.6542386909746</v>
      </c>
      <c r="L56" s="748">
        <f t="shared" si="7"/>
        <v>0</v>
      </c>
      <c r="M56" s="748">
        <f t="shared" si="7"/>
        <v>0</v>
      </c>
      <c r="N56" s="748">
        <f t="shared" si="7"/>
        <v>0</v>
      </c>
      <c r="O56" s="748">
        <f t="shared" si="7"/>
        <v>0</v>
      </c>
      <c r="P56" s="748">
        <f t="shared" si="7"/>
        <v>0</v>
      </c>
      <c r="Q56" s="749">
        <f t="shared" si="7"/>
        <v>0</v>
      </c>
      <c r="R56" s="750">
        <f ca="1">SUM(R54:R55)</f>
        <v>80333.020961514121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27436.583013146384</v>
      </c>
      <c r="D61" s="756">
        <f t="shared" ref="D61:Q61" ca="1" si="8">D46+D52+D56</f>
        <v>40468.921873627391</v>
      </c>
      <c r="E61" s="756">
        <f t="shared" ca="1" si="8"/>
        <v>53715.610726568426</v>
      </c>
      <c r="F61" s="756">
        <f t="shared" si="8"/>
        <v>7579.8468805664552</v>
      </c>
      <c r="G61" s="756">
        <f t="shared" ca="1" si="8"/>
        <v>34300.165686821972</v>
      </c>
      <c r="H61" s="756">
        <f t="shared" si="8"/>
        <v>66163.548004395678</v>
      </c>
      <c r="I61" s="756">
        <f t="shared" si="8"/>
        <v>10766.487782608683</v>
      </c>
      <c r="J61" s="756">
        <f t="shared" si="8"/>
        <v>0</v>
      </c>
      <c r="K61" s="756">
        <f t="shared" si="8"/>
        <v>2845.1887198027275</v>
      </c>
      <c r="L61" s="756">
        <f t="shared" si="8"/>
        <v>0</v>
      </c>
      <c r="M61" s="756">
        <f t="shared" ca="1" si="8"/>
        <v>0</v>
      </c>
      <c r="N61" s="756">
        <f t="shared" si="8"/>
        <v>0</v>
      </c>
      <c r="O61" s="756">
        <f t="shared" ca="1" si="8"/>
        <v>0</v>
      </c>
      <c r="P61" s="756">
        <f t="shared" si="8"/>
        <v>0</v>
      </c>
      <c r="Q61" s="756">
        <f t="shared" si="8"/>
        <v>0</v>
      </c>
      <c r="R61" s="756">
        <f ca="1">R46+R52+R56</f>
        <v>243276.3526875377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0.11928476737669949</v>
      </c>
      <c r="D63" s="802">
        <f t="shared" ca="1" si="9"/>
        <v>0.17792855416111458</v>
      </c>
      <c r="E63" s="1008">
        <f t="shared" ca="1" si="9"/>
        <v>0.20200000000000004</v>
      </c>
      <c r="F63" s="802">
        <f t="shared" si="9"/>
        <v>0.22699999999999998</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67035.237083930755</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10287.73373299587</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3400.5157662801271</v>
      </c>
      <c r="C76" s="769">
        <f>'lokale energieproductie'!B8*IFERROR(SUM(D76:H76)/SUM(D76:O76),0)</f>
        <v>156606.43423371989</v>
      </c>
      <c r="D76" s="991">
        <f>'lokale energieproductie'!C8</f>
        <v>139662.31806577274</v>
      </c>
      <c r="E76" s="992">
        <f>'lokale energieproductie'!D8</f>
        <v>0</v>
      </c>
      <c r="F76" s="992">
        <f>'lokale energieproductie'!E8</f>
        <v>966.35587993881552</v>
      </c>
      <c r="G76" s="992">
        <f>'lokale energieproductie'!F8</f>
        <v>0</v>
      </c>
      <c r="H76" s="992">
        <f>'lokale energieproductie'!G8</f>
        <v>0</v>
      </c>
      <c r="I76" s="992">
        <f>'lokale energieproductie'!I8</f>
        <v>2899.0676398164469</v>
      </c>
      <c r="J76" s="992">
        <f>'lokale energieproductie'!J8</f>
        <v>154.51074783637105</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28469.805269229761</v>
      </c>
      <c r="R76" s="877">
        <v>0</v>
      </c>
    </row>
    <row r="77" spans="1:18" ht="15.75" thickBot="1">
      <c r="A77" s="772" t="s">
        <v>801</v>
      </c>
      <c r="B77" s="769">
        <f>'lokale energieproductie'!B9*IFERROR(SUM(I77:O77)/SUM(D77:O77),0)</f>
        <v>1341</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3831.4285714285716</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82064.486583206744</v>
      </c>
      <c r="C78" s="774">
        <f>SUM(C72:C77)</f>
        <v>156606.43423371989</v>
      </c>
      <c r="D78" s="775">
        <f t="shared" ref="D78:H78" si="10">SUM(D76:D77)</f>
        <v>139662.31806577274</v>
      </c>
      <c r="E78" s="775">
        <f t="shared" si="10"/>
        <v>0</v>
      </c>
      <c r="F78" s="775">
        <f t="shared" si="10"/>
        <v>966.35587993881552</v>
      </c>
      <c r="G78" s="775">
        <f t="shared" si="10"/>
        <v>0</v>
      </c>
      <c r="H78" s="775">
        <f t="shared" si="10"/>
        <v>0</v>
      </c>
      <c r="I78" s="775">
        <f>SUM(I76:I77)</f>
        <v>2899.0676398164469</v>
      </c>
      <c r="J78" s="775">
        <f>SUM(J76:J77)</f>
        <v>3985.9393192649427</v>
      </c>
      <c r="K78" s="775">
        <f t="shared" ref="K78:L78" si="11">SUM(K76:K77)</f>
        <v>0</v>
      </c>
      <c r="L78" s="775">
        <f t="shared" si="11"/>
        <v>0</v>
      </c>
      <c r="M78" s="775">
        <f>SUM(M76:M77)</f>
        <v>0</v>
      </c>
      <c r="N78" s="775">
        <f>SUM(N76:N77)</f>
        <v>0</v>
      </c>
      <c r="O78" s="885">
        <f>SUM(O76:O77)</f>
        <v>0</v>
      </c>
      <c r="P78" s="776">
        <v>0</v>
      </c>
      <c r="Q78" s="776">
        <f>SUM(Q76:Q77)</f>
        <v>28469.805269229761</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4833.7249086969869</v>
      </c>
      <c r="C87" s="787">
        <f>'lokale energieproductie'!B17*IFERROR(SUM(D87:H87)/SUM(D87:O87),0)</f>
        <v>222611.06080558873</v>
      </c>
      <c r="D87" s="798">
        <f>'lokale energieproductie'!C17</f>
        <v>198525.5390770844</v>
      </c>
      <c r="E87" s="798">
        <f>'lokale energieproductie'!D17</f>
        <v>0</v>
      </c>
      <c r="F87" s="798">
        <f>'lokale energieproductie'!E17</f>
        <v>1373.6441200611841</v>
      </c>
      <c r="G87" s="798">
        <f>'lokale energieproductie'!F17</f>
        <v>0</v>
      </c>
      <c r="H87" s="798">
        <f>'lokale energieproductie'!G17</f>
        <v>0</v>
      </c>
      <c r="I87" s="798">
        <f>'lokale energieproductie'!I17</f>
        <v>4120.9323601835522</v>
      </c>
      <c r="J87" s="798">
        <f>'lokale energieproductie'!J17</f>
        <v>219.63210930648603</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40468.921873627391</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4833.7249086969869</v>
      </c>
      <c r="C90" s="774">
        <f>SUM(C87:C89)</f>
        <v>222611.06080558873</v>
      </c>
      <c r="D90" s="774">
        <f t="shared" ref="D90:H90" si="12">SUM(D87:D89)</f>
        <v>198525.5390770844</v>
      </c>
      <c r="E90" s="774">
        <f t="shared" si="12"/>
        <v>0</v>
      </c>
      <c r="F90" s="774">
        <f t="shared" si="12"/>
        <v>1373.6441200611841</v>
      </c>
      <c r="G90" s="774">
        <f t="shared" si="12"/>
        <v>0</v>
      </c>
      <c r="H90" s="774">
        <f t="shared" si="12"/>
        <v>0</v>
      </c>
      <c r="I90" s="774">
        <f>SUM(I87:I89)</f>
        <v>4120.9323601835522</v>
      </c>
      <c r="J90" s="774">
        <f>SUM(J87:J89)</f>
        <v>219.63210930648603</v>
      </c>
      <c r="K90" s="774">
        <f t="shared" ref="K90:L90" si="13">SUM(K87:K89)</f>
        <v>0</v>
      </c>
      <c r="L90" s="774">
        <f t="shared" si="13"/>
        <v>0</v>
      </c>
      <c r="M90" s="774">
        <f>SUM(M87:M89)</f>
        <v>0</v>
      </c>
      <c r="N90" s="774">
        <f>SUM(N87:N89)</f>
        <v>0</v>
      </c>
      <c r="O90" s="774">
        <f>SUM(O87:O89)</f>
        <v>0</v>
      </c>
      <c r="P90" s="774">
        <v>0</v>
      </c>
      <c r="Q90" s="774">
        <f>SUM(Q87:Q89)</f>
        <v>40468.921873627391</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67035.237083930755</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10287.73373299587</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160006.95000000001</v>
      </c>
      <c r="C8" s="574">
        <f>B101</f>
        <v>139662.31806577274</v>
      </c>
      <c r="D8" s="575"/>
      <c r="E8" s="575">
        <f>E101</f>
        <v>966.35587993881552</v>
      </c>
      <c r="F8" s="576"/>
      <c r="G8" s="577"/>
      <c r="H8" s="575">
        <f>I101</f>
        <v>0</v>
      </c>
      <c r="I8" s="575">
        <f>G101+F101</f>
        <v>2899.0676398164469</v>
      </c>
      <c r="J8" s="575">
        <f>H101+D101+C101</f>
        <v>154.51074783637105</v>
      </c>
      <c r="K8" s="575"/>
      <c r="L8" s="575"/>
      <c r="M8" s="575"/>
      <c r="N8" s="578"/>
      <c r="O8" s="579">
        <f>C8*$C$12+D8*$D$12+E8*$E$12+F8*$F$12+G8*$G$12+H8*$H$12+I8*$I$12+J8*$J$12</f>
        <v>28469.805269229761</v>
      </c>
      <c r="P8" s="1291"/>
      <c r="Q8" s="1292"/>
      <c r="S8" s="569"/>
      <c r="T8" s="1288"/>
      <c r="U8" s="1288"/>
    </row>
    <row r="9" spans="1:21" s="560" customFormat="1" ht="17.45" customHeight="1" thickBot="1">
      <c r="A9" s="580" t="s">
        <v>247</v>
      </c>
      <c r="B9" s="581">
        <f>N89+'Eigen informatie GS &amp; warmtenet'!B12</f>
        <v>1341</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238670.92081692663</v>
      </c>
      <c r="C10" s="589">
        <f t="shared" ref="C10:L10" si="0">SUM(C8:C9)</f>
        <v>139662.31806577274</v>
      </c>
      <c r="D10" s="589">
        <f t="shared" si="0"/>
        <v>0</v>
      </c>
      <c r="E10" s="589">
        <f t="shared" si="0"/>
        <v>966.35587993881552</v>
      </c>
      <c r="F10" s="589">
        <f t="shared" si="0"/>
        <v>0</v>
      </c>
      <c r="G10" s="589">
        <f t="shared" si="0"/>
        <v>0</v>
      </c>
      <c r="H10" s="589">
        <f t="shared" si="0"/>
        <v>0</v>
      </c>
      <c r="I10" s="589">
        <f t="shared" si="0"/>
        <v>2899.0676398164469</v>
      </c>
      <c r="J10" s="589">
        <f t="shared" si="0"/>
        <v>3985.9393192649427</v>
      </c>
      <c r="K10" s="589">
        <f t="shared" si="0"/>
        <v>0</v>
      </c>
      <c r="L10" s="589">
        <f t="shared" si="0"/>
        <v>0</v>
      </c>
      <c r="M10" s="1004"/>
      <c r="N10" s="1004"/>
      <c r="O10" s="590">
        <f>SUM(O4:O9)</f>
        <v>28469.805269229761</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227444.78571428571</v>
      </c>
      <c r="C17" s="605">
        <f>B102</f>
        <v>198525.5390770844</v>
      </c>
      <c r="D17" s="606"/>
      <c r="E17" s="606">
        <f>E102</f>
        <v>1373.6441200611841</v>
      </c>
      <c r="F17" s="607"/>
      <c r="G17" s="608"/>
      <c r="H17" s="605">
        <f>I102</f>
        <v>0</v>
      </c>
      <c r="I17" s="606">
        <f>G102+F102</f>
        <v>4120.9323601835522</v>
      </c>
      <c r="J17" s="606">
        <f>H102+D102+C102</f>
        <v>219.63210930648603</v>
      </c>
      <c r="K17" s="606"/>
      <c r="L17" s="606"/>
      <c r="M17" s="606"/>
      <c r="N17" s="1005"/>
      <c r="O17" s="609">
        <f>C17*$C$22+E17*$E$22+H17*$H$22+I17*$I$22+J17*$J$22+D17*$D$22+F17*$F$22+G17*$G$22+K17*$K$22+L17*$L$22</f>
        <v>40468.921873627391</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227444.78571428571</v>
      </c>
      <c r="C20" s="588">
        <f>SUM(C17:C19)</f>
        <v>198525.5390770844</v>
      </c>
      <c r="D20" s="588">
        <f t="shared" ref="D20:L20" si="1">SUM(D17:D19)</f>
        <v>0</v>
      </c>
      <c r="E20" s="588">
        <f t="shared" si="1"/>
        <v>1373.6441200611841</v>
      </c>
      <c r="F20" s="588">
        <f t="shared" si="1"/>
        <v>0</v>
      </c>
      <c r="G20" s="588">
        <f t="shared" si="1"/>
        <v>0</v>
      </c>
      <c r="H20" s="588">
        <f t="shared" si="1"/>
        <v>0</v>
      </c>
      <c r="I20" s="588">
        <f t="shared" si="1"/>
        <v>4120.9323601835522</v>
      </c>
      <c r="J20" s="588">
        <f t="shared" si="1"/>
        <v>219.63210930648603</v>
      </c>
      <c r="K20" s="588">
        <f t="shared" si="1"/>
        <v>0</v>
      </c>
      <c r="L20" s="588">
        <f t="shared" si="1"/>
        <v>0</v>
      </c>
      <c r="M20" s="588"/>
      <c r="N20" s="588"/>
      <c r="O20" s="614">
        <f>SUM(O17:O19)</f>
        <v>40468.921873627391</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13014</v>
      </c>
      <c r="C28" s="817">
        <v>2321</v>
      </c>
      <c r="D28" s="666" t="s">
        <v>886</v>
      </c>
      <c r="E28" s="665" t="s">
        <v>887</v>
      </c>
      <c r="F28" s="665" t="s">
        <v>888</v>
      </c>
      <c r="G28" s="665" t="s">
        <v>889</v>
      </c>
      <c r="H28" s="665" t="s">
        <v>890</v>
      </c>
      <c r="I28" s="665" t="s">
        <v>887</v>
      </c>
      <c r="J28" s="816">
        <v>40136</v>
      </c>
      <c r="K28" s="816">
        <v>39538</v>
      </c>
      <c r="L28" s="665" t="s">
        <v>891</v>
      </c>
      <c r="M28" s="665">
        <v>5774</v>
      </c>
      <c r="N28" s="665">
        <v>25983</v>
      </c>
      <c r="O28" s="665">
        <v>37118.571428571428</v>
      </c>
      <c r="P28" s="665">
        <v>74237.142857142855</v>
      </c>
      <c r="Q28" s="665">
        <v>0</v>
      </c>
      <c r="R28" s="665">
        <v>0</v>
      </c>
      <c r="S28" s="665">
        <v>0</v>
      </c>
      <c r="T28" s="665">
        <v>0</v>
      </c>
      <c r="U28" s="665">
        <v>0</v>
      </c>
      <c r="V28" s="665">
        <v>0</v>
      </c>
      <c r="W28" s="665">
        <v>0</v>
      </c>
      <c r="X28" s="665">
        <v>10</v>
      </c>
      <c r="Y28" s="665" t="s">
        <v>111</v>
      </c>
      <c r="Z28" s="667" t="s">
        <v>111</v>
      </c>
    </row>
    <row r="29" spans="1:26" s="619" customFormat="1" ht="63.75">
      <c r="A29" s="618"/>
      <c r="B29" s="817">
        <v>13014</v>
      </c>
      <c r="C29" s="817">
        <v>2321</v>
      </c>
      <c r="D29" s="666" t="s">
        <v>892</v>
      </c>
      <c r="E29" s="665" t="s">
        <v>893</v>
      </c>
      <c r="F29" s="665" t="s">
        <v>894</v>
      </c>
      <c r="G29" s="665" t="s">
        <v>889</v>
      </c>
      <c r="H29" s="665" t="s">
        <v>890</v>
      </c>
      <c r="I29" s="665" t="s">
        <v>893</v>
      </c>
      <c r="J29" s="816">
        <v>39562</v>
      </c>
      <c r="K29" s="816">
        <v>39562</v>
      </c>
      <c r="L29" s="665" t="s">
        <v>891</v>
      </c>
      <c r="M29" s="665">
        <v>2000</v>
      </c>
      <c r="N29" s="665">
        <v>9000</v>
      </c>
      <c r="O29" s="665">
        <v>12857.142857142857</v>
      </c>
      <c r="P29" s="665">
        <v>25714.285714285717</v>
      </c>
      <c r="Q29" s="665">
        <v>0</v>
      </c>
      <c r="R29" s="665">
        <v>0</v>
      </c>
      <c r="S29" s="665">
        <v>0</v>
      </c>
      <c r="T29" s="665">
        <v>0</v>
      </c>
      <c r="U29" s="665">
        <v>0</v>
      </c>
      <c r="V29" s="665">
        <v>0</v>
      </c>
      <c r="W29" s="665">
        <v>0</v>
      </c>
      <c r="X29" s="665">
        <v>1600</v>
      </c>
      <c r="Y29" s="665" t="s">
        <v>49</v>
      </c>
      <c r="Z29" s="667" t="s">
        <v>155</v>
      </c>
    </row>
    <row r="30" spans="1:26" s="619" customFormat="1" ht="25.5">
      <c r="A30" s="618"/>
      <c r="B30" s="817">
        <v>13014</v>
      </c>
      <c r="C30" s="817">
        <v>2321</v>
      </c>
      <c r="D30" s="666" t="s">
        <v>895</v>
      </c>
      <c r="E30" s="665" t="s">
        <v>896</v>
      </c>
      <c r="F30" s="665" t="s">
        <v>897</v>
      </c>
      <c r="G30" s="665" t="s">
        <v>889</v>
      </c>
      <c r="H30" s="665" t="s">
        <v>890</v>
      </c>
      <c r="I30" s="665" t="s">
        <v>896</v>
      </c>
      <c r="J30" s="816">
        <v>39660</v>
      </c>
      <c r="K30" s="816">
        <v>39661</v>
      </c>
      <c r="L30" s="665" t="s">
        <v>891</v>
      </c>
      <c r="M30" s="665">
        <v>2028</v>
      </c>
      <c r="N30" s="665">
        <v>9126</v>
      </c>
      <c r="O30" s="665">
        <v>13037.142857142857</v>
      </c>
      <c r="P30" s="665">
        <v>26074.285714285717</v>
      </c>
      <c r="Q30" s="665">
        <v>0</v>
      </c>
      <c r="R30" s="665">
        <v>0</v>
      </c>
      <c r="S30" s="665">
        <v>0</v>
      </c>
      <c r="T30" s="665">
        <v>0</v>
      </c>
      <c r="U30" s="665">
        <v>0</v>
      </c>
      <c r="V30" s="665">
        <v>0</v>
      </c>
      <c r="W30" s="665">
        <v>0</v>
      </c>
      <c r="X30" s="665">
        <v>10</v>
      </c>
      <c r="Y30" s="665" t="s">
        <v>111</v>
      </c>
      <c r="Z30" s="667" t="s">
        <v>111</v>
      </c>
    </row>
    <row r="31" spans="1:26" s="619" customFormat="1" ht="25.5">
      <c r="A31" s="618"/>
      <c r="B31" s="817">
        <v>13014</v>
      </c>
      <c r="C31" s="817">
        <v>2321</v>
      </c>
      <c r="D31" s="666" t="s">
        <v>898</v>
      </c>
      <c r="E31" s="665" t="s">
        <v>899</v>
      </c>
      <c r="F31" s="665" t="s">
        <v>900</v>
      </c>
      <c r="G31" s="665" t="s">
        <v>889</v>
      </c>
      <c r="H31" s="665" t="s">
        <v>890</v>
      </c>
      <c r="I31" s="665" t="s">
        <v>899</v>
      </c>
      <c r="J31" s="816">
        <v>39792</v>
      </c>
      <c r="K31" s="816">
        <v>39792</v>
      </c>
      <c r="L31" s="665" t="s">
        <v>891</v>
      </c>
      <c r="M31" s="665">
        <v>1556</v>
      </c>
      <c r="N31" s="665">
        <v>7002</v>
      </c>
      <c r="O31" s="665">
        <v>10002.857142857143</v>
      </c>
      <c r="P31" s="665">
        <v>20005.714285714286</v>
      </c>
      <c r="Q31" s="665">
        <v>0</v>
      </c>
      <c r="R31" s="665">
        <v>0</v>
      </c>
      <c r="S31" s="665">
        <v>0</v>
      </c>
      <c r="T31" s="665">
        <v>0</v>
      </c>
      <c r="U31" s="665">
        <v>0</v>
      </c>
      <c r="V31" s="665">
        <v>0</v>
      </c>
      <c r="W31" s="665">
        <v>0</v>
      </c>
      <c r="X31" s="665">
        <v>10</v>
      </c>
      <c r="Y31" s="665" t="s">
        <v>111</v>
      </c>
      <c r="Z31" s="667" t="s">
        <v>111</v>
      </c>
    </row>
    <row r="32" spans="1:26" s="619" customFormat="1" ht="25.5">
      <c r="A32" s="618"/>
      <c r="B32" s="817">
        <v>13014</v>
      </c>
      <c r="C32" s="817">
        <v>2321</v>
      </c>
      <c r="D32" s="666" t="s">
        <v>901</v>
      </c>
      <c r="E32" s="665" t="s">
        <v>902</v>
      </c>
      <c r="F32" s="665" t="s">
        <v>903</v>
      </c>
      <c r="G32" s="665" t="s">
        <v>889</v>
      </c>
      <c r="H32" s="665" t="s">
        <v>890</v>
      </c>
      <c r="I32" s="665" t="s">
        <v>902</v>
      </c>
      <c r="J32" s="816">
        <v>39895</v>
      </c>
      <c r="K32" s="816">
        <v>39895</v>
      </c>
      <c r="L32" s="665" t="s">
        <v>891</v>
      </c>
      <c r="M32" s="665">
        <v>1998</v>
      </c>
      <c r="N32" s="665">
        <v>8991</v>
      </c>
      <c r="O32" s="665">
        <v>12844.285714285714</v>
      </c>
      <c r="P32" s="665">
        <v>25688.571428571431</v>
      </c>
      <c r="Q32" s="665">
        <v>0</v>
      </c>
      <c r="R32" s="665">
        <v>0</v>
      </c>
      <c r="S32" s="665">
        <v>0</v>
      </c>
      <c r="T32" s="665">
        <v>0</v>
      </c>
      <c r="U32" s="665">
        <v>0</v>
      </c>
      <c r="V32" s="665">
        <v>0</v>
      </c>
      <c r="W32" s="665">
        <v>0</v>
      </c>
      <c r="X32" s="665">
        <v>10</v>
      </c>
      <c r="Y32" s="665" t="s">
        <v>111</v>
      </c>
      <c r="Z32" s="667" t="s">
        <v>111</v>
      </c>
    </row>
    <row r="33" spans="1:26" s="619" customFormat="1" ht="25.5">
      <c r="A33" s="618"/>
      <c r="B33" s="817">
        <v>13014</v>
      </c>
      <c r="C33" s="817">
        <v>2320</v>
      </c>
      <c r="D33" s="666" t="s">
        <v>904</v>
      </c>
      <c r="E33" s="665" t="s">
        <v>905</v>
      </c>
      <c r="F33" s="665" t="s">
        <v>906</v>
      </c>
      <c r="G33" s="665" t="s">
        <v>889</v>
      </c>
      <c r="H33" s="665" t="s">
        <v>890</v>
      </c>
      <c r="I33" s="665" t="s">
        <v>905</v>
      </c>
      <c r="J33" s="816">
        <v>40185</v>
      </c>
      <c r="K33" s="816">
        <v>40238</v>
      </c>
      <c r="L33" s="665" t="s">
        <v>891</v>
      </c>
      <c r="M33" s="665">
        <v>122</v>
      </c>
      <c r="N33" s="665">
        <v>549</v>
      </c>
      <c r="O33" s="665">
        <v>784.28571428571433</v>
      </c>
      <c r="P33" s="665">
        <v>1568.5714285714287</v>
      </c>
      <c r="Q33" s="665">
        <v>0</v>
      </c>
      <c r="R33" s="665">
        <v>0</v>
      </c>
      <c r="S33" s="665">
        <v>0</v>
      </c>
      <c r="T33" s="665">
        <v>0</v>
      </c>
      <c r="U33" s="665">
        <v>0</v>
      </c>
      <c r="V33" s="665">
        <v>0</v>
      </c>
      <c r="W33" s="665">
        <v>0</v>
      </c>
      <c r="X33" s="665">
        <v>400</v>
      </c>
      <c r="Y33" s="665" t="s">
        <v>36</v>
      </c>
      <c r="Z33" s="667" t="s">
        <v>388</v>
      </c>
    </row>
    <row r="34" spans="1:26" s="619" customFormat="1" ht="38.25">
      <c r="A34" s="618"/>
      <c r="B34" s="817">
        <v>13014</v>
      </c>
      <c r="C34" s="817">
        <v>2328</v>
      </c>
      <c r="D34" s="666" t="s">
        <v>907</v>
      </c>
      <c r="E34" s="665" t="s">
        <v>908</v>
      </c>
      <c r="F34" s="665" t="s">
        <v>909</v>
      </c>
      <c r="G34" s="665" t="s">
        <v>889</v>
      </c>
      <c r="H34" s="665" t="s">
        <v>910</v>
      </c>
      <c r="I34" s="665" t="s">
        <v>908</v>
      </c>
      <c r="J34" s="816">
        <v>40464</v>
      </c>
      <c r="K34" s="816">
        <v>40464</v>
      </c>
      <c r="L34" s="665" t="s">
        <v>911</v>
      </c>
      <c r="M34" s="665">
        <v>832</v>
      </c>
      <c r="N34" s="665">
        <v>3744</v>
      </c>
      <c r="O34" s="665">
        <v>4212</v>
      </c>
      <c r="P34" s="665">
        <v>0</v>
      </c>
      <c r="Q34" s="665">
        <v>0</v>
      </c>
      <c r="R34" s="665">
        <v>0</v>
      </c>
      <c r="S34" s="665">
        <v>2340</v>
      </c>
      <c r="T34" s="665">
        <v>7020</v>
      </c>
      <c r="U34" s="665">
        <v>0</v>
      </c>
      <c r="V34" s="665">
        <v>0</v>
      </c>
      <c r="W34" s="665">
        <v>0</v>
      </c>
      <c r="X34" s="665">
        <v>10</v>
      </c>
      <c r="Y34" s="665" t="s">
        <v>111</v>
      </c>
      <c r="Z34" s="667" t="s">
        <v>111</v>
      </c>
    </row>
    <row r="35" spans="1:26" s="619" customFormat="1" ht="25.5">
      <c r="A35" s="618"/>
      <c r="B35" s="817">
        <v>13014</v>
      </c>
      <c r="C35" s="817">
        <v>2321</v>
      </c>
      <c r="D35" s="666" t="s">
        <v>912</v>
      </c>
      <c r="E35" s="665" t="s">
        <v>913</v>
      </c>
      <c r="F35" s="665" t="s">
        <v>914</v>
      </c>
      <c r="G35" s="665" t="s">
        <v>889</v>
      </c>
      <c r="H35" s="665" t="s">
        <v>890</v>
      </c>
      <c r="I35" s="665" t="s">
        <v>913</v>
      </c>
      <c r="J35" s="816">
        <v>40940</v>
      </c>
      <c r="K35" s="816">
        <v>40968</v>
      </c>
      <c r="L35" s="665" t="s">
        <v>891</v>
      </c>
      <c r="M35" s="665">
        <v>404</v>
      </c>
      <c r="N35" s="665">
        <v>1818.0000000000002</v>
      </c>
      <c r="O35" s="665">
        <v>2597.1428571428573</v>
      </c>
      <c r="P35" s="665">
        <v>5194.2857142857156</v>
      </c>
      <c r="Q35" s="665">
        <v>0</v>
      </c>
      <c r="R35" s="665">
        <v>0</v>
      </c>
      <c r="S35" s="665">
        <v>0</v>
      </c>
      <c r="T35" s="665">
        <v>0</v>
      </c>
      <c r="U35" s="665">
        <v>0</v>
      </c>
      <c r="V35" s="665">
        <v>0</v>
      </c>
      <c r="W35" s="665">
        <v>0</v>
      </c>
      <c r="X35" s="665">
        <v>10</v>
      </c>
      <c r="Y35" s="665" t="s">
        <v>111</v>
      </c>
      <c r="Z35" s="667" t="s">
        <v>111</v>
      </c>
    </row>
    <row r="36" spans="1:26" s="619" customFormat="1" ht="25.5">
      <c r="A36" s="618"/>
      <c r="B36" s="817">
        <v>13014</v>
      </c>
      <c r="C36" s="817">
        <v>2322</v>
      </c>
      <c r="D36" s="666" t="s">
        <v>915</v>
      </c>
      <c r="E36" s="665" t="s">
        <v>916</v>
      </c>
      <c r="F36" s="665" t="s">
        <v>917</v>
      </c>
      <c r="G36" s="665" t="s">
        <v>889</v>
      </c>
      <c r="H36" s="665" t="s">
        <v>890</v>
      </c>
      <c r="I36" s="665" t="s">
        <v>918</v>
      </c>
      <c r="J36" s="816">
        <v>41116</v>
      </c>
      <c r="K36" s="816">
        <v>41275</v>
      </c>
      <c r="L36" s="665" t="s">
        <v>891</v>
      </c>
      <c r="M36" s="665">
        <v>9.6999999999999993</v>
      </c>
      <c r="N36" s="665">
        <v>43.649999999999991</v>
      </c>
      <c r="O36" s="665">
        <v>62.357142857142847</v>
      </c>
      <c r="P36" s="665">
        <v>0</v>
      </c>
      <c r="Q36" s="665">
        <v>124.71428571428569</v>
      </c>
      <c r="R36" s="665">
        <v>0</v>
      </c>
      <c r="S36" s="665">
        <v>0</v>
      </c>
      <c r="T36" s="665">
        <v>0</v>
      </c>
      <c r="U36" s="665">
        <v>0</v>
      </c>
      <c r="V36" s="665">
        <v>0</v>
      </c>
      <c r="W36" s="665">
        <v>0</v>
      </c>
      <c r="X36" s="665">
        <v>10</v>
      </c>
      <c r="Y36" s="665" t="s">
        <v>111</v>
      </c>
      <c r="Z36" s="667" t="s">
        <v>111</v>
      </c>
    </row>
    <row r="37" spans="1:26" s="619" customFormat="1" ht="25.5">
      <c r="A37" s="618"/>
      <c r="B37" s="817">
        <v>13014</v>
      </c>
      <c r="C37" s="817">
        <v>2322</v>
      </c>
      <c r="D37" s="666" t="s">
        <v>915</v>
      </c>
      <c r="E37" s="665" t="s">
        <v>916</v>
      </c>
      <c r="F37" s="665" t="s">
        <v>919</v>
      </c>
      <c r="G37" s="665" t="s">
        <v>889</v>
      </c>
      <c r="H37" s="665" t="s">
        <v>890</v>
      </c>
      <c r="I37" s="665" t="s">
        <v>920</v>
      </c>
      <c r="J37" s="816">
        <v>41260</v>
      </c>
      <c r="K37" s="816">
        <v>41275</v>
      </c>
      <c r="L37" s="665" t="s">
        <v>891</v>
      </c>
      <c r="M37" s="665">
        <v>19.399999999999999</v>
      </c>
      <c r="N37" s="665">
        <v>87.299999999999983</v>
      </c>
      <c r="O37" s="665">
        <v>124.71428571428569</v>
      </c>
      <c r="P37" s="665">
        <v>0</v>
      </c>
      <c r="Q37" s="665">
        <v>249.42857142857139</v>
      </c>
      <c r="R37" s="665">
        <v>0</v>
      </c>
      <c r="S37" s="665">
        <v>0</v>
      </c>
      <c r="T37" s="665">
        <v>0</v>
      </c>
      <c r="U37" s="665">
        <v>0</v>
      </c>
      <c r="V37" s="665">
        <v>0</v>
      </c>
      <c r="W37" s="665">
        <v>0</v>
      </c>
      <c r="X37" s="665">
        <v>10</v>
      </c>
      <c r="Y37" s="665" t="s">
        <v>111</v>
      </c>
      <c r="Z37" s="667" t="s">
        <v>111</v>
      </c>
    </row>
    <row r="38" spans="1:26" s="619" customFormat="1" ht="25.5">
      <c r="A38" s="618"/>
      <c r="B38" s="817">
        <v>13014</v>
      </c>
      <c r="C38" s="817">
        <v>2321</v>
      </c>
      <c r="D38" s="666" t="s">
        <v>921</v>
      </c>
      <c r="E38" s="665" t="s">
        <v>922</v>
      </c>
      <c r="F38" s="665" t="s">
        <v>923</v>
      </c>
      <c r="G38" s="665" t="s">
        <v>889</v>
      </c>
      <c r="H38" s="665" t="s">
        <v>890</v>
      </c>
      <c r="I38" s="665" t="s">
        <v>922</v>
      </c>
      <c r="J38" s="816">
        <v>41537</v>
      </c>
      <c r="K38" s="816">
        <v>41540</v>
      </c>
      <c r="L38" s="665" t="s">
        <v>891</v>
      </c>
      <c r="M38" s="665">
        <v>2000</v>
      </c>
      <c r="N38" s="665">
        <v>9000</v>
      </c>
      <c r="O38" s="665">
        <v>12857.142857142857</v>
      </c>
      <c r="P38" s="665">
        <v>25714.285714285717</v>
      </c>
      <c r="Q38" s="665">
        <v>0</v>
      </c>
      <c r="R38" s="665">
        <v>0</v>
      </c>
      <c r="S38" s="665">
        <v>0</v>
      </c>
      <c r="T38" s="665">
        <v>0</v>
      </c>
      <c r="U38" s="665">
        <v>0</v>
      </c>
      <c r="V38" s="665">
        <v>0</v>
      </c>
      <c r="W38" s="665">
        <v>0</v>
      </c>
      <c r="X38" s="665">
        <v>10</v>
      </c>
      <c r="Y38" s="665" t="s">
        <v>111</v>
      </c>
      <c r="Z38" s="667" t="s">
        <v>111</v>
      </c>
    </row>
    <row r="39" spans="1:26" s="619" customFormat="1" ht="25.5">
      <c r="A39" s="618"/>
      <c r="B39" s="817">
        <v>13014</v>
      </c>
      <c r="C39" s="817">
        <v>2321</v>
      </c>
      <c r="D39" s="666" t="s">
        <v>892</v>
      </c>
      <c r="E39" s="665" t="s">
        <v>893</v>
      </c>
      <c r="F39" s="665" t="s">
        <v>924</v>
      </c>
      <c r="G39" s="665" t="s">
        <v>889</v>
      </c>
      <c r="H39" s="665" t="s">
        <v>890</v>
      </c>
      <c r="I39" s="665" t="s">
        <v>925</v>
      </c>
      <c r="J39" s="816">
        <v>41556</v>
      </c>
      <c r="K39" s="816">
        <v>41576</v>
      </c>
      <c r="L39" s="665" t="s">
        <v>891</v>
      </c>
      <c r="M39" s="665">
        <v>1560</v>
      </c>
      <c r="N39" s="665">
        <v>7020</v>
      </c>
      <c r="O39" s="665">
        <v>10028.571428571429</v>
      </c>
      <c r="P39" s="665">
        <v>20057.142857142859</v>
      </c>
      <c r="Q39" s="665">
        <v>0</v>
      </c>
      <c r="R39" s="665">
        <v>0</v>
      </c>
      <c r="S39" s="665">
        <v>0</v>
      </c>
      <c r="T39" s="665">
        <v>0</v>
      </c>
      <c r="U39" s="665">
        <v>0</v>
      </c>
      <c r="V39" s="665">
        <v>0</v>
      </c>
      <c r="W39" s="665">
        <v>0</v>
      </c>
      <c r="X39" s="665">
        <v>10</v>
      </c>
      <c r="Y39" s="665" t="s">
        <v>111</v>
      </c>
      <c r="Z39" s="667" t="s">
        <v>111</v>
      </c>
    </row>
    <row r="40" spans="1:26" s="619" customFormat="1" ht="25.5">
      <c r="A40" s="618"/>
      <c r="B40" s="817">
        <v>13014</v>
      </c>
      <c r="C40" s="817">
        <v>2328</v>
      </c>
      <c r="D40" s="666" t="s">
        <v>926</v>
      </c>
      <c r="E40" s="665" t="s">
        <v>927</v>
      </c>
      <c r="F40" s="665" t="s">
        <v>928</v>
      </c>
      <c r="G40" s="665" t="s">
        <v>889</v>
      </c>
      <c r="H40" s="665" t="s">
        <v>890</v>
      </c>
      <c r="I40" s="665" t="s">
        <v>927</v>
      </c>
      <c r="J40" s="816">
        <v>41576</v>
      </c>
      <c r="K40" s="816">
        <v>41576</v>
      </c>
      <c r="L40" s="665" t="s">
        <v>891</v>
      </c>
      <c r="M40" s="665">
        <v>609</v>
      </c>
      <c r="N40" s="665">
        <v>2740.5</v>
      </c>
      <c r="O40" s="665">
        <v>3915</v>
      </c>
      <c r="P40" s="665">
        <v>7830.0000000000009</v>
      </c>
      <c r="Q40" s="665">
        <v>0</v>
      </c>
      <c r="R40" s="665">
        <v>0</v>
      </c>
      <c r="S40" s="665">
        <v>0</v>
      </c>
      <c r="T40" s="665">
        <v>0</v>
      </c>
      <c r="U40" s="665">
        <v>0</v>
      </c>
      <c r="V40" s="665">
        <v>0</v>
      </c>
      <c r="W40" s="665">
        <v>0</v>
      </c>
      <c r="X40" s="665">
        <v>10</v>
      </c>
      <c r="Y40" s="665" t="s">
        <v>111</v>
      </c>
      <c r="Z40" s="667" t="s">
        <v>111</v>
      </c>
    </row>
    <row r="41" spans="1:26" s="619" customFormat="1" ht="25.5">
      <c r="A41" s="618"/>
      <c r="B41" s="817">
        <v>13014</v>
      </c>
      <c r="C41" s="817">
        <v>2328</v>
      </c>
      <c r="D41" s="666" t="s">
        <v>929</v>
      </c>
      <c r="E41" s="665" t="s">
        <v>930</v>
      </c>
      <c r="F41" s="665" t="s">
        <v>931</v>
      </c>
      <c r="G41" s="665" t="s">
        <v>889</v>
      </c>
      <c r="H41" s="665" t="s">
        <v>890</v>
      </c>
      <c r="I41" s="665" t="s">
        <v>930</v>
      </c>
      <c r="J41" s="816">
        <v>41586</v>
      </c>
      <c r="K41" s="816">
        <v>41596</v>
      </c>
      <c r="L41" s="665" t="s">
        <v>891</v>
      </c>
      <c r="M41" s="665">
        <v>772</v>
      </c>
      <c r="N41" s="665">
        <v>3474</v>
      </c>
      <c r="O41" s="665">
        <v>4962.8571428571431</v>
      </c>
      <c r="P41" s="665">
        <v>9925.7142857142862</v>
      </c>
      <c r="Q41" s="665">
        <v>0</v>
      </c>
      <c r="R41" s="665">
        <v>0</v>
      </c>
      <c r="S41" s="665">
        <v>0</v>
      </c>
      <c r="T41" s="665">
        <v>0</v>
      </c>
      <c r="U41" s="665">
        <v>0</v>
      </c>
      <c r="V41" s="665">
        <v>0</v>
      </c>
      <c r="W41" s="665">
        <v>0</v>
      </c>
      <c r="X41" s="665">
        <v>10</v>
      </c>
      <c r="Y41" s="665" t="s">
        <v>111</v>
      </c>
      <c r="Z41" s="667" t="s">
        <v>111</v>
      </c>
    </row>
    <row r="42" spans="1:26" s="619" customFormat="1" ht="25.5">
      <c r="A42" s="618"/>
      <c r="B42" s="817">
        <v>13014</v>
      </c>
      <c r="C42" s="817">
        <v>2321</v>
      </c>
      <c r="D42" s="666" t="s">
        <v>886</v>
      </c>
      <c r="E42" s="665" t="s">
        <v>887</v>
      </c>
      <c r="F42" s="665" t="s">
        <v>932</v>
      </c>
      <c r="G42" s="665" t="s">
        <v>889</v>
      </c>
      <c r="H42" s="665" t="s">
        <v>890</v>
      </c>
      <c r="I42" s="665" t="s">
        <v>933</v>
      </c>
      <c r="J42" s="816">
        <v>41631</v>
      </c>
      <c r="K42" s="816">
        <v>41631</v>
      </c>
      <c r="L42" s="665" t="s">
        <v>891</v>
      </c>
      <c r="M42" s="665">
        <v>2679</v>
      </c>
      <c r="N42" s="665">
        <v>12055.5</v>
      </c>
      <c r="O42" s="665">
        <v>17222.142857142859</v>
      </c>
      <c r="P42" s="665">
        <v>34444.285714285717</v>
      </c>
      <c r="Q42" s="665">
        <v>0</v>
      </c>
      <c r="R42" s="665">
        <v>0</v>
      </c>
      <c r="S42" s="665">
        <v>0</v>
      </c>
      <c r="T42" s="665">
        <v>0</v>
      </c>
      <c r="U42" s="665">
        <v>0</v>
      </c>
      <c r="V42" s="665">
        <v>0</v>
      </c>
      <c r="W42" s="665">
        <v>0</v>
      </c>
      <c r="X42" s="665">
        <v>10</v>
      </c>
      <c r="Y42" s="665" t="s">
        <v>111</v>
      </c>
      <c r="Z42" s="667" t="s">
        <v>111</v>
      </c>
    </row>
    <row r="43" spans="1:26" s="619" customFormat="1" ht="25.5">
      <c r="A43" s="618"/>
      <c r="B43" s="817">
        <v>13014</v>
      </c>
      <c r="C43" s="817">
        <v>2320</v>
      </c>
      <c r="D43" s="666"/>
      <c r="E43" s="665"/>
      <c r="F43" s="665" t="s">
        <v>934</v>
      </c>
      <c r="G43" s="665" t="s">
        <v>889</v>
      </c>
      <c r="H43" s="665" t="s">
        <v>890</v>
      </c>
      <c r="I43" s="665" t="s">
        <v>902</v>
      </c>
      <c r="J43" s="816">
        <v>42305</v>
      </c>
      <c r="K43" s="816">
        <v>42307</v>
      </c>
      <c r="L43" s="665" t="s">
        <v>891</v>
      </c>
      <c r="M43" s="665">
        <v>2004</v>
      </c>
      <c r="N43" s="665">
        <v>9018</v>
      </c>
      <c r="O43" s="665">
        <v>12882.857142857143</v>
      </c>
      <c r="P43" s="665">
        <v>25765.714285714286</v>
      </c>
      <c r="Q43" s="665">
        <v>0</v>
      </c>
      <c r="R43" s="665">
        <v>0</v>
      </c>
      <c r="S43" s="665">
        <v>0</v>
      </c>
      <c r="T43" s="665">
        <v>0</v>
      </c>
      <c r="U43" s="665">
        <v>0</v>
      </c>
      <c r="V43" s="665">
        <v>0</v>
      </c>
      <c r="W43" s="665">
        <v>0</v>
      </c>
      <c r="X43" s="665">
        <v>10</v>
      </c>
      <c r="Y43" s="665" t="s">
        <v>111</v>
      </c>
      <c r="Z43" s="667" t="s">
        <v>111</v>
      </c>
    </row>
    <row r="44" spans="1:26" s="619" customFormat="1" ht="25.5">
      <c r="A44" s="618"/>
      <c r="B44" s="817">
        <v>13014</v>
      </c>
      <c r="C44" s="817">
        <v>2321</v>
      </c>
      <c r="D44" s="666" t="s">
        <v>935</v>
      </c>
      <c r="E44" s="665"/>
      <c r="F44" s="665" t="s">
        <v>936</v>
      </c>
      <c r="G44" s="665" t="s">
        <v>937</v>
      </c>
      <c r="H44" s="665" t="s">
        <v>890</v>
      </c>
      <c r="I44" s="665" t="s">
        <v>938</v>
      </c>
      <c r="J44" s="816">
        <v>42726</v>
      </c>
      <c r="K44" s="816">
        <v>42726</v>
      </c>
      <c r="L44" s="665" t="s">
        <v>939</v>
      </c>
      <c r="M44" s="665">
        <v>4995</v>
      </c>
      <c r="N44" s="665">
        <v>22477.5</v>
      </c>
      <c r="O44" s="665">
        <v>32110.714285714286</v>
      </c>
      <c r="P44" s="665">
        <v>16055.357142857143</v>
      </c>
      <c r="Q44" s="665">
        <v>0</v>
      </c>
      <c r="R44" s="665">
        <v>0</v>
      </c>
      <c r="S44" s="665">
        <v>0</v>
      </c>
      <c r="T44" s="665">
        <v>0</v>
      </c>
      <c r="U44" s="665">
        <v>0</v>
      </c>
      <c r="V44" s="665">
        <v>0</v>
      </c>
      <c r="W44" s="665">
        <v>0</v>
      </c>
      <c r="X44" s="665">
        <v>10</v>
      </c>
      <c r="Y44" s="665" t="s">
        <v>111</v>
      </c>
      <c r="Z44" s="667" t="s">
        <v>111</v>
      </c>
    </row>
    <row r="45" spans="1:26" s="619" customFormat="1" ht="25.5">
      <c r="A45" s="618"/>
      <c r="B45" s="817">
        <v>13014</v>
      </c>
      <c r="C45" s="817">
        <v>2321</v>
      </c>
      <c r="D45" s="666" t="s">
        <v>940</v>
      </c>
      <c r="E45" s="665"/>
      <c r="F45" s="665" t="s">
        <v>941</v>
      </c>
      <c r="G45" s="665" t="s">
        <v>937</v>
      </c>
      <c r="H45" s="665" t="s">
        <v>890</v>
      </c>
      <c r="I45" s="665" t="s">
        <v>938</v>
      </c>
      <c r="J45" s="816">
        <v>42692</v>
      </c>
      <c r="K45" s="816">
        <v>42702</v>
      </c>
      <c r="L45" s="665" t="s">
        <v>939</v>
      </c>
      <c r="M45" s="665">
        <v>4995</v>
      </c>
      <c r="N45" s="665">
        <v>22477.5</v>
      </c>
      <c r="O45" s="665">
        <v>32110.714285714286</v>
      </c>
      <c r="P45" s="665">
        <v>16055.357142857143</v>
      </c>
      <c r="Q45" s="665">
        <v>0</v>
      </c>
      <c r="R45" s="665">
        <v>0</v>
      </c>
      <c r="S45" s="665">
        <v>0</v>
      </c>
      <c r="T45" s="665">
        <v>0</v>
      </c>
      <c r="U45" s="665">
        <v>0</v>
      </c>
      <c r="V45" s="665">
        <v>0</v>
      </c>
      <c r="W45" s="665">
        <v>0</v>
      </c>
      <c r="X45" s="665">
        <v>10</v>
      </c>
      <c r="Y45" s="665" t="s">
        <v>111</v>
      </c>
      <c r="Z45" s="667" t="s">
        <v>111</v>
      </c>
    </row>
    <row r="46" spans="1:26" s="619" customFormat="1" ht="25.5">
      <c r="A46" s="618"/>
      <c r="B46" s="817">
        <v>13014</v>
      </c>
      <c r="C46" s="817">
        <v>2328</v>
      </c>
      <c r="D46" s="666" t="s">
        <v>942</v>
      </c>
      <c r="E46" s="665"/>
      <c r="F46" s="665" t="s">
        <v>943</v>
      </c>
      <c r="G46" s="665" t="s">
        <v>937</v>
      </c>
      <c r="H46" s="665" t="s">
        <v>890</v>
      </c>
      <c r="I46" s="665" t="s">
        <v>944</v>
      </c>
      <c r="J46" s="816">
        <v>42342</v>
      </c>
      <c r="K46" s="816">
        <v>42342</v>
      </c>
      <c r="L46" s="665" t="s">
        <v>939</v>
      </c>
      <c r="M46" s="665">
        <v>1200</v>
      </c>
      <c r="N46" s="665">
        <v>5400</v>
      </c>
      <c r="O46" s="665">
        <v>7714.2857142857147</v>
      </c>
      <c r="P46" s="665">
        <v>3857.1428571428573</v>
      </c>
      <c r="Q46" s="665">
        <v>0</v>
      </c>
      <c r="R46" s="665">
        <v>0</v>
      </c>
      <c r="S46" s="665">
        <v>0</v>
      </c>
      <c r="T46" s="665">
        <v>0</v>
      </c>
      <c r="U46" s="665">
        <v>0</v>
      </c>
      <c r="V46" s="665">
        <v>0</v>
      </c>
      <c r="W46" s="665">
        <v>0</v>
      </c>
      <c r="X46" s="665">
        <v>10</v>
      </c>
      <c r="Y46" s="665" t="s">
        <v>111</v>
      </c>
      <c r="Z46" s="667" t="s">
        <v>111</v>
      </c>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35557.1</v>
      </c>
      <c r="N58" s="623">
        <f>SUM(N28:N57)</f>
        <v>160006.95000000001</v>
      </c>
      <c r="O58" s="623">
        <f t="shared" ref="O58:W58" si="2">SUM(O28:O57)</f>
        <v>227444.78571428571</v>
      </c>
      <c r="P58" s="623">
        <f t="shared" si="2"/>
        <v>338187.85714285716</v>
      </c>
      <c r="Q58" s="623">
        <f t="shared" si="2"/>
        <v>374.14285714285711</v>
      </c>
      <c r="R58" s="623">
        <f t="shared" si="2"/>
        <v>0</v>
      </c>
      <c r="S58" s="623">
        <f t="shared" si="2"/>
        <v>2340</v>
      </c>
      <c r="T58" s="623">
        <f t="shared" si="2"/>
        <v>7020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122</v>
      </c>
      <c r="N59" s="623">
        <f t="shared" si="3"/>
        <v>549</v>
      </c>
      <c r="O59" s="623">
        <f t="shared" si="3"/>
        <v>784.28571428571433</v>
      </c>
      <c r="P59" s="623">
        <f t="shared" si="3"/>
        <v>1568.5714285714287</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2000</v>
      </c>
      <c r="N60" s="623">
        <f ca="1">SUMIF($Z$28:AD57,"tertiair",N28:N57)</f>
        <v>9000</v>
      </c>
      <c r="O60" s="623">
        <f ca="1">SUMIF($Z$28:AE57,"tertiair",O28:O57)</f>
        <v>12857.142857142857</v>
      </c>
      <c r="P60" s="623">
        <f ca="1">SUMIF($Z$28:AF57,"tertiair",P28:P57)</f>
        <v>25714.285714285717</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33435.1</v>
      </c>
      <c r="N61" s="628">
        <f t="shared" si="4"/>
        <v>150457.95000000001</v>
      </c>
      <c r="O61" s="628">
        <f t="shared" si="4"/>
        <v>213803.35714285716</v>
      </c>
      <c r="P61" s="628">
        <f t="shared" si="4"/>
        <v>310905</v>
      </c>
      <c r="Q61" s="628">
        <f t="shared" si="4"/>
        <v>374.14285714285711</v>
      </c>
      <c r="R61" s="628">
        <f t="shared" si="4"/>
        <v>0</v>
      </c>
      <c r="S61" s="628">
        <f t="shared" si="4"/>
        <v>2340</v>
      </c>
      <c r="T61" s="628">
        <f t="shared" si="4"/>
        <v>7020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13014</v>
      </c>
      <c r="C64" s="817">
        <v>2320</v>
      </c>
      <c r="D64" s="668" t="s">
        <v>945</v>
      </c>
      <c r="E64" s="668" t="s">
        <v>946</v>
      </c>
      <c r="F64" s="668" t="s">
        <v>947</v>
      </c>
      <c r="G64" s="668" t="s">
        <v>948</v>
      </c>
      <c r="H64" s="668" t="s">
        <v>949</v>
      </c>
      <c r="I64" s="668" t="s">
        <v>950</v>
      </c>
      <c r="J64" s="816">
        <v>38763</v>
      </c>
      <c r="K64" s="816">
        <v>39052</v>
      </c>
      <c r="L64" s="668" t="s">
        <v>951</v>
      </c>
      <c r="M64" s="668">
        <v>298</v>
      </c>
      <c r="N64" s="668">
        <v>1341</v>
      </c>
      <c r="O64" s="668">
        <v>0</v>
      </c>
      <c r="P64" s="668">
        <v>0</v>
      </c>
      <c r="Q64" s="668">
        <v>3831.4285714285716</v>
      </c>
      <c r="R64" s="668">
        <v>0</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298</v>
      </c>
      <c r="N89" s="623">
        <f t="shared" ref="N89:W89" si="5">SUM(N64:N88)</f>
        <v>1341</v>
      </c>
      <c r="O89" s="623">
        <f t="shared" si="5"/>
        <v>0</v>
      </c>
      <c r="P89" s="623">
        <f t="shared" si="5"/>
        <v>0</v>
      </c>
      <c r="Q89" s="623">
        <f t="shared" si="5"/>
        <v>3831.4285714285716</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298</v>
      </c>
      <c r="N91" s="623">
        <f t="shared" si="7"/>
        <v>1341</v>
      </c>
      <c r="O91" s="623">
        <f t="shared" si="7"/>
        <v>0</v>
      </c>
      <c r="P91" s="623">
        <f t="shared" si="7"/>
        <v>0</v>
      </c>
      <c r="Q91" s="623">
        <f t="shared" si="7"/>
        <v>3831.4285714285716</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0.58702740173554879</v>
      </c>
      <c r="C98" s="648">
        <f>IF(ISERROR(N58/(O58+N58)),0,N58/(N58+O58))</f>
        <v>0.4129725982644511</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139662.31806577274</v>
      </c>
      <c r="C101" s="657">
        <f t="shared" si="9"/>
        <v>154.51074783637105</v>
      </c>
      <c r="D101" s="657">
        <f t="shared" si="9"/>
        <v>0</v>
      </c>
      <c r="E101" s="657">
        <f t="shared" si="9"/>
        <v>966.35587993881552</v>
      </c>
      <c r="F101" s="657">
        <f t="shared" si="9"/>
        <v>2899.0676398164469</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198525.5390770844</v>
      </c>
      <c r="C102" s="660">
        <f t="shared" si="10"/>
        <v>219.63210930648603</v>
      </c>
      <c r="D102" s="660">
        <f t="shared" si="10"/>
        <v>0</v>
      </c>
      <c r="E102" s="660">
        <f t="shared" si="10"/>
        <v>1373.6441200611841</v>
      </c>
      <c r="F102" s="660">
        <f t="shared" si="10"/>
        <v>4120.9323601835522</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36706.810076387628</v>
      </c>
      <c r="C4" s="478">
        <f>huishoudens!C8</f>
        <v>0</v>
      </c>
      <c r="D4" s="478">
        <f>huishoudens!D8</f>
        <v>90267.089344762004</v>
      </c>
      <c r="E4" s="478">
        <f>huishoudens!E8</f>
        <v>20884.074210735303</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31046.989928124396</v>
      </c>
      <c r="O4" s="478">
        <f>huishoudens!O8</f>
        <v>698.35329322423524</v>
      </c>
      <c r="P4" s="479">
        <f>huishoudens!P8</f>
        <v>1285.1430355375728</v>
      </c>
      <c r="Q4" s="480">
        <f>SUM(B4:P4)</f>
        <v>180888.45988877112</v>
      </c>
    </row>
    <row r="5" spans="1:17">
      <c r="A5" s="477" t="s">
        <v>155</v>
      </c>
      <c r="B5" s="478">
        <f ca="1">tertiair!B16</f>
        <v>62105.297874000004</v>
      </c>
      <c r="C5" s="478">
        <f ca="1">tertiair!C16</f>
        <v>12857.142857142857</v>
      </c>
      <c r="D5" s="478">
        <f ca="1">tertiair!D16</f>
        <v>46171.107710856297</v>
      </c>
      <c r="E5" s="478">
        <f>tertiair!E16</f>
        <v>748.63853862348151</v>
      </c>
      <c r="F5" s="478">
        <f ca="1">tertiair!F16</f>
        <v>5927.9489710135149</v>
      </c>
      <c r="G5" s="478">
        <f>tertiair!G16</f>
        <v>0</v>
      </c>
      <c r="H5" s="478">
        <f>tertiair!H16</f>
        <v>0</v>
      </c>
      <c r="I5" s="478">
        <f>tertiair!I16</f>
        <v>0</v>
      </c>
      <c r="J5" s="478">
        <f>tertiair!J16</f>
        <v>8.5607829023730098E-2</v>
      </c>
      <c r="K5" s="478">
        <f>tertiair!K16</f>
        <v>0</v>
      </c>
      <c r="L5" s="478">
        <f ca="1">tertiair!L16</f>
        <v>0</v>
      </c>
      <c r="M5" s="478">
        <f>tertiair!M16</f>
        <v>0</v>
      </c>
      <c r="N5" s="478">
        <f ca="1">tertiair!N16</f>
        <v>0</v>
      </c>
      <c r="O5" s="478">
        <f>tertiair!O16</f>
        <v>24.486303829205774</v>
      </c>
      <c r="P5" s="479">
        <f>tertiair!P16</f>
        <v>315.23482983897009</v>
      </c>
      <c r="Q5" s="477">
        <f t="shared" ref="Q5:Q14" ca="1" si="0">SUM(B5:P5)</f>
        <v>128149.94269313334</v>
      </c>
    </row>
    <row r="6" spans="1:17">
      <c r="A6" s="477" t="s">
        <v>193</v>
      </c>
      <c r="B6" s="478">
        <f>'openbare verlichting'!B8</f>
        <v>1440.163</v>
      </c>
      <c r="C6" s="478"/>
      <c r="D6" s="478"/>
      <c r="E6" s="478"/>
      <c r="F6" s="478"/>
      <c r="G6" s="478"/>
      <c r="H6" s="478"/>
      <c r="I6" s="478"/>
      <c r="J6" s="478"/>
      <c r="K6" s="478"/>
      <c r="L6" s="478"/>
      <c r="M6" s="478"/>
      <c r="N6" s="478"/>
      <c r="O6" s="478"/>
      <c r="P6" s="479"/>
      <c r="Q6" s="477">
        <f t="shared" si="0"/>
        <v>1440.163</v>
      </c>
    </row>
    <row r="7" spans="1:17">
      <c r="A7" s="477" t="s">
        <v>111</v>
      </c>
      <c r="B7" s="478">
        <f>landbouw!B8</f>
        <v>25711.763072000002</v>
      </c>
      <c r="C7" s="478">
        <f>landbouw!C8</f>
        <v>213803.35714285716</v>
      </c>
      <c r="D7" s="478">
        <f>landbouw!D8</f>
        <v>60212.548828400031</v>
      </c>
      <c r="E7" s="478">
        <f>landbouw!E8</f>
        <v>802.45564678365724</v>
      </c>
      <c r="F7" s="478">
        <f>landbouw!F8</f>
        <v>88528.218968726142</v>
      </c>
      <c r="G7" s="478">
        <f>landbouw!G8</f>
        <v>0</v>
      </c>
      <c r="H7" s="478">
        <f>landbouw!H8</f>
        <v>0</v>
      </c>
      <c r="I7" s="478">
        <f>landbouw!I8</f>
        <v>0</v>
      </c>
      <c r="J7" s="478">
        <f>landbouw!J8</f>
        <v>7083.7690358502105</v>
      </c>
      <c r="K7" s="478">
        <f>landbouw!K8</f>
        <v>0</v>
      </c>
      <c r="L7" s="478">
        <f>landbouw!L8</f>
        <v>0</v>
      </c>
      <c r="M7" s="478">
        <f>landbouw!M8</f>
        <v>0</v>
      </c>
      <c r="N7" s="478">
        <f>landbouw!N8</f>
        <v>0</v>
      </c>
      <c r="O7" s="478">
        <f>landbouw!O8</f>
        <v>0</v>
      </c>
      <c r="P7" s="479">
        <f>landbouw!P8</f>
        <v>0</v>
      </c>
      <c r="Q7" s="477">
        <f t="shared" si="0"/>
        <v>396142.11269461713</v>
      </c>
    </row>
    <row r="8" spans="1:17">
      <c r="A8" s="477" t="s">
        <v>629</v>
      </c>
      <c r="B8" s="478">
        <f>industrie!B18</f>
        <v>102244.839372</v>
      </c>
      <c r="C8" s="478">
        <f>industrie!C18</f>
        <v>784.28571428571433</v>
      </c>
      <c r="D8" s="478">
        <f>industrie!D18</f>
        <v>66042.965453152574</v>
      </c>
      <c r="E8" s="478">
        <f>industrie!E18</f>
        <v>10463.441291927265</v>
      </c>
      <c r="F8" s="478">
        <f>industrie!F18</f>
        <v>34008.872085810784</v>
      </c>
      <c r="G8" s="478">
        <f>industrie!G18</f>
        <v>0</v>
      </c>
      <c r="H8" s="478">
        <f>industrie!H18</f>
        <v>0</v>
      </c>
      <c r="I8" s="478">
        <f>industrie!I18</f>
        <v>0</v>
      </c>
      <c r="J8" s="478">
        <f>industrie!J18</f>
        <v>953.40162694993933</v>
      </c>
      <c r="K8" s="478">
        <f>industrie!K18</f>
        <v>0</v>
      </c>
      <c r="L8" s="478">
        <f>industrie!L18</f>
        <v>0</v>
      </c>
      <c r="M8" s="478">
        <f>industrie!M18</f>
        <v>0</v>
      </c>
      <c r="N8" s="478">
        <f>industrie!N18</f>
        <v>4638.4490555034408</v>
      </c>
      <c r="O8" s="478">
        <f>industrie!O18</f>
        <v>0</v>
      </c>
      <c r="P8" s="479">
        <f>industrie!P18</f>
        <v>0</v>
      </c>
      <c r="Q8" s="477">
        <f t="shared" si="0"/>
        <v>219136.25459962973</v>
      </c>
    </row>
    <row r="9" spans="1:17" s="483" customFormat="1">
      <c r="A9" s="481" t="s">
        <v>555</v>
      </c>
      <c r="B9" s="482">
        <f>transport!B14</f>
        <v>143.06402452083333</v>
      </c>
      <c r="C9" s="482">
        <f>transport!C14</f>
        <v>0</v>
      </c>
      <c r="D9" s="482">
        <f>transport!D14</f>
        <v>567.62494884105888</v>
      </c>
      <c r="E9" s="482">
        <f>transport!E14</f>
        <v>492.78626156225693</v>
      </c>
      <c r="F9" s="482">
        <f>transport!F14</f>
        <v>0</v>
      </c>
      <c r="G9" s="482">
        <f>transport!G14</f>
        <v>246169.93745138525</v>
      </c>
      <c r="H9" s="482">
        <f>transport!H14</f>
        <v>43238.906757464589</v>
      </c>
      <c r="I9" s="482">
        <f>transport!I14</f>
        <v>0</v>
      </c>
      <c r="J9" s="482">
        <f>transport!J14</f>
        <v>0</v>
      </c>
      <c r="K9" s="482">
        <f>transport!K14</f>
        <v>0</v>
      </c>
      <c r="L9" s="482">
        <f>transport!L14</f>
        <v>0</v>
      </c>
      <c r="M9" s="482">
        <f>transport!M14</f>
        <v>17035.329767982857</v>
      </c>
      <c r="N9" s="482">
        <f>transport!N14</f>
        <v>0</v>
      </c>
      <c r="O9" s="482">
        <f>transport!O14</f>
        <v>0</v>
      </c>
      <c r="P9" s="482">
        <f>transport!P14</f>
        <v>0</v>
      </c>
      <c r="Q9" s="481">
        <f>SUM(B9:P9)</f>
        <v>307647.64921175689</v>
      </c>
    </row>
    <row r="10" spans="1:17">
      <c r="A10" s="477" t="s">
        <v>545</v>
      </c>
      <c r="B10" s="478">
        <f>transport!B54</f>
        <v>0</v>
      </c>
      <c r="C10" s="478">
        <f>transport!C54</f>
        <v>0</v>
      </c>
      <c r="D10" s="478">
        <f>transport!D54</f>
        <v>0</v>
      </c>
      <c r="E10" s="478">
        <f>transport!E54</f>
        <v>0</v>
      </c>
      <c r="F10" s="478">
        <f>transport!F54</f>
        <v>0</v>
      </c>
      <c r="G10" s="478">
        <f>transport!G54</f>
        <v>1633.6131268756794</v>
      </c>
      <c r="H10" s="478">
        <f>transport!H54</f>
        <v>0</v>
      </c>
      <c r="I10" s="478">
        <f>transport!I54</f>
        <v>0</v>
      </c>
      <c r="J10" s="478">
        <f>transport!J54</f>
        <v>0</v>
      </c>
      <c r="K10" s="478">
        <f>transport!K54</f>
        <v>0</v>
      </c>
      <c r="L10" s="478">
        <f>transport!L54</f>
        <v>0</v>
      </c>
      <c r="M10" s="478">
        <f>transport!M54</f>
        <v>90.796398341113274</v>
      </c>
      <c r="N10" s="478">
        <f>transport!N54</f>
        <v>0</v>
      </c>
      <c r="O10" s="478">
        <f>transport!O54</f>
        <v>0</v>
      </c>
      <c r="P10" s="479">
        <f>transport!P54</f>
        <v>0</v>
      </c>
      <c r="Q10" s="477">
        <f t="shared" si="0"/>
        <v>1724.4095252167926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1657.1711749999999</v>
      </c>
      <c r="C14" s="485"/>
      <c r="D14" s="485">
        <f>'SEAP template'!E25</f>
        <v>2657.5286970000002</v>
      </c>
      <c r="E14" s="485"/>
      <c r="F14" s="485"/>
      <c r="G14" s="485"/>
      <c r="H14" s="485"/>
      <c r="I14" s="485"/>
      <c r="J14" s="485"/>
      <c r="K14" s="485"/>
      <c r="L14" s="485"/>
      <c r="M14" s="485"/>
      <c r="N14" s="485"/>
      <c r="O14" s="485"/>
      <c r="P14" s="486"/>
      <c r="Q14" s="477">
        <f t="shared" si="0"/>
        <v>4314.6998720000001</v>
      </c>
    </row>
    <row r="15" spans="1:17" s="489" customFormat="1">
      <c r="A15" s="487" t="s">
        <v>549</v>
      </c>
      <c r="B15" s="488">
        <f ca="1">SUM(B4:B14)</f>
        <v>230009.10859390849</v>
      </c>
      <c r="C15" s="488">
        <f t="shared" ref="C15:Q15" ca="1" si="1">SUM(C4:C14)</f>
        <v>227444.78571428574</v>
      </c>
      <c r="D15" s="488">
        <f t="shared" ca="1" si="1"/>
        <v>265918.86498301197</v>
      </c>
      <c r="E15" s="488">
        <f t="shared" si="1"/>
        <v>33391.395949631959</v>
      </c>
      <c r="F15" s="488">
        <f t="shared" ca="1" si="1"/>
        <v>128465.04002555044</v>
      </c>
      <c r="G15" s="488">
        <f t="shared" si="1"/>
        <v>247803.55057826094</v>
      </c>
      <c r="H15" s="488">
        <f t="shared" si="1"/>
        <v>43238.906757464589</v>
      </c>
      <c r="I15" s="488">
        <f t="shared" si="1"/>
        <v>0</v>
      </c>
      <c r="J15" s="488">
        <f t="shared" si="1"/>
        <v>8037.2562706291737</v>
      </c>
      <c r="K15" s="488">
        <f t="shared" si="1"/>
        <v>0</v>
      </c>
      <c r="L15" s="488">
        <f t="shared" ca="1" si="1"/>
        <v>0</v>
      </c>
      <c r="M15" s="488">
        <f t="shared" si="1"/>
        <v>17126.126166323971</v>
      </c>
      <c r="N15" s="488">
        <f t="shared" ca="1" si="1"/>
        <v>35685.438983627835</v>
      </c>
      <c r="O15" s="488">
        <f t="shared" si="1"/>
        <v>722.83959705344103</v>
      </c>
      <c r="P15" s="488">
        <f t="shared" si="1"/>
        <v>1600.377865376543</v>
      </c>
      <c r="Q15" s="488">
        <f t="shared" ca="1" si="1"/>
        <v>1239443.6914851249</v>
      </c>
    </row>
    <row r="17" spans="1:17">
      <c r="A17" s="490" t="s">
        <v>550</v>
      </c>
      <c r="B17" s="807">
        <f ca="1">huishoudens!B10</f>
        <v>0.1192847673766995</v>
      </c>
      <c r="C17" s="807">
        <f ca="1">huishoudens!C10</f>
        <v>0.17792855416111458</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4378.5633011025875</v>
      </c>
      <c r="C22" s="478">
        <f t="shared" ref="C22:C32" ca="1" si="3">C4*$C$17</f>
        <v>0</v>
      </c>
      <c r="D22" s="478">
        <f t="shared" ref="D22:D32" si="4">D4*$D$17</f>
        <v>18233.952047641927</v>
      </c>
      <c r="E22" s="478">
        <f t="shared" ref="E22:E32" si="5">E4*$E$17</f>
        <v>4740.6848458369141</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27353.200194581426</v>
      </c>
    </row>
    <row r="23" spans="1:17">
      <c r="A23" s="477" t="s">
        <v>155</v>
      </c>
      <c r="B23" s="478">
        <f t="shared" ca="1" si="2"/>
        <v>7408.2160097607211</v>
      </c>
      <c r="C23" s="478">
        <f t="shared" ca="1" si="3"/>
        <v>2287.6528392143305</v>
      </c>
      <c r="D23" s="478">
        <f t="shared" ca="1" si="4"/>
        <v>9326.5637575929723</v>
      </c>
      <c r="E23" s="478">
        <f t="shared" si="5"/>
        <v>169.9409482675303</v>
      </c>
      <c r="F23" s="478">
        <f t="shared" ca="1" si="6"/>
        <v>1582.7623752606087</v>
      </c>
      <c r="G23" s="478">
        <f t="shared" si="7"/>
        <v>0</v>
      </c>
      <c r="H23" s="478">
        <f t="shared" si="8"/>
        <v>0</v>
      </c>
      <c r="I23" s="478">
        <f t="shared" si="9"/>
        <v>0</v>
      </c>
      <c r="J23" s="478">
        <f t="shared" si="10"/>
        <v>3.0305171474400452E-2</v>
      </c>
      <c r="K23" s="478">
        <f t="shared" si="11"/>
        <v>0</v>
      </c>
      <c r="L23" s="478">
        <f t="shared" ca="1" si="12"/>
        <v>0</v>
      </c>
      <c r="M23" s="478">
        <f t="shared" si="13"/>
        <v>0</v>
      </c>
      <c r="N23" s="478">
        <f t="shared" ca="1" si="14"/>
        <v>0</v>
      </c>
      <c r="O23" s="478">
        <f t="shared" si="15"/>
        <v>0</v>
      </c>
      <c r="P23" s="479">
        <f t="shared" si="16"/>
        <v>0</v>
      </c>
      <c r="Q23" s="477">
        <f t="shared" ref="Q23:Q31" ca="1" si="17">SUM(B23:P23)</f>
        <v>20775.166235267632</v>
      </c>
    </row>
    <row r="24" spans="1:17">
      <c r="A24" s="477" t="s">
        <v>193</v>
      </c>
      <c r="B24" s="478">
        <f t="shared" ca="1" si="2"/>
        <v>171.7895084395297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171.7895084395297</v>
      </c>
    </row>
    <row r="25" spans="1:17">
      <c r="A25" s="477" t="s">
        <v>111</v>
      </c>
      <c r="B25" s="478">
        <f t="shared" ca="1" si="2"/>
        <v>3067.0216768883329</v>
      </c>
      <c r="C25" s="478">
        <f t="shared" ca="1" si="3"/>
        <v>38041.722211220986</v>
      </c>
      <c r="D25" s="478">
        <f t="shared" si="4"/>
        <v>12162.934863336806</v>
      </c>
      <c r="E25" s="478">
        <f t="shared" si="5"/>
        <v>182.15743181989021</v>
      </c>
      <c r="F25" s="478">
        <f t="shared" si="6"/>
        <v>23637.034464649882</v>
      </c>
      <c r="G25" s="478">
        <f t="shared" si="7"/>
        <v>0</v>
      </c>
      <c r="H25" s="478">
        <f t="shared" si="8"/>
        <v>0</v>
      </c>
      <c r="I25" s="478">
        <f t="shared" si="9"/>
        <v>0</v>
      </c>
      <c r="J25" s="478">
        <f t="shared" si="10"/>
        <v>2507.6542386909746</v>
      </c>
      <c r="K25" s="478">
        <f t="shared" si="11"/>
        <v>0</v>
      </c>
      <c r="L25" s="478">
        <f t="shared" si="12"/>
        <v>0</v>
      </c>
      <c r="M25" s="478">
        <f t="shared" si="13"/>
        <v>0</v>
      </c>
      <c r="N25" s="478">
        <f t="shared" si="14"/>
        <v>0</v>
      </c>
      <c r="O25" s="478">
        <f t="shared" si="15"/>
        <v>0</v>
      </c>
      <c r="P25" s="479">
        <f t="shared" si="16"/>
        <v>0</v>
      </c>
      <c r="Q25" s="477">
        <f t="shared" ca="1" si="17"/>
        <v>79598.524886606872</v>
      </c>
    </row>
    <row r="26" spans="1:17">
      <c r="A26" s="477" t="s">
        <v>629</v>
      </c>
      <c r="B26" s="478">
        <f t="shared" ca="1" si="2"/>
        <v>12196.251879957026</v>
      </c>
      <c r="C26" s="478">
        <f t="shared" ca="1" si="3"/>
        <v>139.54682319207416</v>
      </c>
      <c r="D26" s="478">
        <f t="shared" si="4"/>
        <v>13340.67902153682</v>
      </c>
      <c r="E26" s="478">
        <f t="shared" si="5"/>
        <v>2375.2011732674891</v>
      </c>
      <c r="F26" s="478">
        <f t="shared" si="6"/>
        <v>9080.3688469114804</v>
      </c>
      <c r="G26" s="478">
        <f t="shared" si="7"/>
        <v>0</v>
      </c>
      <c r="H26" s="478">
        <f t="shared" si="8"/>
        <v>0</v>
      </c>
      <c r="I26" s="478">
        <f t="shared" si="9"/>
        <v>0</v>
      </c>
      <c r="J26" s="478">
        <f t="shared" si="10"/>
        <v>337.50417594027851</v>
      </c>
      <c r="K26" s="478">
        <f t="shared" si="11"/>
        <v>0</v>
      </c>
      <c r="L26" s="478">
        <f t="shared" si="12"/>
        <v>0</v>
      </c>
      <c r="M26" s="478">
        <f t="shared" si="13"/>
        <v>0</v>
      </c>
      <c r="N26" s="478">
        <f t="shared" si="14"/>
        <v>0</v>
      </c>
      <c r="O26" s="478">
        <f t="shared" si="15"/>
        <v>0</v>
      </c>
      <c r="P26" s="479">
        <f t="shared" si="16"/>
        <v>0</v>
      </c>
      <c r="Q26" s="477">
        <f t="shared" ca="1" si="17"/>
        <v>37469.55192080517</v>
      </c>
    </row>
    <row r="27" spans="1:17" s="483" customFormat="1">
      <c r="A27" s="481" t="s">
        <v>555</v>
      </c>
      <c r="B27" s="801">
        <f t="shared" ca="1" si="2"/>
        <v>17.065358884942036</v>
      </c>
      <c r="C27" s="482">
        <f t="shared" ca="1" si="3"/>
        <v>0</v>
      </c>
      <c r="D27" s="482">
        <f t="shared" si="4"/>
        <v>114.6602396658939</v>
      </c>
      <c r="E27" s="482">
        <f t="shared" si="5"/>
        <v>111.86248137463232</v>
      </c>
      <c r="F27" s="482">
        <f t="shared" si="6"/>
        <v>0</v>
      </c>
      <c r="G27" s="482">
        <f t="shared" si="7"/>
        <v>65727.373299519866</v>
      </c>
      <c r="H27" s="482">
        <f t="shared" si="8"/>
        <v>10766.487782608683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76737.449162054021</v>
      </c>
    </row>
    <row r="28" spans="1:17" ht="16.5" customHeight="1">
      <c r="A28" s="477" t="s">
        <v>545</v>
      </c>
      <c r="B28" s="478">
        <f t="shared" ca="1" si="2"/>
        <v>0</v>
      </c>
      <c r="C28" s="478">
        <f t="shared" ca="1" si="3"/>
        <v>0</v>
      </c>
      <c r="D28" s="478">
        <f t="shared" si="4"/>
        <v>0</v>
      </c>
      <c r="E28" s="478">
        <f t="shared" si="5"/>
        <v>0</v>
      </c>
      <c r="F28" s="478">
        <f t="shared" si="6"/>
        <v>0</v>
      </c>
      <c r="G28" s="478">
        <f t="shared" si="7"/>
        <v>436.17470487580641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436.17470487580641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197.67527811324678</v>
      </c>
      <c r="C32" s="478">
        <f t="shared" ca="1" si="3"/>
        <v>0</v>
      </c>
      <c r="D32" s="478">
        <f t="shared" si="4"/>
        <v>536.8207967940001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734.49607490724691</v>
      </c>
    </row>
    <row r="33" spans="1:17" s="489" customFormat="1">
      <c r="A33" s="487" t="s">
        <v>549</v>
      </c>
      <c r="B33" s="488">
        <f ca="1">SUM(B22:B32)</f>
        <v>27436.583013146384</v>
      </c>
      <c r="C33" s="488">
        <f t="shared" ref="C33:Q33" ca="1" si="19">SUM(C22:C32)</f>
        <v>40468.921873627391</v>
      </c>
      <c r="D33" s="488">
        <f t="shared" ca="1" si="19"/>
        <v>53715.610726568426</v>
      </c>
      <c r="E33" s="488">
        <f t="shared" si="19"/>
        <v>7579.8468805664552</v>
      </c>
      <c r="F33" s="488">
        <f t="shared" ca="1" si="19"/>
        <v>34300.165686821972</v>
      </c>
      <c r="G33" s="488">
        <f t="shared" si="19"/>
        <v>66163.548004395678</v>
      </c>
      <c r="H33" s="488">
        <f t="shared" si="19"/>
        <v>10766.487782608683</v>
      </c>
      <c r="I33" s="488">
        <f t="shared" si="19"/>
        <v>0</v>
      </c>
      <c r="J33" s="488">
        <f t="shared" si="19"/>
        <v>2845.1887198027275</v>
      </c>
      <c r="K33" s="488">
        <f t="shared" si="19"/>
        <v>0</v>
      </c>
      <c r="L33" s="488">
        <f t="shared" ca="1" si="19"/>
        <v>0</v>
      </c>
      <c r="M33" s="488">
        <f t="shared" si="19"/>
        <v>0</v>
      </c>
      <c r="N33" s="488">
        <f t="shared" ca="1" si="19"/>
        <v>0</v>
      </c>
      <c r="O33" s="488">
        <f t="shared" si="19"/>
        <v>0</v>
      </c>
      <c r="P33" s="488">
        <f t="shared" si="19"/>
        <v>0</v>
      </c>
      <c r="Q33" s="488">
        <f t="shared" ca="1" si="19"/>
        <v>243276.3526875377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67035.237083930755</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10287.73373299587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3400.5157662801271</v>
      </c>
      <c r="C8" s="1062">
        <f>'SEAP template'!C76</f>
        <v>156606.43423371989</v>
      </c>
      <c r="D8" s="1062">
        <f>'SEAP template'!D76</f>
        <v>139662.31806577274</v>
      </c>
      <c r="E8" s="1062">
        <f>'SEAP template'!E76</f>
        <v>0</v>
      </c>
      <c r="F8" s="1062">
        <f>'SEAP template'!F76</f>
        <v>966.35587993881552</v>
      </c>
      <c r="G8" s="1062">
        <f>'SEAP template'!G76</f>
        <v>0</v>
      </c>
      <c r="H8" s="1062">
        <f>'SEAP template'!H76</f>
        <v>0</v>
      </c>
      <c r="I8" s="1062">
        <f>'SEAP template'!I76</f>
        <v>2899.0676398164469</v>
      </c>
      <c r="J8" s="1062">
        <f>'SEAP template'!J76</f>
        <v>154.51074783637105</v>
      </c>
      <c r="K8" s="1062">
        <f>'SEAP template'!K76</f>
        <v>0</v>
      </c>
      <c r="L8" s="1062">
        <f>'SEAP template'!L76</f>
        <v>0</v>
      </c>
      <c r="M8" s="1062">
        <f>'SEAP template'!M76</f>
        <v>0</v>
      </c>
      <c r="N8" s="1062">
        <f>'SEAP template'!N76</f>
        <v>0</v>
      </c>
      <c r="O8" s="1062">
        <f>'SEAP template'!O76</f>
        <v>0</v>
      </c>
      <c r="P8" s="1063">
        <f>'SEAP template'!Q76</f>
        <v>28469.805269229761</v>
      </c>
    </row>
    <row r="9" spans="1:16">
      <c r="A9" s="1068" t="s">
        <v>802</v>
      </c>
      <c r="B9" s="1062">
        <f>'SEAP template'!B77</f>
        <v>1341</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3831.4285714285716</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82064.486583206744</v>
      </c>
      <c r="C10" s="1064">
        <f>SUM(C4:C9)</f>
        <v>156606.43423371989</v>
      </c>
      <c r="D10" s="1064">
        <f t="shared" ref="D10:H10" si="0">SUM(D8:D9)</f>
        <v>139662.31806577274</v>
      </c>
      <c r="E10" s="1064">
        <f t="shared" si="0"/>
        <v>0</v>
      </c>
      <c r="F10" s="1064">
        <f t="shared" si="0"/>
        <v>966.35587993881552</v>
      </c>
      <c r="G10" s="1064">
        <f t="shared" si="0"/>
        <v>0</v>
      </c>
      <c r="H10" s="1064">
        <f t="shared" si="0"/>
        <v>0</v>
      </c>
      <c r="I10" s="1064">
        <f>SUM(I8:I9)</f>
        <v>2899.0676398164469</v>
      </c>
      <c r="J10" s="1064">
        <f>SUM(J8:J9)</f>
        <v>3985.9393192649427</v>
      </c>
      <c r="K10" s="1064">
        <f t="shared" ref="K10:L10" si="1">SUM(K8:K9)</f>
        <v>0</v>
      </c>
      <c r="L10" s="1064">
        <f t="shared" si="1"/>
        <v>0</v>
      </c>
      <c r="M10" s="1064">
        <f>SUM(M8:M9)</f>
        <v>0</v>
      </c>
      <c r="N10" s="1064">
        <f>SUM(N8:N9)</f>
        <v>0</v>
      </c>
      <c r="O10" s="1064">
        <f>SUM(O8:O9)</f>
        <v>0</v>
      </c>
      <c r="P10" s="1064">
        <f>SUM(P8:P9)</f>
        <v>28469.805269229761</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0.1192847673766995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4833.7249086969869</v>
      </c>
      <c r="C17" s="1065">
        <f>'SEAP template'!C87</f>
        <v>222611.06080558873</v>
      </c>
      <c r="D17" s="1063">
        <f>'SEAP template'!D87</f>
        <v>198525.5390770844</v>
      </c>
      <c r="E17" s="1063">
        <f>'SEAP template'!E87</f>
        <v>0</v>
      </c>
      <c r="F17" s="1063">
        <f>'SEAP template'!F87</f>
        <v>1373.6441200611841</v>
      </c>
      <c r="G17" s="1063">
        <f>'SEAP template'!G87</f>
        <v>0</v>
      </c>
      <c r="H17" s="1063">
        <f>'SEAP template'!H87</f>
        <v>0</v>
      </c>
      <c r="I17" s="1063">
        <f>'SEAP template'!I87</f>
        <v>4120.9323601835522</v>
      </c>
      <c r="J17" s="1063">
        <f>'SEAP template'!J87</f>
        <v>219.63210930648603</v>
      </c>
      <c r="K17" s="1063">
        <f>'SEAP template'!K87</f>
        <v>0</v>
      </c>
      <c r="L17" s="1063">
        <f>'SEAP template'!L87</f>
        <v>0</v>
      </c>
      <c r="M17" s="1063">
        <f>'SEAP template'!M87</f>
        <v>0</v>
      </c>
      <c r="N17" s="1063">
        <f>'SEAP template'!N87</f>
        <v>0</v>
      </c>
      <c r="O17" s="1063">
        <f>'SEAP template'!O87</f>
        <v>0</v>
      </c>
      <c r="P17" s="1063">
        <f>'SEAP template'!Q87</f>
        <v>40468.921873627391</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4833.7249086969869</v>
      </c>
      <c r="C20" s="1064">
        <f>SUM(C17:C19)</f>
        <v>222611.06080558873</v>
      </c>
      <c r="D20" s="1064">
        <f t="shared" ref="D20:H20" si="2">SUM(D17:D19)</f>
        <v>198525.5390770844</v>
      </c>
      <c r="E20" s="1064">
        <f t="shared" si="2"/>
        <v>0</v>
      </c>
      <c r="F20" s="1064">
        <f t="shared" si="2"/>
        <v>1373.6441200611841</v>
      </c>
      <c r="G20" s="1064">
        <f t="shared" si="2"/>
        <v>0</v>
      </c>
      <c r="H20" s="1064">
        <f t="shared" si="2"/>
        <v>0</v>
      </c>
      <c r="I20" s="1064">
        <f>SUM(I17:I19)</f>
        <v>4120.9323601835522</v>
      </c>
      <c r="J20" s="1064">
        <f>SUM(J17:J19)</f>
        <v>219.63210930648603</v>
      </c>
      <c r="K20" s="1064">
        <f t="shared" ref="K20:L20" si="3">SUM(K17:K19)</f>
        <v>0</v>
      </c>
      <c r="L20" s="1064">
        <f t="shared" si="3"/>
        <v>0</v>
      </c>
      <c r="M20" s="1064">
        <f>SUM(M17:M19)</f>
        <v>0</v>
      </c>
      <c r="N20" s="1064">
        <f>SUM(N17:N19)</f>
        <v>0</v>
      </c>
      <c r="O20" s="1064">
        <f>SUM(O17:O19)</f>
        <v>0</v>
      </c>
      <c r="P20" s="1064">
        <f>SUM(P17:P19)</f>
        <v>40468.921873627391</v>
      </c>
    </row>
    <row r="21" spans="1:16">
      <c r="B21" s="913"/>
    </row>
    <row r="22" spans="1:16">
      <c r="A22" s="490" t="s">
        <v>814</v>
      </c>
      <c r="B22" s="807" t="s">
        <v>812</v>
      </c>
      <c r="C22" s="807">
        <f ca="1">'EF ele_warmte'!B22</f>
        <v>0.17792855416111458</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0.1192847673766995</v>
      </c>
      <c r="C17" s="527">
        <f ca="1">'EF ele_warmte'!B22</f>
        <v>0.17792855416111458</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2019-08-12T08:38:17Z</dcterms:modified>
</cp:coreProperties>
</file>