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<sst xmlns="http://schemas.openxmlformats.org/spreadsheetml/2006/main" count="2435" uniqueCount="912">
  <si>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</si>
  <si>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</si>
  <si>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</si>
  <si>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</si>
  <si>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</si>
  <si>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</si>
  <si>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</si>
  <si>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</si>
  <si>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</si>
  <si>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</si>
  <si>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</si>
  <si>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</si>
  <si>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</si>
  <si>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</si>
  <si>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</si>
  <si>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</si>
  <si>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</si>
  <si>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</si>
  <si>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</si>
  <si>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</si>
  <si>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</si>
  <si>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</si>
  <si>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</si>
  <si>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</si>
  <si>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</si>
  <si>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</si>
  <si>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</si>
  <si>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</si>
  <si>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</si>
  <si>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</si>
  <si>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</si>
  <si>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</si>
  <si>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</si>
  <si>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</si>
  <si>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</si>
  <si>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</si>
  <si>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</si>
  <si>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</si>
  <si>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</si>
  <si>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</si>
  <si>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</si>
  <si>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</si>
  <si>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</si>
  <si>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</si>
  <si>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</si>
  <si>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</si>
  <si>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</si>
  <si>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</si>
  <si>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</si>
  <si>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</si>
  <si>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</si>
  <si>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</si>
  <si>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</si>
  <si>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</si>
  <si>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</si>
  <si>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</si>
  <si>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</si>
  <si>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</si>
  <si>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</si>
  <si>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</si>
  <si>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</si>
  <si>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</si>
  <si>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</si>
  <si>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</si>
  <si>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</si>
  <si>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</si>
  <si>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</si>
  <si>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</si>
  <si>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</si>
  <si>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</si>
  <si>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</si>
  <si>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</si>
  <si>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</si>
  <si>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</si>
  <si>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</si>
  <si>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</si>
  <si>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</si>
  <si>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</si>
  <si>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</si>
  <si>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</si>
  <si>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</si>
  <si>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</si>
  <si>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</si>
  <si>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</si>
  <si>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</si>
  <si>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</si>
  <si>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</si>
  <si>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</si>
  <si>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</si>
  <si>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</si>
  <si>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</si>
  <si>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</si>
  <si>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</si>
  <si>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</si>
  <si>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</si>
  <si>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</si>
  <si>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</si>
  <si>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</si>
  <si>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</si>
  <si>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</si>
  <si>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</si>
  <si>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</si>
  <si>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</si>
  <si>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</si>
  <si>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</si>
  <si>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</si>
  <si>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</si>
  <si>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</si>
  <si>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</si>
  <si>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</si>
  <si>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</si>
  <si>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</si>
  <si>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</si>
  <si>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</si>
  <si>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</si>
  <si>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</si>
  <si>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</si>
  <si>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</si>
  <si>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</si>
  <si>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</si>
  <si>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</si>
  <si>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</si>
  <si>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</si>
  <si>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</si>
  <si>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</si>
  <si>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</si>
  <si>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</si>
  <si>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</si>
  <si>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</si>
  <si>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</si>
  <si>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</si>
  <si>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</si>
  <si>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</si>
  <si>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</si>
  <si>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</si>
  <si>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</si>
  <si>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</si>
  <si>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</si>
  <si>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</si>
  <si>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</si>
  <si>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</si>
  <si>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</si>
  <si>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</si>
  <si>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</si>
  <si>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</si>
  <si>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</si>
  <si>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</si>
  <si>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</si>
  <si>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</si>
  <si>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</si>
  <si>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</si>
  <si>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</si>
  <si>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</si>
  <si>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</si>
  <si>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</si>
  <si>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</si>
  <si>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</si>
  <si>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</si>
  <si>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</si>
  <si>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</si>
  <si>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</si>
  <si>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</si>
  <si>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</si>
  <si>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</si>
  <si>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</si>
  <si>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</si>
  <si>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</si>
  <si>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</si>
  <si>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</si>
  <si>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</si>
  <si>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</si>
  <si>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</si>
  <si>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</si>
  <si>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</si>
  <si>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</si>
  <si>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</si>
  <si>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</si>
  <si>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</si>
  <si>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</si>
  <si>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</si>
  <si>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</si>
  <si>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</si>
  <si>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</si>
  <si>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</si>
  <si>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</si>
  <si>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</si>
  <si>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</si>
  <si>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</si>
  <si>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</si>
  <si>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</si>
  <si>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</si>
  <si>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</si>
  <si>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</si>
  <si>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</si>
  <si>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</si>
  <si>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</si>
  <si>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</si>
  <si>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</si>
  <si>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</si>
  <si>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</si>
  <si>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</si>
  <si>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</si>
  <si>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</si>
  <si>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</si>
  <si>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</si>
  <si>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</si>
  <si>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</si>
  <si>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</si>
  <si>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</si>
  <si>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</si>
  <si>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</si>
  <si>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</si>
  <si>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</si>
  <si>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</si>
  <si>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</si>
  <si>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</si>
  <si>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</si>
  <si>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</si>
  <si>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</si>
  <si>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</si>
  <si>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</si>
  <si>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</si>
  <si>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</si>
  <si>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</si>
  <si>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</si>
  <si>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</si>
  <si>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</si>
  <si>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</si>
  <si>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</si>
  <si>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</si>
  <si>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</si>
  <si>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</si>
  <si>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</si>
  <si>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</si>
  <si>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</si>
  <si>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</si>
  <si>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</si>
  <si>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</si>
  <si>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</si>
  <si>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</si>
  <si>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</si>
  <si>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</si>
  <si>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</si>
  <si>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</si>
  <si>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</si>
  <si>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</si>
  <si>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</si>
  <si>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</si>
  <si>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</si>
  <si>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</si>
  <si>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</si>
  <si>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</si>
  <si>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</si>
  <si>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</si>
  <si>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</si>
  <si>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</si>
  <si>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</si>
  <si>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</si>
  <si>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</si>
  <si>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</si>
  <si>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</si>
  <si>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</si>
  <si>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</si>
  <si>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</si>
  <si>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</si>
  <si>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</si>
  <si>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</si>
  <si>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</si>
  <si>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</si>
  <si>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</si>
  <si>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</si>
  <si>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</si>
  <si>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</si>
  <si>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</si>
  <si>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</si>
  <si>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</si>
  <si>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</si>
  <si>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</si>
  <si>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</si>
  <si>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</si>
  <si>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</si>
  <si>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</si>
  <si>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</si>
  <si>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</si>
  <si>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</si>
  <si>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</si>
  <si>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</si>
  <si>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</si>
  <si>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</si>
  <si>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</si>
  <si>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</si>
  <si>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</si>
  <si>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</si>
  <si>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</si>
  <si>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</si>
  <si>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</si>
  <si>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</si>
  <si>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</si>
  <si>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</si>
  <si>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</si>
  <si>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</si>
  <si>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</si>
  <si>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</si>
  <si>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</si>
  <si>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</si>
  <si>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</si>
  <si>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</si>
  <si>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</si>
  <si>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</si>
  <si>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</si>
  <si>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</si>
  <si>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</si>
  <si>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</si>
  <si>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</si>
  <si>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</si>
  <si>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</si>
  <si>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</si>
  <si>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</si>
  <si>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</si>
  <si>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</si>
  <si>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</si>
  <si>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</si>
  <si>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</si>
  <si>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</si>
  <si>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</si>
  <si>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</si>
  <si>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</si>
  <si>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</si>
  <si>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</si>
  <si>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</si>
  <si>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</si>
  <si>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</si>
  <si>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</si>
  <si>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</si>
  <si>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</si>
  <si>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</si>
  <si>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</si>
  <si>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</si>
  <si>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</si>
  <si>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</si>
  <si>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</si>
  <si>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</si>
  <si>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</si>
  <si>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</si>
  <si>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</si>
  <si>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</si>
  <si>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</si>
  <si>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</si>
  <si>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</si>
  <si>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</si>
  <si>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</si>
  <si>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</si>
  <si>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</si>
  <si>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</si>
  <si>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</si>
  <si>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</si>
  <si>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</si>
  <si>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</si>
  <si>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</si>
  <si>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</si>
  <si>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</si>
  <si>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</si>
  <si>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</si>
  <si>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</si>
  <si>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</si>
  <si>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</si>
  <si>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</si>
  <si>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</si>
  <si>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</si>
  <si>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</si>
  <si>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</si>
  <si>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</si>
  <si>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</si>
  <si>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</si>
  <si>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</si>
  <si>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</si>
  <si>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</si>
  <si>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</si>
  <si>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</si>
  <si>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</si>
  <si>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</si>
  <si>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</si>
  <si>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</si>
  <si>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</si>
  <si>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</si>
  <si>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</si>
  <si>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</si>
  <si>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</si>
  <si>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</si>
  <si>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</si>
  <si>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</si>
  <si>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</si>
  <si>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</si>
  <si>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</si>
  <si>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</si>
  <si>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</si>
  <si>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</si>
  <si>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</si>
  <si>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</si>
  <si>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</si>
  <si>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</si>
  <si>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</si>
  <si>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</si>
  <si>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</si>
  <si>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</si>
  <si>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</si>
  <si>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</si>
  <si>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</si>
  <si>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</si>
  <si>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</si>
  <si>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</si>
  <si>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</si>
  <si>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</si>
  <si>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</si>
  <si>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</si>
  <si>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</si>
  <si>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</si>
  <si>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</si>
  <si>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</si>
  <si>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</si>
  <si>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</si>
  <si>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</si>
  <si>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</si>
  <si>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</si>
  <si>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</si>
  <si>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</si>
  <si>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</si>
  <si>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</si>
  <si>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</si>
  <si>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</si>
  <si>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</si>
  <si>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</si>
  <si>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</si>
  <si>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</si>
  <si>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</si>
  <si>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</si>
  <si>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</si>
  <si>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</si>
  <si>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</si>
  <si>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</si>
  <si>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</si>
  <si>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</si>
  <si>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</si>
  <si>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</si>
  <si>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</si>
  <si>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</si>
  <si>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</si>
  <si>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</si>
  <si>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</si>
  <si>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</si>
  <si>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</si>
  <si>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</si>
  <si>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</si>
  <si>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</si>
  <si>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</si>
  <si>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</si>
  <si>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</si>
  <si>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</si>
  <si>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</si>
  <si>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</si>
  <si>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</si>
  <si>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</si>
  <si>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</si>
  <si>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</si>
  <si>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</si>
  <si>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</si>
  <si>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</si>
  <si>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</si>
  <si>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</si>
  <si>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</si>
  <si>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</si>
  <si>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</si>
  <si>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</si>
  <si>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</si>
  <si>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</si>
  <si>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</si>
  <si>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</si>
  <si>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</si>
  <si>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</si>
  <si>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</si>
  <si>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</si>
  <si>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</si>
  <si>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</si>
  <si>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</si>
  <si>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</si>
  <si>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</si>
  <si>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</si>
  <si>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</si>
  <si>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</si>
  <si>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</si>
  <si>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</si>
  <si>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</si>
  <si>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</si>
  <si>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</si>
  <si>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</si>
  <si>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</si>
  <si>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</si>
  <si>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</si>
  <si>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</si>
  <si>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</si>
  <si>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</si>
  <si>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</si>
  <si>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</si>
  <si>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</si>
  <si>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</si>
  <si>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</si>
  <si>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</si>
  <si>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</si>
  <si>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</si>
  <si>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</si>
  <si>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</si>
  <si>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</si>
  <si>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</si>
  <si>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</si>
  <si>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</si>
  <si>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</si>
  <si>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</si>
  <si>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</si>
  <si>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</si>
  <si>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</si>
  <si>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</si>
  <si>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</si>
  <si>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</si>
  <si>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</si>
  <si>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</si>
  <si>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</si>
  <si>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</si>
  <si>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</si>
  <si>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</si>
  <si>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</si>
  <si>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</si>
  <si>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</si>
  <si>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</si>
  <si>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</si>
  <si>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</si>
  <si>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</si>
  <si>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</si>
  <si>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</si>
  <si>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</si>
  <si>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</si>
  <si>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</si>
  <si>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</si>
  <si>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</si>
  <si>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</si>
  <si>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</si>
  <si>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</si>
  <si>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</si>
  <si>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</si>
  <si>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</si>
  <si>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</si>
  <si>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</si>
  <si>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</si>
  <si>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</si>
  <si>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</si>
  <si>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</si>
  <si>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</si>
  <si>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</si>
  <si>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</si>
  <si>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</si>
  <si>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</si>
  <si>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</si>
  <si>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</si>
  <si>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</si>
  <si>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</si>
  <si>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</si>
  <si>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</si>
  <si>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</si>
  <si>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</si>
  <si>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</si>
  <si>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</si>
  <si>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</si>
  <si>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</si>
  <si>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</si>
  <si>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</si>
  <si>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</si>
  <si>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</si>
  <si>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</si>
  <si>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</si>
  <si>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</si>
  <si>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</si>
  <si>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</si>
  <si>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</si>
  <si>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</si>
  <si>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</si>
  <si>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</si>
  <si>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</si>
  <si>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</si>
  <si>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</si>
  <si>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</si>
  <si>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</si>
  <si>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</si>
  <si>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</si>
  <si>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</si>
  <si>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</si>
  <si>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</si>
  <si>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</si>
  <si>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</si>
  <si>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</si>
  <si>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</si>
  <si>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</si>
  <si>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</si>
  <si>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</si>
  <si>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</si>
  <si>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</si>
  <si>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</si>
  <si>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</si>
  <si>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</si>
  <si>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</si>
  <si>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</si>
  <si>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</si>
  <si>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</si>
  <si>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</si>
  <si>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</si>
  <si>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</si>
  <si>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</si>
  <si>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</si>
  <si>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</si>
  <si>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</si>
  <si>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</si>
  <si>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</si>
  <si>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</si>
  <si>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</si>
  <si>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</si>
  <si>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</si>
  <si>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</si>
  <si>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</si>
  <si>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</si>
  <si>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</si>
  <si>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</si>
  <si>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</si>
  <si>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</si>
  <si>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</si>
  <si>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</si>
  <si>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</si>
  <si>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</si>
  <si>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</si>
  <si>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</si>
  <si>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</si>
  <si>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</si>
  <si>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</si>
  <si>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</si>
  <si>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</si>
  <si>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</si>
  <si>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</si>
  <si>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</si>
  <si>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</si>
  <si>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</si>
  <si>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</si>
  <si>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</si>
  <si>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</si>
  <si>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</si>
  <si>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</si>
  <si>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</si>
  <si>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</si>
  <si>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</si>
  <si>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</si>
  <si>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</si>
  <si>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</si>
  <si>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</si>
  <si>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</si>
  <si>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</si>
  <si>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</si>
  <si>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</si>
  <si>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</si>
  <si>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</si>
  <si>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</si>
  <si>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</si>
  <si>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</si>
  <si>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</si>
  <si>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</si>
  <si>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</si>
  <si>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</si>
  <si>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</si>
  <si>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</si>
  <si>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</si>
  <si>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</si>
  <si>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</si>
  <si>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</si>
  <si>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</si>
  <si>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</si>
  <si>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</si>
  <si>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</si>
  <si>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</si>
  <si>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</si>
  <si>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</si>
  <si>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</si>
  <si>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</si>
  <si>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</si>
  <si>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</si>
  <si>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</si>
  <si>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</si>
  <si>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</si>
  <si>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</si>
  <si>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</si>
  <si>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</si>
  <si>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</si>
  <si>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</si>
  <si>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</si>
  <si>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</si>
  <si>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</si>
  <si>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</si>
  <si>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</si>
  <si>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</si>
  <si>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</si>
  <si>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</si>
  <si>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</si>
  <si>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</si>
  <si>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</si>
  <si>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</si>
  <si>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</si>
  <si>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</si>
  <si>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</si>
  <si>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</si>
  <si>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</si>
  <si>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</si>
  <si>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</si>
  <si>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</si>
  <si>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</si>
  <si>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</si>
  <si>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</si>
  <si>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</si>
  <si>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</si>
  <si>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</si>
  <si>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</si>
  <si>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</si>
  <si>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</si>
  <si>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</si>
  <si>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</si>
  <si>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</si>
  <si>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</si>
  <si>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</si>
  <si>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</si>
  <si>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</si>
  <si>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</si>
  <si>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</si>
  <si>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</si>
  <si>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</si>
  <si>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</si>
  <si>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</si>
  <si>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</si>
  <si>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</si>
  <si>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</si>
  <si>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</si>
  <si>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</si>
  <si>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</si>
  <si>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</si>
  <si>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</si>
  <si>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</si>
  <si>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</si>
  <si>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</si>
  <si>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</si>
  <si>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</si>
  <si>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</si>
  <si>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</si>
  <si>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</si>
  <si>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</si>
  <si>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</si>
  <si>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</si>
  <si>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</si>
  <si>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</si>
  <si>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</si>
  <si>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</si>
  <si>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</si>
  <si>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</si>
  <si>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</si>
  <si>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</si>
  <si>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</si>
  <si>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</si>
  <si>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</si>
  <si>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</si>
  <si>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</si>
  <si>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</si>
  <si>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</si>
  <si>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</si>
  <si>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</si>
  <si>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</si>
  <si>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</si>
  <si>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</si>
  <si>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</si>
  <si>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</si>
  <si>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</si>
  <si>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</si>
  <si>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</si>
  <si>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</si>
  <si>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</si>
  <si>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</si>
  <si>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</si>
  <si>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</si>
  <si>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</si>
  <si>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</si>
  <si>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</si>
  <si>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</si>
  <si>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</si>
  <si>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</si>
  <si>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</si>
  <si>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</si>
  <si>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</si>
  <si>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</si>
  <si>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</si>
  <si>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</si>
  <si>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</si>
  <si>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</si>
  <si>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</si>
  <si>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</si>
  <si>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</si>
  <si>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</si>
  <si>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</si>
  <si>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</si>
  <si>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</si>
  <si>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</si>
  <si>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</si>
  <si>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</si>
  <si>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</si>
  <si>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</si>
  <si>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</si>
  <si>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</si>
  <si>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</si>
  <si>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</si>
  <si>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</si>
  <si>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</si>
  <si>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</si>
  <si>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</si>
  <si>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</si>
  <si>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</si>
  <si>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</si>
  <si>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</si>
  <si>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</si>
  <si>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</si>
  <si>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</si>
  <si>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</si>
  <si>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</si>
  <si>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</si>
  <si>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</si>
  <si>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</si>
  <si>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</si>
  <si>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</si>
  <si>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</si>
  <si>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</si>
  <si>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</si>
  <si>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</si>
  <si>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</si>
  <si>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</si>
  <si>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</si>
  <si>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</si>
  <si>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</si>
  <si>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</si>
  <si>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</si>
  <si>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</si>
  <si>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</si>
  <si>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</si>
  <si>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</si>
  <si>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</si>
  <si>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</si>
  <si>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</si>
  <si>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</si>
  <si>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</si>
  <si>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</si>
  <si>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</si>
  <si>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</si>
  <si>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</si>
  <si>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</si>
  <si>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</si>
  <si>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</si>
  <si>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</si>
  <si>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</si>
  <si>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</si>
  <si>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</si>
  <si>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</si>
  <si>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</si>
  <si>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</si>
  <si>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</si>
  <si>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</si>
  <si>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</si>
  <si>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</si>
  <si>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</si>
  <si>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</si>
  <si>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</si>
  <si>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</si>
  <si>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13013</t>
  </si>
  <si>
    <t>HERSELT</t>
  </si>
  <si>
    <t>Mestbank (maart 2019)</t>
  </si>
  <si>
    <t>Fluvius (februari 2019)</t>
  </si>
  <si>
    <t>referentietaak LNE (2017); Jaarverslag De Lijn (2018)</t>
  </si>
  <si>
    <t>VEA (30 april 2019)</t>
  </si>
  <si>
    <t>VEA (mei 2018)</t>
  </si>
  <si>
    <t>VEA (mei 2019)</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</si>
  <si>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</si>
  <si>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</si>
  <si>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</si>
  <si>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</si>
  <si>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</si>
  <si>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</si>
  <si>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</si>
  <si>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</si>
  <si>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</si>
  <si>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Woonzorgcentrum Sint-Barbara vzw</t>
  </si>
  <si>
    <t>Dieperstraat 17 , 2230 Herselt</t>
  </si>
  <si>
    <t>WKK-0648 Woonzorgcentrum Sint-Barbara</t>
  </si>
  <si>
    <t>WKK-0652 Firma De Ploeg</t>
  </si>
  <si>
    <t>Diestsebaan 73 , 2230 Herselt</t>
  </si>
  <si>
    <t>Greenenergy II</t>
  </si>
  <si>
    <t>WKK-0773</t>
  </si>
  <si>
    <t>Biogas - hoofdzakelijk agrarische stromen</t>
  </si>
  <si>
    <t>Dieperstraat 110, 2230 Herselt, BE</t>
  </si>
  <si>
    <t>IVERLEK (via EANDIS)</t>
  </si>
  <si>
    <t>Aquafin NV</t>
  </si>
  <si>
    <t>Dijkstraat 8 , 2630 Aartselaar</t>
  </si>
  <si>
    <t>BGS-0047 RWZI Westerlo</t>
  </si>
  <si>
    <t>biogas - RWZI</t>
  </si>
  <si>
    <t>niet WKK interne verbrandingsmotor (gas)</t>
  </si>
  <si>
    <t>Kwarrekendreef 2 , 2230 Westerlo</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</si>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</sst>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147023.93467490849</c:v>
                </c:pt>
                <c:pt idx="1">
                  <c:v>21971.296345384657</c:v>
                </c:pt>
                <c:pt idx="2">
                  <c:v>698.23599999999999</c:v>
                </c:pt>
                <c:pt idx="3">
                  <c:v>43605.501448018382</c:v>
                </c:pt>
                <c:pt idx="4">
                  <c:v>12227.63044026711</c:v>
                </c:pt>
                <c:pt idx="5">
                  <c:v>81808.309624864283</c:v>
                </c:pt>
                <c:pt idx="6">
                  <c:v>1154.7345039995726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147023.93467490849</c:v>
                </c:pt>
                <c:pt idx="1">
                  <c:v>21971.296345384657</c:v>
                </c:pt>
                <c:pt idx="2">
                  <c:v>698.23599999999999</c:v>
                </c:pt>
                <c:pt idx="3">
                  <c:v>43605.501448018382</c:v>
                </c:pt>
                <c:pt idx="4">
                  <c:v>12227.63044026711</c:v>
                </c:pt>
                <c:pt idx="5">
                  <c:v>81808.309624864283</c:v>
                </c:pt>
                <c:pt idx="6">
                  <c:v>1154.7345039995726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25940.76962785198</c:v>
                </c:pt>
                <c:pt idx="1">
                  <c:v>3333.7317379388292</c:v>
                </c:pt>
                <c:pt idx="2">
                  <c:v>72.713978043686581</c:v>
                </c:pt>
                <c:pt idx="3">
                  <c:v>4658.8543272114648</c:v>
                </c:pt>
                <c:pt idx="4">
                  <c:v>2037.9105508625862</c:v>
                </c:pt>
                <c:pt idx="5">
                  <c:v>20297.296956637612</c:v>
                </c:pt>
                <c:pt idx="6">
                  <c:v>292.08025943176312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5952"/>
        <c:axId val="182527488"/>
      </c:barChart>
      <c:catAx>
        <c:axId val="182525952"/>
        <c:scaling>
          <c:orientation val="minMax"/>
        </c:scaling>
        <c:axPos val="b"/>
        <c:numFmt formatCode="General" sourceLinked="0"/>
        <c:tickLblPos val="nextTo"/>
        <c:crossAx val="182527488"/>
        <c:crosses val="autoZero"/>
        <c:auto val="1"/>
        <c:lblAlgn val="ctr"/>
        <c:lblOffset val="100"/>
      </c:catAx>
      <c:valAx>
        <c:axId val="182527488"/>
        <c:scaling>
          <c:orientation val="minMax"/>
        </c:scaling>
        <c:axPos val="l"/>
        <c:majorGridlines/>
        <c:numFmt formatCode="#,##0" sourceLinked="1"/>
        <c:tickLblPos val="nextTo"/>
        <c:crossAx val="182525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25940.76962785198</c:v>
                </c:pt>
                <c:pt idx="1">
                  <c:v>3333.7317379388292</c:v>
                </c:pt>
                <c:pt idx="2">
                  <c:v>72.713978043686581</c:v>
                </c:pt>
                <c:pt idx="3">
                  <c:v>4658.8543272114648</c:v>
                </c:pt>
                <c:pt idx="4">
                  <c:v>2037.9105508625862</c:v>
                </c:pt>
                <c:pt idx="5">
                  <c:v>20297.296956637612</c:v>
                </c:pt>
                <c:pt idx="6">
                  <c:v>292.08025943176312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13013</v>
      </c>
      <c r="B6" s="415"/>
      <c r="C6" s="416"/>
    </row>
    <row r="7" spans="1:7" s="413" customFormat="1" ht="15.75" customHeight="1">
      <c r="A7" s="417" t="str">
        <f>txtMunicipality</f>
        <v>HERSELT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0.10413954313969286</v>
      </c>
      <c r="C17" s="527">
        <f ca="1">'EF ele_warmte'!B22</f>
        <v>7.2796891716875978E-2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0.10413954313969286</v>
      </c>
      <c r="C29" s="528">
        <f ca="1">'EF ele_warmte'!B22</f>
        <v>7.2796891716875978E-2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6013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1708.36</v>
      </c>
    </row>
    <row r="15" spans="1:6">
      <c r="A15" s="348" t="s">
        <v>183</v>
      </c>
      <c r="B15" s="334">
        <v>2697</v>
      </c>
    </row>
    <row r="16" spans="1:6">
      <c r="A16" s="348" t="s">
        <v>6</v>
      </c>
      <c r="B16" s="334">
        <v>909</v>
      </c>
    </row>
    <row r="17" spans="1:6">
      <c r="A17" s="348" t="s">
        <v>7</v>
      </c>
      <c r="B17" s="334">
        <v>197</v>
      </c>
    </row>
    <row r="18" spans="1:6">
      <c r="A18" s="348" t="s">
        <v>8</v>
      </c>
      <c r="B18" s="334">
        <v>536</v>
      </c>
    </row>
    <row r="19" spans="1:6">
      <c r="A19" s="348" t="s">
        <v>9</v>
      </c>
      <c r="B19" s="334">
        <v>493</v>
      </c>
    </row>
    <row r="20" spans="1:6">
      <c r="A20" s="348" t="s">
        <v>10</v>
      </c>
      <c r="B20" s="334">
        <v>263</v>
      </c>
    </row>
    <row r="21" spans="1:6">
      <c r="A21" s="348" t="s">
        <v>11</v>
      </c>
      <c r="B21" s="334">
        <v>3326</v>
      </c>
    </row>
    <row r="22" spans="1:6">
      <c r="A22" s="348" t="s">
        <v>12</v>
      </c>
      <c r="B22" s="334">
        <v>28</v>
      </c>
    </row>
    <row r="23" spans="1:6">
      <c r="A23" s="348" t="s">
        <v>13</v>
      </c>
      <c r="B23" s="334">
        <v>220</v>
      </c>
    </row>
    <row r="24" spans="1:6">
      <c r="A24" s="348" t="s">
        <v>14</v>
      </c>
      <c r="B24" s="334">
        <v>3</v>
      </c>
    </row>
    <row r="25" spans="1:6">
      <c r="A25" s="348" t="s">
        <v>15</v>
      </c>
      <c r="B25" s="334">
        <v>706</v>
      </c>
    </row>
    <row r="26" spans="1:6">
      <c r="A26" s="348" t="s">
        <v>16</v>
      </c>
      <c r="B26" s="334">
        <v>135</v>
      </c>
    </row>
    <row r="27" spans="1:6">
      <c r="A27" s="348" t="s">
        <v>17</v>
      </c>
      <c r="B27" s="334">
        <v>14</v>
      </c>
    </row>
    <row r="28" spans="1:6" s="356" customFormat="1">
      <c r="A28" s="355" t="s">
        <v>18</v>
      </c>
      <c r="B28" s="355">
        <v>14154</v>
      </c>
    </row>
    <row r="29" spans="1:6">
      <c r="A29" s="355" t="s">
        <v>713</v>
      </c>
      <c r="B29" s="355">
        <v>159</v>
      </c>
      <c r="C29" s="356"/>
      <c r="D29" s="356"/>
      <c r="E29" s="356"/>
      <c r="F29" s="356"/>
    </row>
    <row r="30" spans="1:6">
      <c r="A30" s="341" t="s">
        <v>714</v>
      </c>
      <c r="B30" s="341">
        <v>23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73254.442999999999</v>
      </c>
      <c r="E38" s="334">
        <v>0</v>
      </c>
      <c r="F38" s="334">
        <v>0</v>
      </c>
    </row>
    <row r="39" spans="1:6">
      <c r="A39" s="348" t="s">
        <v>29</v>
      </c>
      <c r="B39" s="348" t="s">
        <v>30</v>
      </c>
      <c r="C39" s="334">
        <v>2288</v>
      </c>
      <c r="D39" s="334">
        <v>35398672.289999999</v>
      </c>
      <c r="E39" s="334">
        <v>6182</v>
      </c>
      <c r="F39" s="334">
        <v>20876868.41</v>
      </c>
    </row>
    <row r="40" spans="1:6">
      <c r="A40" s="348" t="s">
        <v>29</v>
      </c>
      <c r="B40" s="348" t="s">
        <v>28</v>
      </c>
      <c r="C40" s="334">
        <v>0</v>
      </c>
      <c r="D40" s="334">
        <v>0</v>
      </c>
      <c r="E40" s="334">
        <v>0</v>
      </c>
      <c r="F40" s="334">
        <v>0</v>
      </c>
    </row>
    <row r="41" spans="1:6">
      <c r="A41" s="348" t="s">
        <v>31</v>
      </c>
      <c r="B41" s="348" t="s">
        <v>32</v>
      </c>
      <c r="C41" s="334">
        <v>18</v>
      </c>
      <c r="D41" s="334">
        <v>443844.83100000001</v>
      </c>
      <c r="E41" s="334">
        <v>107</v>
      </c>
      <c r="F41" s="334">
        <v>953868.48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10</v>
      </c>
      <c r="F44" s="334">
        <v>98556.877999999997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4</v>
      </c>
      <c r="F47" s="334">
        <v>11027.468000000001</v>
      </c>
    </row>
    <row r="48" spans="1:6">
      <c r="A48" s="348" t="s">
        <v>31</v>
      </c>
      <c r="B48" s="348" t="s">
        <v>28</v>
      </c>
      <c r="C48" s="334">
        <v>20</v>
      </c>
      <c r="D48" s="334">
        <v>6260637.9900000002</v>
      </c>
      <c r="E48" s="334">
        <v>25</v>
      </c>
      <c r="F48" s="334">
        <v>214034.598</v>
      </c>
    </row>
    <row r="49" spans="1:6">
      <c r="A49" s="348" t="s">
        <v>31</v>
      </c>
      <c r="B49" s="348" t="s">
        <v>39</v>
      </c>
      <c r="C49" s="334">
        <v>0</v>
      </c>
      <c r="D49" s="334">
        <v>0</v>
      </c>
      <c r="E49" s="334">
        <v>0</v>
      </c>
      <c r="F49" s="334">
        <v>0</v>
      </c>
    </row>
    <row r="50" spans="1:6">
      <c r="A50" s="348" t="s">
        <v>31</v>
      </c>
      <c r="B50" s="348" t="s">
        <v>40</v>
      </c>
      <c r="C50" s="334">
        <v>0</v>
      </c>
      <c r="D50" s="334">
        <v>0</v>
      </c>
      <c r="E50" s="334">
        <v>9</v>
      </c>
      <c r="F50" s="334">
        <v>3328593.95</v>
      </c>
    </row>
    <row r="51" spans="1:6">
      <c r="A51" s="348" t="s">
        <v>41</v>
      </c>
      <c r="B51" s="348" t="s">
        <v>42</v>
      </c>
      <c r="C51" s="334">
        <v>3</v>
      </c>
      <c r="D51" s="334">
        <v>26350019.43</v>
      </c>
      <c r="E51" s="334">
        <v>52</v>
      </c>
      <c r="F51" s="334">
        <v>1221817.939</v>
      </c>
    </row>
    <row r="52" spans="1:6">
      <c r="A52" s="348" t="s">
        <v>41</v>
      </c>
      <c r="B52" s="348" t="s">
        <v>28</v>
      </c>
      <c r="C52" s="334">
        <v>4</v>
      </c>
      <c r="D52" s="334">
        <v>96146.34</v>
      </c>
      <c r="E52" s="334">
        <v>4</v>
      </c>
      <c r="F52" s="334">
        <v>24749.35</v>
      </c>
    </row>
    <row r="53" spans="1:6">
      <c r="A53" s="348" t="s">
        <v>43</v>
      </c>
      <c r="B53" s="348" t="s">
        <v>44</v>
      </c>
      <c r="C53" s="334">
        <v>32</v>
      </c>
      <c r="D53" s="334">
        <v>1162422.2679999999</v>
      </c>
      <c r="E53" s="334">
        <v>288</v>
      </c>
      <c r="F53" s="334">
        <v>777863.80599999998</v>
      </c>
    </row>
    <row r="54" spans="1:6">
      <c r="A54" s="348" t="s">
        <v>45</v>
      </c>
      <c r="B54" s="348" t="s">
        <v>46</v>
      </c>
      <c r="C54" s="334">
        <v>0</v>
      </c>
      <c r="D54" s="334">
        <v>0</v>
      </c>
      <c r="E54" s="334">
        <v>1</v>
      </c>
      <c r="F54" s="334">
        <v>698236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19</v>
      </c>
      <c r="D57" s="334">
        <v>312326.777</v>
      </c>
      <c r="E57" s="334">
        <v>79</v>
      </c>
      <c r="F57" s="334">
        <v>880095.15800000005</v>
      </c>
    </row>
    <row r="58" spans="1:6">
      <c r="A58" s="348" t="s">
        <v>48</v>
      </c>
      <c r="B58" s="348" t="s">
        <v>50</v>
      </c>
      <c r="C58" s="334">
        <v>7</v>
      </c>
      <c r="D58" s="334">
        <v>175039.965</v>
      </c>
      <c r="E58" s="334">
        <v>27</v>
      </c>
      <c r="F58" s="334">
        <v>264114.84000000003</v>
      </c>
    </row>
    <row r="59" spans="1:6">
      <c r="A59" s="348" t="s">
        <v>48</v>
      </c>
      <c r="B59" s="348" t="s">
        <v>51</v>
      </c>
      <c r="C59" s="334">
        <v>28</v>
      </c>
      <c r="D59" s="334">
        <v>1182585.659</v>
      </c>
      <c r="E59" s="334">
        <v>151</v>
      </c>
      <c r="F59" s="334">
        <v>3798295.1970000002</v>
      </c>
    </row>
    <row r="60" spans="1:6">
      <c r="A60" s="348" t="s">
        <v>48</v>
      </c>
      <c r="B60" s="348" t="s">
        <v>52</v>
      </c>
      <c r="C60" s="334">
        <v>24</v>
      </c>
      <c r="D60" s="334">
        <v>992821.73300000001</v>
      </c>
      <c r="E60" s="334">
        <v>64</v>
      </c>
      <c r="F60" s="334">
        <v>1496358.25</v>
      </c>
    </row>
    <row r="61" spans="1:6">
      <c r="A61" s="348" t="s">
        <v>48</v>
      </c>
      <c r="B61" s="348" t="s">
        <v>53</v>
      </c>
      <c r="C61" s="334">
        <v>69</v>
      </c>
      <c r="D61" s="334">
        <v>2359985.1519999998</v>
      </c>
      <c r="E61" s="334">
        <v>204</v>
      </c>
      <c r="F61" s="334">
        <v>1645477.55</v>
      </c>
    </row>
    <row r="62" spans="1:6">
      <c r="A62" s="348" t="s">
        <v>48</v>
      </c>
      <c r="B62" s="348" t="s">
        <v>54</v>
      </c>
      <c r="C62" s="334">
        <v>3</v>
      </c>
      <c r="D62" s="334">
        <v>97182.464999999997</v>
      </c>
      <c r="E62" s="334">
        <v>14</v>
      </c>
      <c r="F62" s="334">
        <v>90549.968999999997</v>
      </c>
    </row>
    <row r="63" spans="1:6">
      <c r="A63" s="348" t="s">
        <v>48</v>
      </c>
      <c r="B63" s="348" t="s">
        <v>28</v>
      </c>
      <c r="C63" s="334">
        <v>61</v>
      </c>
      <c r="D63" s="334">
        <v>5733009.2359999996</v>
      </c>
      <c r="E63" s="334">
        <v>82</v>
      </c>
      <c r="F63" s="334">
        <v>1503218.1329999999</v>
      </c>
    </row>
    <row r="64" spans="1:6">
      <c r="A64" s="348" t="s">
        <v>55</v>
      </c>
      <c r="B64" s="348" t="s">
        <v>56</v>
      </c>
      <c r="C64" s="334">
        <v>0</v>
      </c>
      <c r="D64" s="334">
        <v>0</v>
      </c>
      <c r="E64" s="334">
        <v>0</v>
      </c>
      <c r="F64" s="334">
        <v>0</v>
      </c>
    </row>
    <row r="65" spans="1:6">
      <c r="A65" s="348" t="s">
        <v>55</v>
      </c>
      <c r="B65" s="348" t="s">
        <v>28</v>
      </c>
      <c r="C65" s="334">
        <v>1</v>
      </c>
      <c r="D65" s="334">
        <v>4110.4650000000001</v>
      </c>
      <c r="E65" s="334">
        <v>0</v>
      </c>
      <c r="F65" s="334">
        <v>0</v>
      </c>
    </row>
    <row r="66" spans="1:6">
      <c r="A66" s="348" t="s">
        <v>55</v>
      </c>
      <c r="B66" s="348" t="s">
        <v>57</v>
      </c>
      <c r="C66" s="334">
        <v>0</v>
      </c>
      <c r="D66" s="334">
        <v>0</v>
      </c>
      <c r="E66" s="334">
        <v>8</v>
      </c>
      <c r="F66" s="334">
        <v>63910.608</v>
      </c>
    </row>
    <row r="67" spans="1:6">
      <c r="A67" s="355" t="s">
        <v>55</v>
      </c>
      <c r="B67" s="355" t="s">
        <v>58</v>
      </c>
      <c r="C67" s="334">
        <v>0</v>
      </c>
      <c r="D67" s="334">
        <v>0</v>
      </c>
      <c r="E67" s="334">
        <v>0</v>
      </c>
      <c r="F67" s="334">
        <v>0</v>
      </c>
    </row>
    <row r="68" spans="1:6">
      <c r="A68" s="341" t="s">
        <v>55</v>
      </c>
      <c r="B68" s="341" t="s">
        <v>59</v>
      </c>
      <c r="C68" s="334">
        <v>0</v>
      </c>
      <c r="D68" s="334">
        <v>0</v>
      </c>
      <c r="E68" s="334">
        <v>6</v>
      </c>
      <c r="F68" s="334">
        <v>35209.498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103173669</v>
      </c>
      <c r="E73" s="476"/>
    </row>
    <row r="74" spans="1:6">
      <c r="A74" s="348" t="s">
        <v>63</v>
      </c>
      <c r="B74" s="348" t="s">
        <v>651</v>
      </c>
      <c r="C74" s="1307" t="s">
        <v>653</v>
      </c>
      <c r="D74" s="476">
        <v>5256771</v>
      </c>
      <c r="E74" s="476"/>
    </row>
    <row r="75" spans="1:6">
      <c r="A75" s="348" t="s">
        <v>64</v>
      </c>
      <c r="B75" s="348" t="s">
        <v>650</v>
      </c>
      <c r="C75" s="1307" t="s">
        <v>654</v>
      </c>
      <c r="D75" s="476">
        <v>7610127</v>
      </c>
      <c r="E75" s="476"/>
    </row>
    <row r="76" spans="1:6">
      <c r="A76" s="348" t="s">
        <v>64</v>
      </c>
      <c r="B76" s="348" t="s">
        <v>651</v>
      </c>
      <c r="C76" s="1307" t="s">
        <v>655</v>
      </c>
      <c r="D76" s="476">
        <v>7089.1</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320800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4420.4918918638332</v>
      </c>
    </row>
    <row r="92" spans="1:6">
      <c r="A92" s="341" t="s">
        <v>68</v>
      </c>
      <c r="B92" s="342">
        <v>1438.1643253092429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965</v>
      </c>
    </row>
    <row r="98" spans="1:6">
      <c r="A98" s="348" t="s">
        <v>71</v>
      </c>
      <c r="B98" s="334">
        <v>9</v>
      </c>
    </row>
    <row r="99" spans="1:6">
      <c r="A99" s="348" t="s">
        <v>72</v>
      </c>
      <c r="B99" s="334">
        <v>171</v>
      </c>
    </row>
    <row r="100" spans="1:6">
      <c r="A100" s="348" t="s">
        <v>73</v>
      </c>
      <c r="B100" s="334">
        <v>225</v>
      </c>
    </row>
    <row r="101" spans="1:6">
      <c r="A101" s="348" t="s">
        <v>74</v>
      </c>
      <c r="B101" s="334">
        <v>147</v>
      </c>
    </row>
    <row r="102" spans="1:6">
      <c r="A102" s="348" t="s">
        <v>75</v>
      </c>
      <c r="B102" s="334">
        <v>58</v>
      </c>
    </row>
    <row r="103" spans="1:6">
      <c r="A103" s="348" t="s">
        <v>76</v>
      </c>
      <c r="B103" s="334">
        <v>167</v>
      </c>
    </row>
    <row r="104" spans="1:6">
      <c r="A104" s="348" t="s">
        <v>77</v>
      </c>
      <c r="B104" s="334">
        <v>3520</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48</v>
      </c>
      <c r="C123" s="334">
        <v>37</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141</v>
      </c>
    </row>
    <row r="130" spans="1:6">
      <c r="A130" s="348" t="s">
        <v>294</v>
      </c>
      <c r="B130" s="334">
        <v>1</v>
      </c>
    </row>
    <row r="131" spans="1:6">
      <c r="A131" s="348" t="s">
        <v>295</v>
      </c>
      <c r="B131" s="334">
        <v>1</v>
      </c>
    </row>
    <row r="132" spans="1:6">
      <c r="A132" s="341" t="s">
        <v>296</v>
      </c>
      <c r="B132" s="342">
        <v>39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44020.379623747169</v>
      </c>
      <c r="C3" s="43" t="s">
        <v>169</v>
      </c>
      <c r="D3" s="43"/>
      <c r="E3" s="154"/>
      <c r="F3" s="43"/>
      <c r="G3" s="43"/>
      <c r="H3" s="43"/>
      <c r="I3" s="43"/>
      <c r="J3" s="43"/>
      <c r="K3" s="96"/>
    </row>
    <row r="4" spans="1:11">
      <c r="A4" s="383" t="s">
        <v>170</v>
      </c>
      <c r="B4" s="49">
        <f>IF(ISERROR('SEAP template'!B78+'SEAP template'!C78),0,'SEAP template'!B78+'SEAP template'!C78)</f>
        <v>31174.306217173078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1745.2800000000004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0.10413954313969286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2493.2571428571437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34249.5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7.2796891716875978E-2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698.23599999999999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698.23599999999999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0.10413954313969286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72.713978043686581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20876.868409999999</v>
      </c>
      <c r="C5" s="17">
        <f>IF(ISERROR('Eigen informatie GS &amp; warmtenet'!B59),0,'Eigen informatie GS &amp; warmtenet'!B59)</f>
        <v>0</v>
      </c>
      <c r="D5" s="30">
        <f>(SUM(HH_hh_gas_kWh,HH_rest_gas_kWh)/1000)*0.902</f>
        <v>31929.602405580004</v>
      </c>
      <c r="E5" s="17">
        <f>B46*B57</f>
        <v>15704.531994645586</v>
      </c>
      <c r="F5" s="17">
        <f>B51*B62</f>
        <v>48430.845848627323</v>
      </c>
      <c r="G5" s="18"/>
      <c r="H5" s="17"/>
      <c r="I5" s="17"/>
      <c r="J5" s="17">
        <f>B50*B61+C50*C61</f>
        <v>1018.5587375154603</v>
      </c>
      <c r="K5" s="17"/>
      <c r="L5" s="17"/>
      <c r="M5" s="17"/>
      <c r="N5" s="17">
        <f>B48*B59+C48*C59</f>
        <v>23362.902404549146</v>
      </c>
      <c r="O5" s="17">
        <f>B69*B70*B71</f>
        <v>353.14456305089169</v>
      </c>
      <c r="P5" s="17">
        <f>B77*B78*B79/1000-B77*B78*B79/1000/B80</f>
        <v>926.98841907628207</v>
      </c>
    </row>
    <row r="6" spans="1:16">
      <c r="A6" s="16" t="s">
        <v>615</v>
      </c>
      <c r="B6" s="809">
        <f>kWh_PV_kleiner_dan_10kW</f>
        <v>4420.4918918638332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25297.360301863831</v>
      </c>
      <c r="C8" s="21">
        <f>C5</f>
        <v>0</v>
      </c>
      <c r="D8" s="21">
        <f>D5</f>
        <v>31929.602405580004</v>
      </c>
      <c r="E8" s="21">
        <f>E5</f>
        <v>15704.531994645586</v>
      </c>
      <c r="F8" s="21">
        <f>F5</f>
        <v>48430.845848627323</v>
      </c>
      <c r="G8" s="21"/>
      <c r="H8" s="21"/>
      <c r="I8" s="21"/>
      <c r="J8" s="21">
        <f>J5</f>
        <v>1018.5587375154603</v>
      </c>
      <c r="K8" s="21"/>
      <c r="L8" s="21">
        <f>L5</f>
        <v>0</v>
      </c>
      <c r="M8" s="21">
        <f>M5</f>
        <v>0</v>
      </c>
      <c r="N8" s="21">
        <f>N5</f>
        <v>23362.902404549146</v>
      </c>
      <c r="O8" s="21">
        <f>O5</f>
        <v>353.14456305089169</v>
      </c>
      <c r="P8" s="21">
        <f>P5</f>
        <v>926.98841907628207</v>
      </c>
    </row>
    <row r="9" spans="1:16">
      <c r="B9" s="19"/>
      <c r="C9" s="19"/>
      <c r="D9" s="258"/>
      <c r="E9" s="19"/>
      <c r="F9" s="19"/>
      <c r="G9" s="19"/>
      <c r="H9" s="19"/>
      <c r="I9" s="19"/>
      <c r="J9" s="19"/>
      <c r="K9" s="19"/>
      <c r="L9" s="19"/>
      <c r="M9" s="19"/>
      <c r="N9" s="19"/>
      <c r="O9" s="19"/>
      <c r="P9" s="19"/>
    </row>
    <row r="10" spans="1:16">
      <c r="A10" s="24" t="s">
        <v>213</v>
      </c>
      <c r="B10" s="25">
        <f ca="1">'EF ele_warmte'!B12</f>
        <v>0.10413954313969286</v>
      </c>
      <c r="C10" s="25">
        <f ca="1">'EF ele_warmte'!B22</f>
        <v>7.2796891716875978E-2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2634.4555444763018</v>
      </c>
      <c r="C12" s="23">
        <f ca="1">C10*C8</f>
        <v>0</v>
      </c>
      <c r="D12" s="23">
        <f>D8*D10</f>
        <v>6449.7796859271612</v>
      </c>
      <c r="E12" s="23">
        <f>E10*E8</f>
        <v>3564.9287627845479</v>
      </c>
      <c r="F12" s="23">
        <f>F10*F8</f>
        <v>12931.035841583496</v>
      </c>
      <c r="G12" s="23"/>
      <c r="H12" s="23"/>
      <c r="I12" s="23"/>
      <c r="J12" s="23">
        <f>J10*J8</f>
        <v>360.56979308047295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965</v>
      </c>
      <c r="C18" s="166" t="s">
        <v>110</v>
      </c>
      <c r="D18" s="228"/>
      <c r="E18" s="15"/>
    </row>
    <row r="19" spans="1:7">
      <c r="A19" s="171" t="s">
        <v>71</v>
      </c>
      <c r="B19" s="37">
        <f>aantalw2001_ander</f>
        <v>9</v>
      </c>
      <c r="C19" s="166" t="s">
        <v>110</v>
      </c>
      <c r="D19" s="229"/>
      <c r="E19" s="15"/>
    </row>
    <row r="20" spans="1:7">
      <c r="A20" s="171" t="s">
        <v>72</v>
      </c>
      <c r="B20" s="37">
        <f>aantalw2001_propaan</f>
        <v>171</v>
      </c>
      <c r="C20" s="167">
        <f>IF(ISERROR(B20/SUM($B$20,$B$21,$B$22)*100),0,B20/SUM($B$20,$B$21,$B$22)*100)</f>
        <v>31.491712707182316</v>
      </c>
      <c r="D20" s="229"/>
      <c r="E20" s="15"/>
    </row>
    <row r="21" spans="1:7">
      <c r="A21" s="171" t="s">
        <v>73</v>
      </c>
      <c r="B21" s="37">
        <f>aantalw2001_elektriciteit</f>
        <v>225</v>
      </c>
      <c r="C21" s="167">
        <f>IF(ISERROR(B21/SUM($B$20,$B$21,$B$22)*100),0,B21/SUM($B$20,$B$21,$B$22)*100)</f>
        <v>41.436464088397791</v>
      </c>
      <c r="D21" s="229"/>
      <c r="E21" s="15"/>
    </row>
    <row r="22" spans="1:7">
      <c r="A22" s="171" t="s">
        <v>74</v>
      </c>
      <c r="B22" s="37">
        <f>aantalw2001_hout</f>
        <v>147</v>
      </c>
      <c r="C22" s="167">
        <f>IF(ISERROR(B22/SUM($B$20,$B$21,$B$22)*100),0,B22/SUM($B$20,$B$21,$B$22)*100)</f>
        <v>27.071823204419886</v>
      </c>
      <c r="D22" s="229"/>
      <c r="E22" s="15"/>
    </row>
    <row r="23" spans="1:7">
      <c r="A23" s="171" t="s">
        <v>75</v>
      </c>
      <c r="B23" s="37">
        <f>aantalw2001_niet_gespec</f>
        <v>58</v>
      </c>
      <c r="C23" s="166" t="s">
        <v>110</v>
      </c>
      <c r="D23" s="228"/>
      <c r="E23" s="15"/>
    </row>
    <row r="24" spans="1:7">
      <c r="A24" s="171" t="s">
        <v>76</v>
      </c>
      <c r="B24" s="37">
        <f>aantalw2001_steenkool</f>
        <v>167</v>
      </c>
      <c r="C24" s="166" t="s">
        <v>110</v>
      </c>
      <c r="D24" s="229"/>
      <c r="E24" s="15"/>
    </row>
    <row r="25" spans="1:7">
      <c r="A25" s="171" t="s">
        <v>77</v>
      </c>
      <c r="B25" s="37">
        <f>aantalw2001_stookolie</f>
        <v>3520</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6013</v>
      </c>
      <c r="C28" s="36"/>
      <c r="D28" s="228"/>
    </row>
    <row r="29" spans="1:7" s="15" customFormat="1">
      <c r="A29" s="230" t="s">
        <v>837</v>
      </c>
      <c r="B29" s="37">
        <f>SUM(HH_hh_gas_aantal,HH_rest_gas_aantal)</f>
        <v>2288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2288</v>
      </c>
      <c r="C32" s="167">
        <f>IF(ISERROR(B32/SUM($B$32,$B$34,$B$35,$B$36,$B$38,$B$39)*100),0,B32/SUM($B$32,$B$34,$B$35,$B$36,$B$38,$B$39)*100)</f>
        <v>38.616033755274259</v>
      </c>
      <c r="D32" s="233"/>
      <c r="G32" s="15"/>
    </row>
    <row r="33" spans="1:7">
      <c r="A33" s="171" t="s">
        <v>71</v>
      </c>
      <c r="B33" s="34" t="s">
        <v>110</v>
      </c>
      <c r="C33" s="167"/>
      <c r="D33" s="233"/>
      <c r="G33" s="15"/>
    </row>
    <row r="34" spans="1:7">
      <c r="A34" s="171" t="s">
        <v>72</v>
      </c>
      <c r="B34" s="33">
        <f>IF((($B$28-$B$32-$B$39-$B$77-$B$38)*C20/100)&lt;0,0,($B$28-$B$32-$B$39-$B$77-$B$38)*C20/100)</f>
        <v>400.88950276243077</v>
      </c>
      <c r="C34" s="167">
        <f>IF(ISERROR(B34/SUM($B$32,$B$34,$B$35,$B$36,$B$38,$B$39)*100),0,B34/SUM($B$32,$B$34,$B$35,$B$36,$B$38,$B$39)*100)</f>
        <v>6.7660675571718274</v>
      </c>
      <c r="D34" s="233"/>
      <c r="G34" s="15"/>
    </row>
    <row r="35" spans="1:7">
      <c r="A35" s="171" t="s">
        <v>73</v>
      </c>
      <c r="B35" s="33">
        <f>IF((($B$28-$B$32-$B$39-$B$77-$B$38)*C21/100)&lt;0,0,($B$28-$B$32-$B$39-$B$77-$B$38)*C21/100)</f>
        <v>527.48618784530379</v>
      </c>
      <c r="C35" s="167">
        <f>IF(ISERROR(B35/SUM($B$32,$B$34,$B$35,$B$36,$B$38,$B$39)*100),0,B35/SUM($B$32,$B$34,$B$35,$B$36,$B$38,$B$39)*100)</f>
        <v>8.902720469962933</v>
      </c>
      <c r="D35" s="233"/>
      <c r="G35" s="15"/>
    </row>
    <row r="36" spans="1:7">
      <c r="A36" s="171" t="s">
        <v>74</v>
      </c>
      <c r="B36" s="33">
        <f>IF((($B$28-$B$32-$B$39-$B$77-$B$38)*C22/100)&lt;0,0,($B$28-$B$32-$B$39-$B$77-$B$38)*C22/100)</f>
        <v>344.62430939226505</v>
      </c>
      <c r="C36" s="167">
        <f>IF(ISERROR(B36/SUM($B$32,$B$34,$B$35,$B$36,$B$38,$B$39)*100),0,B36/SUM($B$32,$B$34,$B$35,$B$36,$B$38,$B$39)*100)</f>
        <v>5.8164440403757816</v>
      </c>
      <c r="D36" s="233"/>
      <c r="G36" s="15"/>
    </row>
    <row r="37" spans="1:7">
      <c r="A37" s="171" t="s">
        <v>75</v>
      </c>
      <c r="B37" s="34" t="s">
        <v>110</v>
      </c>
      <c r="C37" s="167"/>
      <c r="D37" s="173"/>
      <c r="G37" s="15"/>
    </row>
    <row r="38" spans="1:7">
      <c r="A38" s="171" t="s">
        <v>76</v>
      </c>
      <c r="B38" s="33">
        <f>IF((B24-(B29-B18)*0.1)&lt;0,0,B24-(B29-B18)*0.1)</f>
        <v>34.699999999999989</v>
      </c>
      <c r="C38" s="167">
        <f>IF(ISERROR(B38/SUM($B$32,$B$34,$B$35,$B$36,$B$38,$B$39)*100),0,B38/SUM($B$32,$B$34,$B$35,$B$36,$B$38,$B$39)*100)</f>
        <v>0.58565400843881832</v>
      </c>
      <c r="D38" s="234"/>
      <c r="G38" s="15"/>
    </row>
    <row r="39" spans="1:7">
      <c r="A39" s="171" t="s">
        <v>77</v>
      </c>
      <c r="B39" s="33">
        <f>IF((B25-(B29-B18))&lt;0,0,B25-(B29-B18)*0.9)</f>
        <v>2329.3000000000002</v>
      </c>
      <c r="C39" s="167">
        <f>IF(ISERROR(B39/SUM($B$32,$B$34,$B$35,$B$36,$B$38,$B$39)*100),0,B39/SUM($B$32,$B$34,$B$35,$B$36,$B$38,$B$39)*100)</f>
        <v>39.313080168776374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2288</v>
      </c>
      <c r="C44" s="34" t="s">
        <v>110</v>
      </c>
      <c r="D44" s="174"/>
    </row>
    <row r="45" spans="1:7">
      <c r="A45" s="171" t="s">
        <v>71</v>
      </c>
      <c r="B45" s="33" t="str">
        <f t="shared" si="0"/>
        <v>-</v>
      </c>
      <c r="C45" s="34" t="s">
        <v>110</v>
      </c>
      <c r="D45" s="174"/>
    </row>
    <row r="46" spans="1:7">
      <c r="A46" s="171" t="s">
        <v>72</v>
      </c>
      <c r="B46" s="33">
        <f t="shared" si="0"/>
        <v>400.88950276243077</v>
      </c>
      <c r="C46" s="34" t="s">
        <v>110</v>
      </c>
      <c r="D46" s="174"/>
    </row>
    <row r="47" spans="1:7">
      <c r="A47" s="171" t="s">
        <v>73</v>
      </c>
      <c r="B47" s="33">
        <f t="shared" si="0"/>
        <v>527.48618784530379</v>
      </c>
      <c r="C47" s="34" t="s">
        <v>110</v>
      </c>
      <c r="D47" s="174"/>
    </row>
    <row r="48" spans="1:7">
      <c r="A48" s="171" t="s">
        <v>74</v>
      </c>
      <c r="B48" s="33">
        <f t="shared" si="0"/>
        <v>344.62430939226505</v>
      </c>
      <c r="C48" s="33">
        <f>B48*10</f>
        <v>3446.2430939226506</v>
      </c>
      <c r="D48" s="234"/>
    </row>
    <row r="49" spans="1:6">
      <c r="A49" s="171" t="s">
        <v>75</v>
      </c>
      <c r="B49" s="33" t="str">
        <f t="shared" si="0"/>
        <v>-</v>
      </c>
      <c r="C49" s="34" t="s">
        <v>110</v>
      </c>
      <c r="D49" s="234"/>
    </row>
    <row r="50" spans="1:6">
      <c r="A50" s="171" t="s">
        <v>76</v>
      </c>
      <c r="B50" s="33">
        <f t="shared" si="0"/>
        <v>34.699999999999989</v>
      </c>
      <c r="C50" s="33">
        <f>B50*2</f>
        <v>69.399999999999977</v>
      </c>
      <c r="D50" s="234"/>
    </row>
    <row r="51" spans="1:6">
      <c r="A51" s="171" t="s">
        <v>77</v>
      </c>
      <c r="B51" s="33">
        <f t="shared" si="0"/>
        <v>2329.3000000000002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9678.1090970000005</v>
      </c>
      <c r="C5" s="17">
        <f>IF(ISERROR('Eigen informatie GS &amp; warmtenet'!B60),0,'Eigen informatie GS &amp; warmtenet'!B60)</f>
        <v>0</v>
      </c>
      <c r="D5" s="30">
        <f>SUM(D6:D12)</f>
        <v>9789.3617902740007</v>
      </c>
      <c r="E5" s="17">
        <f>SUM(E6:E12)</f>
        <v>154.80793623878824</v>
      </c>
      <c r="F5" s="17">
        <f>SUM(F6:F12)</f>
        <v>1085.5633014180364</v>
      </c>
      <c r="G5" s="18"/>
      <c r="H5" s="17"/>
      <c r="I5" s="17"/>
      <c r="J5" s="17">
        <f>SUM(J6:J12)</f>
        <v>1.782138149622017E-2</v>
      </c>
      <c r="K5" s="17"/>
      <c r="L5" s="17"/>
      <c r="M5" s="17"/>
      <c r="N5" s="17">
        <f>SUM(N6:N12)</f>
        <v>700.93244236641999</v>
      </c>
      <c r="O5" s="17">
        <f>B38*B39*B40</f>
        <v>4.8972607658411542</v>
      </c>
      <c r="P5" s="17">
        <f>B46*B47*B48/1000-B46*B47*B48/1000/B49</f>
        <v>52.539138306495019</v>
      </c>
      <c r="R5" s="32"/>
    </row>
    <row r="6" spans="1:18">
      <c r="A6" s="32" t="s">
        <v>53</v>
      </c>
      <c r="B6" s="37">
        <f>B26</f>
        <v>1645.4775500000001</v>
      </c>
      <c r="C6" s="33"/>
      <c r="D6" s="37">
        <f>IF(ISERROR(TER_kantoor_gas_kWh/1000),0,TER_kantoor_gas_kWh/1000)*0.902</f>
        <v>2128.7066071039999</v>
      </c>
      <c r="E6" s="33">
        <f>$C$26*'E Balans VL '!I12/100/3.6*1000000</f>
        <v>13.240630263183325</v>
      </c>
      <c r="F6" s="33">
        <f>$C$26*('E Balans VL '!L12+'E Balans VL '!N12)/100/3.6*1000000</f>
        <v>201.17694035713916</v>
      </c>
      <c r="G6" s="34"/>
      <c r="H6" s="33"/>
      <c r="I6" s="33"/>
      <c r="J6" s="33">
        <f>$C$26*('E Balans VL '!D12+'E Balans VL '!E12)/100/3.6*1000000</f>
        <v>0</v>
      </c>
      <c r="K6" s="33"/>
      <c r="L6" s="33"/>
      <c r="M6" s="33"/>
      <c r="N6" s="33">
        <f>$C$26*'E Balans VL '!Y12/100/3.6*1000000</f>
        <v>0.88436315212601191</v>
      </c>
      <c r="O6" s="33"/>
      <c r="P6" s="33"/>
      <c r="R6" s="32"/>
    </row>
    <row r="7" spans="1:18">
      <c r="A7" s="32" t="s">
        <v>52</v>
      </c>
      <c r="B7" s="37">
        <f t="shared" ref="B7:B12" si="0">B27</f>
        <v>1496.35825</v>
      </c>
      <c r="C7" s="33"/>
      <c r="D7" s="37">
        <f>IF(ISERROR(TER_horeca_gas_kWh/1000),0,TER_horeca_gas_kWh/1000)*0.902</f>
        <v>895.52520316599998</v>
      </c>
      <c r="E7" s="33">
        <f>$C$27*'E Balans VL '!I9/100/3.6*1000000</f>
        <v>16.067213191529341</v>
      </c>
      <c r="F7" s="33">
        <f>$C$27*('E Balans VL '!L9+'E Balans VL '!N9)/100/3.6*1000000</f>
        <v>179.97561274361851</v>
      </c>
      <c r="G7" s="34"/>
      <c r="H7" s="33"/>
      <c r="I7" s="33"/>
      <c r="J7" s="33">
        <f>$C$27*('E Balans VL '!D9+'E Balans VL '!E9)/100/3.6*1000000</f>
        <v>0</v>
      </c>
      <c r="K7" s="33"/>
      <c r="L7" s="33"/>
      <c r="M7" s="33"/>
      <c r="N7" s="33">
        <f>$C$27*'E Balans VL '!Y9/100/3.6*1000000</f>
        <v>0.22433442933573053</v>
      </c>
      <c r="O7" s="33"/>
      <c r="P7" s="33"/>
      <c r="R7" s="32"/>
    </row>
    <row r="8" spans="1:18">
      <c r="A8" s="6" t="s">
        <v>51</v>
      </c>
      <c r="B8" s="37">
        <f t="shared" si="0"/>
        <v>3798.2951970000004</v>
      </c>
      <c r="C8" s="33"/>
      <c r="D8" s="37">
        <f>IF(ISERROR(TER_handel_gas_kWh/1000),0,TER_handel_gas_kWh/1000)*0.902</f>
        <v>1066.6922644180001</v>
      </c>
      <c r="E8" s="33">
        <f>$C$28*'E Balans VL '!I13/100/3.6*1000000</f>
        <v>101.93461471953879</v>
      </c>
      <c r="F8" s="33">
        <f>$C$28*('E Balans VL '!L13+'E Balans VL '!N13)/100/3.6*1000000</f>
        <v>362.47442827030187</v>
      </c>
      <c r="G8" s="34"/>
      <c r="H8" s="33"/>
      <c r="I8" s="33"/>
      <c r="J8" s="33">
        <f>$C$28*('E Balans VL '!D13+'E Balans VL '!E13)/100/3.6*1000000</f>
        <v>0</v>
      </c>
      <c r="K8" s="33"/>
      <c r="L8" s="33"/>
      <c r="M8" s="33"/>
      <c r="N8" s="33">
        <f>$C$28*'E Balans VL '!Y13/100/3.6*1000000</f>
        <v>1.5056874041713595</v>
      </c>
      <c r="O8" s="33"/>
      <c r="P8" s="33"/>
      <c r="R8" s="32"/>
    </row>
    <row r="9" spans="1:18">
      <c r="A9" s="32" t="s">
        <v>50</v>
      </c>
      <c r="B9" s="37">
        <f t="shared" si="0"/>
        <v>264.11484000000002</v>
      </c>
      <c r="C9" s="33"/>
      <c r="D9" s="37">
        <f>IF(ISERROR(TER_gezond_gas_kWh/1000),0,TER_gezond_gas_kWh/1000)*0.902</f>
        <v>157.88604842999999</v>
      </c>
      <c r="E9" s="33">
        <f>$C$29*'E Balans VL '!I10/100/3.6*1000000</f>
        <v>0.49503720968632997</v>
      </c>
      <c r="F9" s="33">
        <f>$C$29*('E Balans VL '!L10+'E Balans VL '!N10)/100/3.6*1000000</f>
        <v>21.712649710227126</v>
      </c>
      <c r="G9" s="34"/>
      <c r="H9" s="33"/>
      <c r="I9" s="33"/>
      <c r="J9" s="33">
        <f>$C$29*('E Balans VL '!D10+'E Balans VL '!E10)/100/3.6*1000000</f>
        <v>0</v>
      </c>
      <c r="K9" s="33"/>
      <c r="L9" s="33"/>
      <c r="M9" s="33"/>
      <c r="N9" s="33">
        <f>$C$29*'E Balans VL '!Y10/100/3.6*1000000</f>
        <v>2.0550105131853011</v>
      </c>
      <c r="O9" s="33"/>
      <c r="P9" s="33"/>
      <c r="R9" s="32"/>
    </row>
    <row r="10" spans="1:18">
      <c r="A10" s="32" t="s">
        <v>49</v>
      </c>
      <c r="B10" s="37">
        <f t="shared" si="0"/>
        <v>880.09515800000008</v>
      </c>
      <c r="C10" s="33"/>
      <c r="D10" s="37">
        <f>IF(ISERROR(TER_ander_gas_kWh/1000),0,TER_ander_gas_kWh/1000)*0.902</f>
        <v>281.718752854</v>
      </c>
      <c r="E10" s="33">
        <f>$C$30*'E Balans VL '!I14/100/3.6*1000000</f>
        <v>1.3566756039234433</v>
      </c>
      <c r="F10" s="33">
        <f>$C$30*('E Balans VL '!L14+'E Balans VL '!N14)/100/3.6*1000000</f>
        <v>136.63501624312619</v>
      </c>
      <c r="G10" s="34"/>
      <c r="H10" s="33"/>
      <c r="I10" s="33"/>
      <c r="J10" s="33">
        <f>$C$30*('E Balans VL '!D14+'E Balans VL '!E14)/100/3.6*1000000</f>
        <v>1.4940543477229838E-2</v>
      </c>
      <c r="K10" s="33"/>
      <c r="L10" s="33"/>
      <c r="M10" s="33"/>
      <c r="N10" s="33">
        <f>$C$30*'E Balans VL '!Y14/100/3.6*1000000</f>
        <v>582.24274969471719</v>
      </c>
      <c r="O10" s="33"/>
      <c r="P10" s="33"/>
      <c r="R10" s="32"/>
    </row>
    <row r="11" spans="1:18">
      <c r="A11" s="32" t="s">
        <v>54</v>
      </c>
      <c r="B11" s="37">
        <f t="shared" si="0"/>
        <v>90.549969000000004</v>
      </c>
      <c r="C11" s="33"/>
      <c r="D11" s="37">
        <f>IF(ISERROR(TER_onderwijs_gas_kWh/1000),0,TER_onderwijs_gas_kWh/1000)*0.902</f>
        <v>87.658583429999993</v>
      </c>
      <c r="E11" s="33">
        <f>$C$31*'E Balans VL '!I11/100/3.6*1000000</f>
        <v>2.3096426708983082</v>
      </c>
      <c r="F11" s="33">
        <f>$C$31*('E Balans VL '!L11+'E Balans VL '!N11)/100/3.6*1000000</f>
        <v>10.889486061014523</v>
      </c>
      <c r="G11" s="34"/>
      <c r="H11" s="33"/>
      <c r="I11" s="33"/>
      <c r="J11" s="33">
        <f>$C$31*('E Balans VL '!D11+'E Balans VL '!E11)/100/3.6*1000000</f>
        <v>0</v>
      </c>
      <c r="K11" s="33"/>
      <c r="L11" s="33"/>
      <c r="M11" s="33"/>
      <c r="N11" s="33">
        <f>$C$31*'E Balans VL '!Y11/100/3.6*1000000</f>
        <v>0.20138092161771845</v>
      </c>
      <c r="O11" s="33"/>
      <c r="P11" s="33"/>
      <c r="R11" s="32"/>
    </row>
    <row r="12" spans="1:18">
      <c r="A12" s="32" t="s">
        <v>259</v>
      </c>
      <c r="B12" s="37">
        <f t="shared" si="0"/>
        <v>1503.2181329999999</v>
      </c>
      <c r="C12" s="33"/>
      <c r="D12" s="37">
        <f>IF(ISERROR(TER_rest_gas_kWh/1000),0,TER_rest_gas_kWh/1000)*0.902</f>
        <v>5171.1743308719997</v>
      </c>
      <c r="E12" s="33">
        <f>$C$32*'E Balans VL '!I8/100/3.6*1000000</f>
        <v>19.404122580028712</v>
      </c>
      <c r="F12" s="33">
        <f>$C$32*('E Balans VL '!L8+'E Balans VL '!N8)/100/3.6*1000000</f>
        <v>172.69916803260901</v>
      </c>
      <c r="G12" s="34"/>
      <c r="H12" s="33"/>
      <c r="I12" s="33"/>
      <c r="J12" s="33">
        <f>$C$32*('E Balans VL '!D8+'E Balans VL '!E8)/100/3.6*1000000</f>
        <v>2.8808380189903312E-3</v>
      </c>
      <c r="K12" s="33"/>
      <c r="L12" s="33"/>
      <c r="M12" s="33"/>
      <c r="N12" s="33">
        <f>$C$32*'E Balans VL '!Y8/100/3.6*1000000</f>
        <v>113.81891625126671</v>
      </c>
      <c r="O12" s="33"/>
      <c r="P12" s="33"/>
      <c r="R12" s="32"/>
    </row>
    <row r="13" spans="1:18">
      <c r="A13" s="16" t="s">
        <v>482</v>
      </c>
      <c r="B13" s="247">
        <f ca="1">'lokale energieproductie'!N91+'lokale energieproductie'!N60</f>
        <v>1656</v>
      </c>
      <c r="C13" s="247">
        <f ca="1">'lokale energieproductie'!O91+'lokale energieproductie'!O60</f>
        <v>450.00000000000011</v>
      </c>
      <c r="D13" s="310">
        <f ca="1">('lokale energieproductie'!P60+'lokale energieproductie'!P91)*(-1)</f>
        <v>-900.00000000000023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11334.109097</v>
      </c>
      <c r="C16" s="21">
        <f t="shared" ca="1" si="1"/>
        <v>450.00000000000011</v>
      </c>
      <c r="D16" s="21">
        <f t="shared" ca="1" si="1"/>
        <v>8889.3617902740007</v>
      </c>
      <c r="E16" s="21">
        <f t="shared" si="1"/>
        <v>154.80793623878824</v>
      </c>
      <c r="F16" s="21">
        <f t="shared" ca="1" si="1"/>
        <v>1085.5633014180364</v>
      </c>
      <c r="G16" s="21">
        <f t="shared" si="1"/>
        <v>0</v>
      </c>
      <c r="H16" s="21">
        <f t="shared" si="1"/>
        <v>0</v>
      </c>
      <c r="I16" s="21">
        <f t="shared" si="1"/>
        <v>0</v>
      </c>
      <c r="J16" s="21">
        <f t="shared" si="1"/>
        <v>1.782138149622017E-2</v>
      </c>
      <c r="K16" s="21">
        <f t="shared" si="1"/>
        <v>0</v>
      </c>
      <c r="L16" s="21">
        <f t="shared" ca="1" si="1"/>
        <v>0</v>
      </c>
      <c r="M16" s="21">
        <f t="shared" si="1"/>
        <v>0</v>
      </c>
      <c r="N16" s="21">
        <f t="shared" ca="1" si="1"/>
        <v>0</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0.10413954313969286</v>
      </c>
      <c r="C18" s="25">
        <f ca="1">'EF ele_warmte'!B22</f>
        <v>7.2796891716875978E-2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1180.3289432570168</v>
      </c>
      <c r="C20" s="23">
        <f t="shared" ref="C20:P20" ca="1" si="2">C16*C18</f>
        <v>32.758601272594198</v>
      </c>
      <c r="D20" s="23">
        <f t="shared" ca="1" si="2"/>
        <v>1795.6510816353482</v>
      </c>
      <c r="E20" s="23">
        <f t="shared" si="2"/>
        <v>35.14140152620493</v>
      </c>
      <c r="F20" s="23">
        <f t="shared" ca="1" si="2"/>
        <v>289.84540147861571</v>
      </c>
      <c r="G20" s="23">
        <f t="shared" si="2"/>
        <v>0</v>
      </c>
      <c r="H20" s="23">
        <f t="shared" si="2"/>
        <v>0</v>
      </c>
      <c r="I20" s="23">
        <f t="shared" si="2"/>
        <v>0</v>
      </c>
      <c r="J20" s="23">
        <f t="shared" si="2"/>
        <v>6.30876904966194E-3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1645.4775500000001</v>
      </c>
      <c r="C26" s="39">
        <f>IF(ISERROR(B26*3.6/1000000/'E Balans VL '!Z12*100),0,B26*3.6/1000000/'E Balans VL '!Z12*100)</f>
        <v>3.4907300784166845E-2</v>
      </c>
      <c r="D26" s="237" t="s">
        <v>716</v>
      </c>
      <c r="F26" s="6"/>
    </row>
    <row r="27" spans="1:18">
      <c r="A27" s="231" t="s">
        <v>52</v>
      </c>
      <c r="B27" s="33">
        <f>IF(ISERROR(TER_horeca_ele_kWh/1000),0,TER_horeca_ele_kWh/1000)</f>
        <v>1496.35825</v>
      </c>
      <c r="C27" s="39">
        <f>IF(ISERROR(B27*3.6/1000000/'E Balans VL '!Z9*100),0,B27*3.6/1000000/'E Balans VL '!Z9*100)</f>
        <v>0.11268903172437011</v>
      </c>
      <c r="D27" s="237" t="s">
        <v>716</v>
      </c>
      <c r="F27" s="6"/>
    </row>
    <row r="28" spans="1:18">
      <c r="A28" s="171" t="s">
        <v>51</v>
      </c>
      <c r="B28" s="33">
        <f>IF(ISERROR(TER_handel_ele_kWh/1000),0,TER_handel_ele_kWh/1000)</f>
        <v>3798.2951970000004</v>
      </c>
      <c r="C28" s="39">
        <f>IF(ISERROR(B28*3.6/1000000/'E Balans VL '!Z13*100),0,B28*3.6/1000000/'E Balans VL '!Z13*100)</f>
        <v>0.11025105115897763</v>
      </c>
      <c r="D28" s="237" t="s">
        <v>716</v>
      </c>
      <c r="F28" s="6"/>
    </row>
    <row r="29" spans="1:18">
      <c r="A29" s="231" t="s">
        <v>50</v>
      </c>
      <c r="B29" s="33">
        <f>IF(ISERROR(TER_gezond_ele_kWh/1000),0,TER_gezond_ele_kWh/1000)</f>
        <v>264.11484000000002</v>
      </c>
      <c r="C29" s="39">
        <f>IF(ISERROR(B29*3.6/1000000/'E Balans VL '!Z10*100),0,B29*3.6/1000000/'E Balans VL '!Z10*100)</f>
        <v>2.6636296583775136E-2</v>
      </c>
      <c r="D29" s="237" t="s">
        <v>716</v>
      </c>
      <c r="F29" s="6"/>
    </row>
    <row r="30" spans="1:18">
      <c r="A30" s="231" t="s">
        <v>49</v>
      </c>
      <c r="B30" s="33">
        <f>IF(ISERROR(TER_ander_ele_kWh/1000),0,TER_ander_ele_kWh/1000)</f>
        <v>880.09515800000008</v>
      </c>
      <c r="C30" s="39">
        <f>IF(ISERROR(B30*3.6/1000000/'E Balans VL '!Z14*100),0,B30*3.6/1000000/'E Balans VL '!Z14*100)</f>
        <v>6.3862910412344501E-2</v>
      </c>
      <c r="D30" s="237" t="s">
        <v>716</v>
      </c>
      <c r="F30" s="6"/>
    </row>
    <row r="31" spans="1:18">
      <c r="A31" s="231" t="s">
        <v>54</v>
      </c>
      <c r="B31" s="33">
        <f>IF(ISERROR(TER_onderwijs_ele_kWh/1000),0,TER_onderwijs_ele_kWh/1000)</f>
        <v>90.549969000000004</v>
      </c>
      <c r="C31" s="39">
        <f>IF(ISERROR(B31*3.6/1000000/'E Balans VL '!Z11*100),0,B31*3.6/1000000/'E Balans VL '!Z11*100)</f>
        <v>2.5810428531434837E-2</v>
      </c>
      <c r="D31" s="237" t="s">
        <v>716</v>
      </c>
    </row>
    <row r="32" spans="1:18">
      <c r="A32" s="231" t="s">
        <v>259</v>
      </c>
      <c r="B32" s="33">
        <f>IF(ISERROR(TER_rest_ele_kWh/1000),0,TER_rest_ele_kWh/1000)</f>
        <v>1503.2181329999999</v>
      </c>
      <c r="C32" s="39">
        <f>IF(ISERROR(B32*3.6/1000000/'E Balans VL '!Z8*100),0,B32*3.6/1000000/'E Balans VL '!Z8*100)</f>
        <v>1.2314056754337522E-2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4606.0813740000012</v>
      </c>
      <c r="C5" s="17">
        <f>IF(ISERROR('Eigen informatie GS &amp; warmtenet'!B61),0,'Eigen informatie GS &amp; warmtenet'!B61)</f>
        <v>0</v>
      </c>
      <c r="D5" s="30">
        <f>SUM(D6:D15)</f>
        <v>6047.4435045420005</v>
      </c>
      <c r="E5" s="17">
        <f>SUM(E6:E15)</f>
        <v>281.06509260735038</v>
      </c>
      <c r="F5" s="17">
        <f>SUM(F6:F15)</f>
        <v>1017.8346754472675</v>
      </c>
      <c r="G5" s="18"/>
      <c r="H5" s="17"/>
      <c r="I5" s="17"/>
      <c r="J5" s="17">
        <f>SUM(J6:J15)</f>
        <v>3.0737814299547068</v>
      </c>
      <c r="K5" s="17"/>
      <c r="L5" s="17"/>
      <c r="M5" s="17"/>
      <c r="N5" s="17">
        <f>SUM(N6:N15)</f>
        <v>272.13201224053563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98.556877999999998</v>
      </c>
      <c r="C8" s="33"/>
      <c r="D8" s="37">
        <f>IF( ISERROR(IND_metaal_Gas_kWH/1000),0,IND_metaal_Gas_kWH/1000)*0.902</f>
        <v>0</v>
      </c>
      <c r="E8" s="33">
        <f>C30*'E Balans VL '!I18/100/3.6*1000000</f>
        <v>0.71101870108807763</v>
      </c>
      <c r="F8" s="33">
        <f>C30*'E Balans VL '!L18/100/3.6*1000000+C30*'E Balans VL '!N18/100/3.6*1000000</f>
        <v>9.3216633972692371</v>
      </c>
      <c r="G8" s="34"/>
      <c r="H8" s="33"/>
      <c r="I8" s="33"/>
      <c r="J8" s="40">
        <f>C30*'E Balans VL '!D18/100/3.6*1000000+C30*'E Balans VL '!E18/100/3.6*1000000</f>
        <v>9.9129080625943861E-2</v>
      </c>
      <c r="K8" s="33"/>
      <c r="L8" s="33"/>
      <c r="M8" s="33"/>
      <c r="N8" s="33">
        <f>C30*'E Balans VL '!Y18/100/3.6*1000000</f>
        <v>1.2460196936756975</v>
      </c>
      <c r="O8" s="33"/>
      <c r="P8" s="33"/>
      <c r="R8" s="32"/>
    </row>
    <row r="9" spans="1:18">
      <c r="A9" s="6" t="s">
        <v>32</v>
      </c>
      <c r="B9" s="37">
        <f t="shared" si="0"/>
        <v>953.86847999999998</v>
      </c>
      <c r="C9" s="33"/>
      <c r="D9" s="37">
        <f>IF( ISERROR(IND_andere_gas_kWh/1000),0,IND_andere_gas_kWh/1000)*0.902</f>
        <v>400.348037562</v>
      </c>
      <c r="E9" s="33">
        <f>C31*'E Balans VL '!I19/100/3.6*1000000</f>
        <v>264.32971062752983</v>
      </c>
      <c r="F9" s="33">
        <f>C31*'E Balans VL '!L19/100/3.6*1000000+C31*'E Balans VL '!N19/100/3.6*1000000</f>
        <v>790.56825754967178</v>
      </c>
      <c r="G9" s="34"/>
      <c r="H9" s="33"/>
      <c r="I9" s="33"/>
      <c r="J9" s="40">
        <f>C31*'E Balans VL '!D19/100/3.6*1000000+C31*'E Balans VL '!E19/100/3.6*1000000</f>
        <v>0</v>
      </c>
      <c r="K9" s="33"/>
      <c r="L9" s="33"/>
      <c r="M9" s="33"/>
      <c r="N9" s="33">
        <f>C31*'E Balans VL '!Y19/100/3.6*1000000</f>
        <v>69.239184573432368</v>
      </c>
      <c r="O9" s="33"/>
      <c r="P9" s="33"/>
      <c r="R9" s="32"/>
    </row>
    <row r="10" spans="1:18">
      <c r="A10" s="6" t="s">
        <v>40</v>
      </c>
      <c r="B10" s="37">
        <f t="shared" si="0"/>
        <v>3328.5939500000004</v>
      </c>
      <c r="C10" s="33"/>
      <c r="D10" s="37">
        <f>IF( ISERROR(IND_voed_gas_kWh/1000),0,IND_voed_gas_kWh/1000)*0.902</f>
        <v>0</v>
      </c>
      <c r="E10" s="33">
        <f>C32*'E Balans VL '!I20/100/3.6*1000000</f>
        <v>5.8927387585560069</v>
      </c>
      <c r="F10" s="33">
        <f>C32*'E Balans VL '!L20/100/3.6*1000000+C32*'E Balans VL '!N20/100/3.6*1000000</f>
        <v>179.77357436354998</v>
      </c>
      <c r="G10" s="34"/>
      <c r="H10" s="33"/>
      <c r="I10" s="33"/>
      <c r="J10" s="40">
        <f>C32*'E Balans VL '!D20/100/3.6*1000000+C32*'E Balans VL '!E20/100/3.6*1000000</f>
        <v>0</v>
      </c>
      <c r="K10" s="33"/>
      <c r="L10" s="33"/>
      <c r="M10" s="33"/>
      <c r="N10" s="33">
        <f>C32*'E Balans VL '!Y20/100/3.6*1000000</f>
        <v>193.41672928376175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11.027468000000001</v>
      </c>
      <c r="C13" s="33"/>
      <c r="D13" s="37">
        <f>IF( ISERROR(IND_papier_gas_kWh/1000),0,IND_papier_gas_kWh/1000)*0.902</f>
        <v>0</v>
      </c>
      <c r="E13" s="33">
        <f>C35*'E Balans VL '!I23/100/3.6*1000000</f>
        <v>1.6225192041903605E-2</v>
      </c>
      <c r="F13" s="33">
        <f>C35*'E Balans VL '!L23/100/3.6*1000000+C35*'E Balans VL '!N23/100/3.6*1000000</f>
        <v>0.11807448009877944</v>
      </c>
      <c r="G13" s="34"/>
      <c r="H13" s="33"/>
      <c r="I13" s="33"/>
      <c r="J13" s="40">
        <f>C35*'E Balans VL '!D23/100/3.6*1000000+C35*'E Balans VL '!E23/100/3.6*1000000</f>
        <v>1.2064668380045713</v>
      </c>
      <c r="K13" s="33"/>
      <c r="L13" s="33"/>
      <c r="M13" s="33"/>
      <c r="N13" s="33">
        <f>C35*'E Balans VL '!Y23/100/3.6*1000000</f>
        <v>-9.9899410999061453E-2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214.03459799999999</v>
      </c>
      <c r="C15" s="33"/>
      <c r="D15" s="37">
        <f>IF( ISERROR(IND_rest_gas_kWh/1000),0,IND_rest_gas_kWh/1000)*0.902</f>
        <v>5647.0954669800003</v>
      </c>
      <c r="E15" s="33">
        <f>C37*'E Balans VL '!I15/100/3.6*1000000</f>
        <v>10.115399328134547</v>
      </c>
      <c r="F15" s="33">
        <f>C37*'E Balans VL '!L15/100/3.6*1000000+C37*'E Balans VL '!N15/100/3.6*1000000</f>
        <v>38.053105656677616</v>
      </c>
      <c r="G15" s="34"/>
      <c r="H15" s="33"/>
      <c r="I15" s="33"/>
      <c r="J15" s="40">
        <f>C37*'E Balans VL '!D15/100/3.6*1000000+C37*'E Balans VL '!E15/100/3.6*1000000</f>
        <v>1.7681855113241918</v>
      </c>
      <c r="K15" s="33"/>
      <c r="L15" s="33"/>
      <c r="M15" s="33"/>
      <c r="N15" s="33">
        <f>C37*'E Balans VL '!Y15/100/3.6*1000000</f>
        <v>8.3299781006649223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4606.0813740000012</v>
      </c>
      <c r="C18" s="21">
        <f>C5+C16</f>
        <v>0</v>
      </c>
      <c r="D18" s="21">
        <f>MAX((D5+D16),0)</f>
        <v>6047.4435045420005</v>
      </c>
      <c r="E18" s="21">
        <f>MAX((E5+E16),0)</f>
        <v>281.06509260735038</v>
      </c>
      <c r="F18" s="21">
        <f>MAX((F5+F16),0)</f>
        <v>1017.8346754472675</v>
      </c>
      <c r="G18" s="21"/>
      <c r="H18" s="21"/>
      <c r="I18" s="21"/>
      <c r="J18" s="21">
        <f>MAX((J5+J16),0)</f>
        <v>3.0737814299547068</v>
      </c>
      <c r="K18" s="21"/>
      <c r="L18" s="21">
        <f>MAX((L5+L16),0)</f>
        <v>0</v>
      </c>
      <c r="M18" s="21"/>
      <c r="N18" s="21">
        <f>MAX((N5+N16),0)</f>
        <v>272.13201224053563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0.10413954313969286</v>
      </c>
      <c r="C20" s="25">
        <f ca="1">'EF ele_warmte'!B22</f>
        <v>7.2796891716875978E-2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479.6752099526089</v>
      </c>
      <c r="C22" s="23">
        <f ca="1">C18*C20</f>
        <v>0</v>
      </c>
      <c r="D22" s="23">
        <f>D18*D20</f>
        <v>1221.5835879174842</v>
      </c>
      <c r="E22" s="23">
        <f>E18*E20</f>
        <v>63.801776021868541</v>
      </c>
      <c r="F22" s="23">
        <f>F18*F20</f>
        <v>271.76185834442043</v>
      </c>
      <c r="G22" s="23"/>
      <c r="H22" s="23"/>
      <c r="I22" s="23"/>
      <c r="J22" s="23">
        <f>J18*J20</f>
        <v>1.0881186262039662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98.556877999999998</v>
      </c>
      <c r="C30" s="39">
        <f>IF(ISERROR(B30*3.6/1000000/'E Balans VL '!Z18*100),0,B30*3.6/1000000/'E Balans VL '!Z18*100)</f>
        <v>5.6895347839452676E-3</v>
      </c>
      <c r="D30" s="237" t="s">
        <v>716</v>
      </c>
    </row>
    <row r="31" spans="1:18">
      <c r="A31" s="6" t="s">
        <v>32</v>
      </c>
      <c r="B31" s="37">
        <f>IF( ISERROR(IND_ander_ele_kWh/1000),0,IND_ander_ele_kWh/1000)</f>
        <v>953.86847999999998</v>
      </c>
      <c r="C31" s="39">
        <f>IF(ISERROR(B31*3.6/1000000/'E Balans VL '!Z19*100),0,B31*3.6/1000000/'E Balans VL '!Z19*100)</f>
        <v>4.7976492699041334E-2</v>
      </c>
      <c r="D31" s="237" t="s">
        <v>716</v>
      </c>
    </row>
    <row r="32" spans="1:18">
      <c r="A32" s="171" t="s">
        <v>40</v>
      </c>
      <c r="B32" s="37">
        <f>IF( ISERROR(IND_voed_ele_kWh/1000),0,IND_voed_ele_kWh/1000)</f>
        <v>3328.5939500000004</v>
      </c>
      <c r="C32" s="39">
        <f>IF(ISERROR(B32*3.6/1000000/'E Balans VL '!Z20*100),0,B32*3.6/1000000/'E Balans VL '!Z20*100)</f>
        <v>0.11086194455165055</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11.027468000000001</v>
      </c>
      <c r="C35" s="39">
        <f>IF(ISERROR(B35*3.6/1000000/'E Balans VL '!Z22*100),0,B35*3.6/1000000/'E Balans VL '!Z22*100)</f>
        <v>2.056995249710012E-3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214.03459799999999</v>
      </c>
      <c r="C37" s="39">
        <f>IF(ISERROR(B37*3.6/1000000/'E Balans VL '!Z15*100),0,B37*3.6/1000000/'E Balans VL '!Z15*100)</f>
        <v>1.6700551700880957E-3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1246.5672890000001</v>
      </c>
      <c r="C5" s="17">
        <f>'Eigen informatie GS &amp; warmtenet'!B62</f>
        <v>0</v>
      </c>
      <c r="D5" s="30">
        <f>IF(ISERROR(SUM(LB_lb_gas_kWh,LB_rest_gas_kWh)/1000),0,SUM(LB_lb_gas_kWh,LB_rest_gas_kWh)/1000)*0.902</f>
        <v>23854.441524540001</v>
      </c>
      <c r="E5" s="17">
        <f>B17*'E Balans VL '!I25/3.6*1000000/100</f>
        <v>38.904954022510573</v>
      </c>
      <c r="F5" s="17">
        <f>B17*('E Balans VL '!L25/3.6*1000000+'E Balans VL '!N25/3.6*1000000)/100</f>
        <v>4405.5068903251331</v>
      </c>
      <c r="G5" s="18"/>
      <c r="H5" s="17"/>
      <c r="I5" s="17"/>
      <c r="J5" s="17">
        <f>('E Balans VL '!D25+'E Balans VL '!E25)/3.6*1000000*landbouw!B17/100</f>
        <v>343.43793298788609</v>
      </c>
      <c r="K5" s="17"/>
      <c r="L5" s="17">
        <f>L6*(-1)</f>
        <v>0</v>
      </c>
      <c r="M5" s="17"/>
      <c r="N5" s="17">
        <f>N6*(-1)</f>
        <v>47516.142857142862</v>
      </c>
      <c r="O5" s="17"/>
      <c r="P5" s="17"/>
      <c r="R5" s="32"/>
    </row>
    <row r="6" spans="1:18">
      <c r="A6" s="16" t="s">
        <v>482</v>
      </c>
      <c r="B6" s="17" t="s">
        <v>210</v>
      </c>
      <c r="C6" s="17">
        <f>'lokale energieproductie'!O92+'lokale energieproductie'!O61</f>
        <v>33799.5</v>
      </c>
      <c r="D6" s="310">
        <f>('lokale energieproductie'!P61+'lokale energieproductie'!P92)*(-1)</f>
        <v>-20082.857142857145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-47516.142857142862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1246.5672890000001</v>
      </c>
      <c r="C8" s="21">
        <f>C5+C6</f>
        <v>33799.5</v>
      </c>
      <c r="D8" s="21">
        <f>MAX((D5+D6),0)</f>
        <v>3771.5843816828565</v>
      </c>
      <c r="E8" s="21">
        <f>MAX((E5+E6),0)</f>
        <v>38.904954022510573</v>
      </c>
      <c r="F8" s="21">
        <f>MAX((F5+F6),0)</f>
        <v>4405.5068903251331</v>
      </c>
      <c r="G8" s="21"/>
      <c r="H8" s="21"/>
      <c r="I8" s="21"/>
      <c r="J8" s="21">
        <f>MAX((J5+J6),0)</f>
        <v>343.43793298788609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0.10413954313969286</v>
      </c>
      <c r="C10" s="31">
        <f ca="1">'EF ele_warmte'!B22</f>
        <v>7.2796891716875978E-2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129.81694796934548</v>
      </c>
      <c r="C12" s="23">
        <f ca="1">C8*C10</f>
        <v>2460.4985415845495</v>
      </c>
      <c r="D12" s="23">
        <f>D8*D10</f>
        <v>761.86004509993711</v>
      </c>
      <c r="E12" s="23">
        <f>E8*E10</f>
        <v>8.8314245631099002</v>
      </c>
      <c r="F12" s="23">
        <f>F8*F10</f>
        <v>1176.2703397168107</v>
      </c>
      <c r="G12" s="23"/>
      <c r="H12" s="23"/>
      <c r="I12" s="23"/>
      <c r="J12" s="23">
        <f>J8*J10</f>
        <v>121.57702827771166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0.18531116375063772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234.26097365710513</v>
      </c>
      <c r="C26" s="247">
        <f>B26*'GWP N2O_CH4'!B5</f>
        <v>4919.480446799208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67.303004839979451</v>
      </c>
      <c r="C27" s="247">
        <f>B27*'GWP N2O_CH4'!B5</f>
        <v>1413.3631016395684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4.7464860732722149</v>
      </c>
      <c r="C28" s="247">
        <f>B28*'GWP N2O_CH4'!B4</f>
        <v>1471.4106827143867</v>
      </c>
      <c r="D28" s="50"/>
    </row>
    <row r="29" spans="1:4">
      <c r="A29" s="41" t="s">
        <v>276</v>
      </c>
      <c r="B29" s="247">
        <f>B34*'ha_N2O bodem landbouw'!B4</f>
        <v>11.534605209615298</v>
      </c>
      <c r="C29" s="247">
        <f>B29*'GWP N2O_CH4'!B4</f>
        <v>3575.7276149807426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2.5293312465713902E-3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2.1658232117999999E-4</v>
      </c>
      <c r="C5" s="463" t="s">
        <v>210</v>
      </c>
      <c r="D5" s="448">
        <f>SUM(D6:D11)</f>
        <v>7.9291446360865204E-4</v>
      </c>
      <c r="E5" s="448">
        <f>SUM(E6:E11)</f>
        <v>6.1942499486047496E-4</v>
      </c>
      <c r="F5" s="461" t="s">
        <v>210</v>
      </c>
      <c r="G5" s="448">
        <f>SUM(G6:G11)</f>
        <v>0.21711921279966892</v>
      </c>
      <c r="H5" s="448">
        <f>SUM(H6:H11)</f>
        <v>5.9341792156312072E-2</v>
      </c>
      <c r="I5" s="463" t="s">
        <v>210</v>
      </c>
      <c r="J5" s="463" t="s">
        <v>210</v>
      </c>
      <c r="K5" s="463" t="s">
        <v>210</v>
      </c>
      <c r="L5" s="463" t="s">
        <v>210</v>
      </c>
      <c r="M5" s="448">
        <f>SUM(M6:M11)</f>
        <v>1.6419987913881322E-2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2.0170452289499998E-4</v>
      </c>
      <c r="C6" s="449"/>
      <c r="D6" s="917">
        <f>vkm_2011_GW_PW*SUMIFS(TableVerdeelsleutelVkm[CNG],TableVerdeelsleutelVkm[Voertuigtype],"Lichte voertuigen")*SUMIFS(TableECFTransport[EnergieConsumptieFactor (PJ per km)],TableECFTransport[Index],CONCATENATE($A6,"_CNG_CNG"))</f>
        <v>7.0136098293769201E-4</v>
      </c>
      <c r="E6" s="917">
        <f>vkm_2011_GW_PW*SUMIFS(TableVerdeelsleutelVkm[LPG],TableVerdeelsleutelVkm[Voertuigtype],"Lichte voertuigen")*SUMIFS(TableECFTransport[EnergieConsumptieFactor (PJ per km)],TableECFTransport[Index],CONCATENATE($A6,"_LPG_LPG"))</f>
        <v>5.525569016964E-4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0.15041241346441303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5.2634354554827248E-2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1.2133320608768277E-2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4.972984805295446E-2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1.2528551261830928E-5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2.8675784055980911E-3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1.4877798284999998E-5</v>
      </c>
      <c r="C8" s="449"/>
      <c r="D8" s="451">
        <f>vkm_2011_NGW_PW*SUMIFS(TableVerdeelsleutelVkm[CNG],TableVerdeelsleutelVkm[Voertuigtype],"Lichte voertuigen")*SUMIFS(TableECFTransport[EnergieConsumptieFactor (PJ per km)],TableECFTransport[Index],CONCATENATE($A8,"_CNG_CNG"))</f>
        <v>9.1553480670959994E-5</v>
      </c>
      <c r="E8" s="451">
        <f>vkm_2011_NGW_PW*SUMIFS(TableVerdeelsleutelVkm[LPG],TableVerdeelsleutelVkm[Voertuigtype],"Lichte voertuigen")*SUMIFS(TableECFTransport[EnergieConsumptieFactor (PJ per km)],TableECFTransport[Index],CONCATENATE($A8,"_LPG_LPG"))</f>
        <v>6.6868093164075003E-5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1.6891154039173486E-2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6.6948886552025107E-3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1.4141416426895386E-3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8.5797243127928914E-5</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2.0395020478569282E-8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4.9472568254181306E-6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60.161755883333335</v>
      </c>
      <c r="C14" s="21"/>
      <c r="D14" s="21">
        <f t="shared" ref="D14:M14" si="0">((D5)*10^9/3600)+D12</f>
        <v>220.25401766907001</v>
      </c>
      <c r="E14" s="21">
        <f t="shared" si="0"/>
        <v>172.06249857235414</v>
      </c>
      <c r="F14" s="21"/>
      <c r="G14" s="21">
        <f t="shared" si="0"/>
        <v>60310.892444352474</v>
      </c>
      <c r="H14" s="21">
        <f t="shared" si="0"/>
        <v>16483.83115453113</v>
      </c>
      <c r="I14" s="21"/>
      <c r="J14" s="21"/>
      <c r="K14" s="21"/>
      <c r="L14" s="21"/>
      <c r="M14" s="21">
        <f t="shared" si="0"/>
        <v>4561.107753855923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0.10413954313969286</v>
      </c>
      <c r="C16" s="56">
        <f ca="1">'EF ele_warmte'!B22</f>
        <v>7.2796891716875978E-2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6.2652177721720621</v>
      </c>
      <c r="C18" s="23"/>
      <c r="D18" s="23">
        <f t="shared" ref="D18:M18" si="1">D14*D16</f>
        <v>44.491311569152145</v>
      </c>
      <c r="E18" s="23">
        <f t="shared" si="1"/>
        <v>39.058187175924395</v>
      </c>
      <c r="F18" s="23"/>
      <c r="G18" s="23">
        <f t="shared" si="1"/>
        <v>16103.008282642111</v>
      </c>
      <c r="H18" s="23">
        <f t="shared" si="1"/>
        <v>4104.4739574782516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3.9381608013271422E-3</v>
      </c>
      <c r="H50" s="321">
        <f t="shared" si="2"/>
        <v>0</v>
      </c>
      <c r="I50" s="321">
        <f t="shared" si="2"/>
        <v>0</v>
      </c>
      <c r="J50" s="321">
        <f t="shared" si="2"/>
        <v>0</v>
      </c>
      <c r="K50" s="321">
        <f t="shared" si="2"/>
        <v>0</v>
      </c>
      <c r="L50" s="321">
        <f t="shared" si="2"/>
        <v>0</v>
      </c>
      <c r="M50" s="321">
        <f t="shared" si="2"/>
        <v>2.1888341307131818E-4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3.9381608013271422E-3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2.1888341307131818E-4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1093.9335559242063</v>
      </c>
      <c r="H54" s="21">
        <f t="shared" si="3"/>
        <v>0</v>
      </c>
      <c r="I54" s="21">
        <f t="shared" si="3"/>
        <v>0</v>
      </c>
      <c r="J54" s="21">
        <f t="shared" si="3"/>
        <v>0</v>
      </c>
      <c r="K54" s="21">
        <f t="shared" si="3"/>
        <v>0</v>
      </c>
      <c r="L54" s="21">
        <f t="shared" si="3"/>
        <v>0</v>
      </c>
      <c r="M54" s="21">
        <f t="shared" si="3"/>
        <v>60.800948075366158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0.10413954313969286</v>
      </c>
      <c r="C56" s="56">
        <f ca="1">'EF ele_warmte'!B22</f>
        <v>7.2796891716875978E-2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292.08025943176312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12032.345097000001</v>
      </c>
      <c r="D10" s="712">
        <f ca="1">tertiair!C16</f>
        <v>450.00000000000011</v>
      </c>
      <c r="E10" s="712">
        <f ca="1">tertiair!D16</f>
        <v>8889.3617902740007</v>
      </c>
      <c r="F10" s="712">
        <f>tertiair!E16</f>
        <v>154.80793623878824</v>
      </c>
      <c r="G10" s="712">
        <f ca="1">tertiair!F16</f>
        <v>1085.5633014180364</v>
      </c>
      <c r="H10" s="712">
        <f>tertiair!G16</f>
        <v>0</v>
      </c>
      <c r="I10" s="712">
        <f>tertiair!H16</f>
        <v>0</v>
      </c>
      <c r="J10" s="712">
        <f>tertiair!I16</f>
        <v>0</v>
      </c>
      <c r="K10" s="712">
        <f>tertiair!J16</f>
        <v>1.782138149622017E-2</v>
      </c>
      <c r="L10" s="712">
        <f>tertiair!K16</f>
        <v>0</v>
      </c>
      <c r="M10" s="712">
        <f ca="1">tertiair!L16</f>
        <v>0</v>
      </c>
      <c r="N10" s="712">
        <f>tertiair!M16</f>
        <v>0</v>
      </c>
      <c r="O10" s="712">
        <f ca="1">tertiair!N16</f>
        <v>0</v>
      </c>
      <c r="P10" s="712">
        <f>tertiair!O16</f>
        <v>4.8972607658411542</v>
      </c>
      <c r="Q10" s="713">
        <f>tertiair!P16</f>
        <v>52.539138306495019</v>
      </c>
      <c r="R10" s="715">
        <f ca="1">SUM(C10:Q10)</f>
        <v>22669.532345384658</v>
      </c>
      <c r="S10" s="67"/>
    </row>
    <row r="11" spans="1:19" s="474" customFormat="1">
      <c r="A11" s="834" t="s">
        <v>224</v>
      </c>
      <c r="B11" s="839"/>
      <c r="C11" s="712">
        <f>huishoudens!B8</f>
        <v>25297.360301863831</v>
      </c>
      <c r="D11" s="712">
        <f>huishoudens!C8</f>
        <v>0</v>
      </c>
      <c r="E11" s="712">
        <f>huishoudens!D8</f>
        <v>31929.602405580004</v>
      </c>
      <c r="F11" s="712">
        <f>huishoudens!E8</f>
        <v>15704.531994645586</v>
      </c>
      <c r="G11" s="712">
        <f>huishoudens!F8</f>
        <v>48430.845848627323</v>
      </c>
      <c r="H11" s="712">
        <f>huishoudens!G8</f>
        <v>0</v>
      </c>
      <c r="I11" s="712">
        <f>huishoudens!H8</f>
        <v>0</v>
      </c>
      <c r="J11" s="712">
        <f>huishoudens!I8</f>
        <v>0</v>
      </c>
      <c r="K11" s="712">
        <f>huishoudens!J8</f>
        <v>1018.5587375154603</v>
      </c>
      <c r="L11" s="712">
        <f>huishoudens!K8</f>
        <v>0</v>
      </c>
      <c r="M11" s="712">
        <f>huishoudens!L8</f>
        <v>0</v>
      </c>
      <c r="N11" s="712">
        <f>huishoudens!M8</f>
        <v>0</v>
      </c>
      <c r="O11" s="712">
        <f>huishoudens!N8</f>
        <v>23362.902404549146</v>
      </c>
      <c r="P11" s="712">
        <f>huishoudens!O8</f>
        <v>353.14456305089169</v>
      </c>
      <c r="Q11" s="713">
        <f>huishoudens!P8</f>
        <v>926.98841907628207</v>
      </c>
      <c r="R11" s="715">
        <f>SUM(C11:Q11)</f>
        <v>147023.93467490849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4606.0813740000012</v>
      </c>
      <c r="D13" s="712">
        <f>industrie!C18</f>
        <v>0</v>
      </c>
      <c r="E13" s="712">
        <f>industrie!D18</f>
        <v>6047.4435045420005</v>
      </c>
      <c r="F13" s="712">
        <f>industrie!E18</f>
        <v>281.06509260735038</v>
      </c>
      <c r="G13" s="712">
        <f>industrie!F18</f>
        <v>1017.8346754472675</v>
      </c>
      <c r="H13" s="712">
        <f>industrie!G18</f>
        <v>0</v>
      </c>
      <c r="I13" s="712">
        <f>industrie!H18</f>
        <v>0</v>
      </c>
      <c r="J13" s="712">
        <f>industrie!I18</f>
        <v>0</v>
      </c>
      <c r="K13" s="712">
        <f>industrie!J18</f>
        <v>3.0737814299547068</v>
      </c>
      <c r="L13" s="712">
        <f>industrie!K18</f>
        <v>0</v>
      </c>
      <c r="M13" s="712">
        <f>industrie!L18</f>
        <v>0</v>
      </c>
      <c r="N13" s="712">
        <f>industrie!M18</f>
        <v>0</v>
      </c>
      <c r="O13" s="712">
        <f>industrie!N18</f>
        <v>272.13201224053563</v>
      </c>
      <c r="P13" s="712">
        <f>industrie!O18</f>
        <v>0</v>
      </c>
      <c r="Q13" s="713">
        <f>industrie!P18</f>
        <v>0</v>
      </c>
      <c r="R13" s="715">
        <f>SUM(C13:Q13)</f>
        <v>12227.63044026711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41935.786772863838</v>
      </c>
      <c r="D16" s="748">
        <f t="shared" ref="D16:R16" ca="1" si="0">SUM(D9:D15)</f>
        <v>450.00000000000011</v>
      </c>
      <c r="E16" s="748">
        <f t="shared" ca="1" si="0"/>
        <v>46866.407700396005</v>
      </c>
      <c r="F16" s="748">
        <f t="shared" si="0"/>
        <v>16140.405023491725</v>
      </c>
      <c r="G16" s="748">
        <f t="shared" ca="1" si="0"/>
        <v>50534.243825492624</v>
      </c>
      <c r="H16" s="748">
        <f t="shared" si="0"/>
        <v>0</v>
      </c>
      <c r="I16" s="748">
        <f t="shared" si="0"/>
        <v>0</v>
      </c>
      <c r="J16" s="748">
        <f t="shared" si="0"/>
        <v>0</v>
      </c>
      <c r="K16" s="748">
        <f t="shared" si="0"/>
        <v>1021.6503403269112</v>
      </c>
      <c r="L16" s="748">
        <f t="shared" si="0"/>
        <v>0</v>
      </c>
      <c r="M16" s="748">
        <f t="shared" ca="1" si="0"/>
        <v>0</v>
      </c>
      <c r="N16" s="748">
        <f t="shared" si="0"/>
        <v>0</v>
      </c>
      <c r="O16" s="748">
        <f t="shared" ca="1" si="0"/>
        <v>23635.03441678968</v>
      </c>
      <c r="P16" s="748">
        <f t="shared" si="0"/>
        <v>358.04182381673286</v>
      </c>
      <c r="Q16" s="748">
        <f t="shared" si="0"/>
        <v>979.5275573827771</v>
      </c>
      <c r="R16" s="748">
        <f t="shared" ca="1" si="0"/>
        <v>181921.09746056027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1093.9335559242063</v>
      </c>
      <c r="I19" s="712">
        <f>transport!H54</f>
        <v>0</v>
      </c>
      <c r="J19" s="712">
        <f>transport!I54</f>
        <v>0</v>
      </c>
      <c r="K19" s="712">
        <f>transport!J54</f>
        <v>0</v>
      </c>
      <c r="L19" s="712">
        <f>transport!K54</f>
        <v>0</v>
      </c>
      <c r="M19" s="712">
        <f>transport!L54</f>
        <v>0</v>
      </c>
      <c r="N19" s="712">
        <f>transport!M54</f>
        <v>60.800948075366158</v>
      </c>
      <c r="O19" s="712">
        <f>transport!N54</f>
        <v>0</v>
      </c>
      <c r="P19" s="712">
        <f>transport!O54</f>
        <v>0</v>
      </c>
      <c r="Q19" s="713">
        <f>transport!P54</f>
        <v>0</v>
      </c>
      <c r="R19" s="715">
        <f>SUM(C19:Q19)</f>
        <v>1154.7345039995726</v>
      </c>
      <c r="S19" s="67"/>
    </row>
    <row r="20" spans="1:19" s="474" customFormat="1">
      <c r="A20" s="834" t="s">
        <v>306</v>
      </c>
      <c r="B20" s="839"/>
      <c r="C20" s="712">
        <f>transport!B14</f>
        <v>60.161755883333335</v>
      </c>
      <c r="D20" s="712">
        <f>transport!C14</f>
        <v>0</v>
      </c>
      <c r="E20" s="712">
        <f>transport!D14</f>
        <v>220.25401766907001</v>
      </c>
      <c r="F20" s="712">
        <f>transport!E14</f>
        <v>172.06249857235414</v>
      </c>
      <c r="G20" s="712">
        <f>transport!F14</f>
        <v>0</v>
      </c>
      <c r="H20" s="712">
        <f>transport!G14</f>
        <v>60310.892444352474</v>
      </c>
      <c r="I20" s="712">
        <f>transport!H14</f>
        <v>16483.83115453113</v>
      </c>
      <c r="J20" s="712">
        <f>transport!I14</f>
        <v>0</v>
      </c>
      <c r="K20" s="712">
        <f>transport!J14</f>
        <v>0</v>
      </c>
      <c r="L20" s="712">
        <f>transport!K14</f>
        <v>0</v>
      </c>
      <c r="M20" s="712">
        <f>transport!L14</f>
        <v>0</v>
      </c>
      <c r="N20" s="712">
        <f>transport!M14</f>
        <v>4561.107753855923</v>
      </c>
      <c r="O20" s="712">
        <f>transport!N14</f>
        <v>0</v>
      </c>
      <c r="P20" s="712">
        <f>transport!O14</f>
        <v>0</v>
      </c>
      <c r="Q20" s="713">
        <f>transport!P14</f>
        <v>0</v>
      </c>
      <c r="R20" s="715">
        <f>SUM(C20:Q20)</f>
        <v>81808.309624864283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60.161755883333335</v>
      </c>
      <c r="D22" s="837">
        <f t="shared" ref="D22:R22" si="1">SUM(D18:D21)</f>
        <v>0</v>
      </c>
      <c r="E22" s="837">
        <f t="shared" si="1"/>
        <v>220.25401766907001</v>
      </c>
      <c r="F22" s="837">
        <f t="shared" si="1"/>
        <v>172.06249857235414</v>
      </c>
      <c r="G22" s="837">
        <f t="shared" si="1"/>
        <v>0</v>
      </c>
      <c r="H22" s="837">
        <f t="shared" si="1"/>
        <v>61404.826000276676</v>
      </c>
      <c r="I22" s="837">
        <f t="shared" si="1"/>
        <v>16483.83115453113</v>
      </c>
      <c r="J22" s="837">
        <f t="shared" si="1"/>
        <v>0</v>
      </c>
      <c r="K22" s="837">
        <f t="shared" si="1"/>
        <v>0</v>
      </c>
      <c r="L22" s="837">
        <f t="shared" si="1"/>
        <v>0</v>
      </c>
      <c r="M22" s="837">
        <f t="shared" si="1"/>
        <v>0</v>
      </c>
      <c r="N22" s="837">
        <f t="shared" si="1"/>
        <v>4621.9087019312892</v>
      </c>
      <c r="O22" s="837">
        <f t="shared" si="1"/>
        <v>0</v>
      </c>
      <c r="P22" s="837">
        <f t="shared" si="1"/>
        <v>0</v>
      </c>
      <c r="Q22" s="837">
        <f t="shared" si="1"/>
        <v>0</v>
      </c>
      <c r="R22" s="837">
        <f t="shared" si="1"/>
        <v>82963.044128863854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1246.5672890000001</v>
      </c>
      <c r="D24" s="712">
        <f>+landbouw!C8</f>
        <v>33799.5</v>
      </c>
      <c r="E24" s="712">
        <f>+landbouw!D8</f>
        <v>3771.5843816828565</v>
      </c>
      <c r="F24" s="712">
        <f>+landbouw!E8</f>
        <v>38.904954022510573</v>
      </c>
      <c r="G24" s="712">
        <f>+landbouw!F8</f>
        <v>4405.5068903251331</v>
      </c>
      <c r="H24" s="712">
        <f>+landbouw!G8</f>
        <v>0</v>
      </c>
      <c r="I24" s="712">
        <f>+landbouw!H8</f>
        <v>0</v>
      </c>
      <c r="J24" s="712">
        <f>+landbouw!I8</f>
        <v>0</v>
      </c>
      <c r="K24" s="712">
        <f>+landbouw!J8</f>
        <v>343.43793298788609</v>
      </c>
      <c r="L24" s="712">
        <f>+landbouw!K8</f>
        <v>0</v>
      </c>
      <c r="M24" s="712">
        <f>+landbouw!L8</f>
        <v>0</v>
      </c>
      <c r="N24" s="712">
        <f>+landbouw!M8</f>
        <v>0</v>
      </c>
      <c r="O24" s="712">
        <f>+landbouw!N8</f>
        <v>0</v>
      </c>
      <c r="P24" s="712">
        <f>+landbouw!O8</f>
        <v>0</v>
      </c>
      <c r="Q24" s="713">
        <f>+landbouw!P8</f>
        <v>0</v>
      </c>
      <c r="R24" s="715">
        <f>SUM(C24:Q24)</f>
        <v>43605.501448018382</v>
      </c>
      <c r="S24" s="67"/>
    </row>
    <row r="25" spans="1:19" s="474" customFormat="1" ht="15" thickBot="1">
      <c r="A25" s="856" t="s">
        <v>734</v>
      </c>
      <c r="B25" s="982"/>
      <c r="C25" s="983">
        <f>IF(Onbekend_ele_kWh="---",0,Onbekend_ele_kWh)/1000+IF(REST_rest_ele_kWh="---",0,REST_rest_ele_kWh)/1000</f>
        <v>777.86380599999995</v>
      </c>
      <c r="D25" s="983"/>
      <c r="E25" s="983">
        <f>IF(onbekend_gas_kWh="---",0,onbekend_gas_kWh)/1000+IF(REST_rest_gas_kWh="---",0,REST_rest_gas_kWh)/1000</f>
        <v>1162.422268</v>
      </c>
      <c r="F25" s="983"/>
      <c r="G25" s="983"/>
      <c r="H25" s="983"/>
      <c r="I25" s="983"/>
      <c r="J25" s="983"/>
      <c r="K25" s="983"/>
      <c r="L25" s="983"/>
      <c r="M25" s="983"/>
      <c r="N25" s="983"/>
      <c r="O25" s="983"/>
      <c r="P25" s="983"/>
      <c r="Q25" s="984"/>
      <c r="R25" s="715">
        <f>SUM(C25:Q25)</f>
        <v>1940.2860740000001</v>
      </c>
      <c r="S25" s="67"/>
    </row>
    <row r="26" spans="1:19" s="474" customFormat="1" ht="15.75" thickBot="1">
      <c r="A26" s="720" t="s">
        <v>735</v>
      </c>
      <c r="B26" s="842"/>
      <c r="C26" s="837">
        <f>SUM(C24:C25)</f>
        <v>2024.4310949999999</v>
      </c>
      <c r="D26" s="837">
        <f t="shared" ref="D26:R26" si="2">SUM(D24:D25)</f>
        <v>33799.5</v>
      </c>
      <c r="E26" s="837">
        <f t="shared" si="2"/>
        <v>4934.0066496828567</v>
      </c>
      <c r="F26" s="837">
        <f t="shared" si="2"/>
        <v>38.904954022510573</v>
      </c>
      <c r="G26" s="837">
        <f t="shared" si="2"/>
        <v>4405.5068903251331</v>
      </c>
      <c r="H26" s="837">
        <f t="shared" si="2"/>
        <v>0</v>
      </c>
      <c r="I26" s="837">
        <f t="shared" si="2"/>
        <v>0</v>
      </c>
      <c r="J26" s="837">
        <f t="shared" si="2"/>
        <v>0</v>
      </c>
      <c r="K26" s="837">
        <f t="shared" si="2"/>
        <v>343.43793298788609</v>
      </c>
      <c r="L26" s="837">
        <f t="shared" si="2"/>
        <v>0</v>
      </c>
      <c r="M26" s="837">
        <f t="shared" si="2"/>
        <v>0</v>
      </c>
      <c r="N26" s="837">
        <f t="shared" si="2"/>
        <v>0</v>
      </c>
      <c r="O26" s="837">
        <f t="shared" si="2"/>
        <v>0</v>
      </c>
      <c r="P26" s="837">
        <f t="shared" si="2"/>
        <v>0</v>
      </c>
      <c r="Q26" s="837">
        <f t="shared" si="2"/>
        <v>0</v>
      </c>
      <c r="R26" s="837">
        <f t="shared" si="2"/>
        <v>45545.787522018385</v>
      </c>
      <c r="S26" s="67"/>
    </row>
    <row r="27" spans="1:19" s="474" customFormat="1" ht="17.25" thickTop="1" thickBot="1">
      <c r="A27" s="721" t="s">
        <v>115</v>
      </c>
      <c r="B27" s="829"/>
      <c r="C27" s="722">
        <f ca="1">C22+C16+C26</f>
        <v>44020.379623747169</v>
      </c>
      <c r="D27" s="722">
        <f t="shared" ref="D27:R27" ca="1" si="3">D22+D16+D26</f>
        <v>34249.5</v>
      </c>
      <c r="E27" s="722">
        <f t="shared" ca="1" si="3"/>
        <v>52020.66836774793</v>
      </c>
      <c r="F27" s="722">
        <f t="shared" si="3"/>
        <v>16351.37247608659</v>
      </c>
      <c r="G27" s="722">
        <f t="shared" ca="1" si="3"/>
        <v>54939.750715817754</v>
      </c>
      <c r="H27" s="722">
        <f t="shared" si="3"/>
        <v>61404.826000276676</v>
      </c>
      <c r="I27" s="722">
        <f t="shared" si="3"/>
        <v>16483.83115453113</v>
      </c>
      <c r="J27" s="722">
        <f t="shared" si="3"/>
        <v>0</v>
      </c>
      <c r="K27" s="722">
        <f t="shared" si="3"/>
        <v>1365.0882733147973</v>
      </c>
      <c r="L27" s="722">
        <f t="shared" si="3"/>
        <v>0</v>
      </c>
      <c r="M27" s="722">
        <f t="shared" ca="1" si="3"/>
        <v>0</v>
      </c>
      <c r="N27" s="722">
        <f t="shared" si="3"/>
        <v>4621.9087019312892</v>
      </c>
      <c r="O27" s="722">
        <f t="shared" ca="1" si="3"/>
        <v>23635.03441678968</v>
      </c>
      <c r="P27" s="722">
        <f t="shared" si="3"/>
        <v>358.04182381673286</v>
      </c>
      <c r="Q27" s="722">
        <f t="shared" si="3"/>
        <v>979.5275573827771</v>
      </c>
      <c r="R27" s="722">
        <f t="shared" ca="1" si="3"/>
        <v>310429.92911144247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1253.0429213007035</v>
      </c>
      <c r="D40" s="712">
        <f ca="1">tertiair!C20</f>
        <v>32.758601272594198</v>
      </c>
      <c r="E40" s="712">
        <f ca="1">tertiair!D20</f>
        <v>1795.6510816353482</v>
      </c>
      <c r="F40" s="712">
        <f>tertiair!E20</f>
        <v>35.14140152620493</v>
      </c>
      <c r="G40" s="712">
        <f ca="1">tertiair!F20</f>
        <v>289.84540147861571</v>
      </c>
      <c r="H40" s="712">
        <f>tertiair!G20</f>
        <v>0</v>
      </c>
      <c r="I40" s="712">
        <f>tertiair!H20</f>
        <v>0</v>
      </c>
      <c r="J40" s="712">
        <f>tertiair!I20</f>
        <v>0</v>
      </c>
      <c r="K40" s="712">
        <f>tertiair!J20</f>
        <v>6.30876904966194E-3</v>
      </c>
      <c r="L40" s="712">
        <f>tertiair!K20</f>
        <v>0</v>
      </c>
      <c r="M40" s="712">
        <f ca="1">tertiair!L20</f>
        <v>0</v>
      </c>
      <c r="N40" s="712">
        <f>tertiair!M20</f>
        <v>0</v>
      </c>
      <c r="O40" s="712">
        <f ca="1">tertiair!N20</f>
        <v>0</v>
      </c>
      <c r="P40" s="712">
        <f>tertiair!O20</f>
        <v>0</v>
      </c>
      <c r="Q40" s="795">
        <f>tertiair!P20</f>
        <v>0</v>
      </c>
      <c r="R40" s="875">
        <f t="shared" ca="1" si="4"/>
        <v>3406.445715982516</v>
      </c>
    </row>
    <row r="41" spans="1:18">
      <c r="A41" s="847" t="s">
        <v>224</v>
      </c>
      <c r="B41" s="854"/>
      <c r="C41" s="712">
        <f ca="1">huishoudens!B12</f>
        <v>2634.4555444763018</v>
      </c>
      <c r="D41" s="712">
        <f ca="1">huishoudens!C12</f>
        <v>0</v>
      </c>
      <c r="E41" s="712">
        <f>huishoudens!D12</f>
        <v>6449.7796859271612</v>
      </c>
      <c r="F41" s="712">
        <f>huishoudens!E12</f>
        <v>3564.9287627845479</v>
      </c>
      <c r="G41" s="712">
        <f>huishoudens!F12</f>
        <v>12931.035841583496</v>
      </c>
      <c r="H41" s="712">
        <f>huishoudens!G12</f>
        <v>0</v>
      </c>
      <c r="I41" s="712">
        <f>huishoudens!H12</f>
        <v>0</v>
      </c>
      <c r="J41" s="712">
        <f>huishoudens!I12</f>
        <v>0</v>
      </c>
      <c r="K41" s="712">
        <f>huishoudens!J12</f>
        <v>360.56979308047295</v>
      </c>
      <c r="L41" s="712">
        <f>huishoudens!K12</f>
        <v>0</v>
      </c>
      <c r="M41" s="712">
        <f>huishoudens!L12</f>
        <v>0</v>
      </c>
      <c r="N41" s="712">
        <f>huishoudens!M12</f>
        <v>0</v>
      </c>
      <c r="O41" s="712">
        <f>huishoudens!N12</f>
        <v>0</v>
      </c>
      <c r="P41" s="712">
        <f>huishoudens!O12</f>
        <v>0</v>
      </c>
      <c r="Q41" s="795">
        <f>huishoudens!P12</f>
        <v>0</v>
      </c>
      <c r="R41" s="875">
        <f t="shared" ca="1" si="4"/>
        <v>25940.76962785198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479.6752099526089</v>
      </c>
      <c r="D43" s="712">
        <f ca="1">industrie!C22</f>
        <v>0</v>
      </c>
      <c r="E43" s="712">
        <f>industrie!D22</f>
        <v>1221.5835879174842</v>
      </c>
      <c r="F43" s="712">
        <f>industrie!E22</f>
        <v>63.801776021868541</v>
      </c>
      <c r="G43" s="712">
        <f>industrie!F22</f>
        <v>271.76185834442043</v>
      </c>
      <c r="H43" s="712">
        <f>industrie!G22</f>
        <v>0</v>
      </c>
      <c r="I43" s="712">
        <f>industrie!H22</f>
        <v>0</v>
      </c>
      <c r="J43" s="712">
        <f>industrie!I22</f>
        <v>0</v>
      </c>
      <c r="K43" s="712">
        <f>industrie!J22</f>
        <v>1.0881186262039662</v>
      </c>
      <c r="L43" s="712">
        <f>industrie!K22</f>
        <v>0</v>
      </c>
      <c r="M43" s="712">
        <f>industrie!L22</f>
        <v>0</v>
      </c>
      <c r="N43" s="712">
        <f>industrie!M22</f>
        <v>0</v>
      </c>
      <c r="O43" s="712">
        <f>industrie!N22</f>
        <v>0</v>
      </c>
      <c r="P43" s="712">
        <f>industrie!O22</f>
        <v>0</v>
      </c>
      <c r="Q43" s="795">
        <f>industrie!P22</f>
        <v>0</v>
      </c>
      <c r="R43" s="874">
        <f t="shared" ca="1" si="4"/>
        <v>2037.9105508625862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4367.1736757296148</v>
      </c>
      <c r="D46" s="748">
        <f t="shared" ref="D46:Q46" ca="1" si="5">SUM(D39:D45)</f>
        <v>32.758601272594198</v>
      </c>
      <c r="E46" s="748">
        <f t="shared" ca="1" si="5"/>
        <v>9467.0143554799943</v>
      </c>
      <c r="F46" s="748">
        <f t="shared" si="5"/>
        <v>3663.8719403326213</v>
      </c>
      <c r="G46" s="748">
        <f t="shared" ca="1" si="5"/>
        <v>13492.643101406531</v>
      </c>
      <c r="H46" s="748">
        <f t="shared" si="5"/>
        <v>0</v>
      </c>
      <c r="I46" s="748">
        <f t="shared" si="5"/>
        <v>0</v>
      </c>
      <c r="J46" s="748">
        <f t="shared" si="5"/>
        <v>0</v>
      </c>
      <c r="K46" s="748">
        <f t="shared" si="5"/>
        <v>361.66422047572661</v>
      </c>
      <c r="L46" s="748">
        <f t="shared" si="5"/>
        <v>0</v>
      </c>
      <c r="M46" s="748">
        <f t="shared" ca="1" si="5"/>
        <v>0</v>
      </c>
      <c r="N46" s="748">
        <f t="shared" si="5"/>
        <v>0</v>
      </c>
      <c r="O46" s="748">
        <f t="shared" ca="1" si="5"/>
        <v>0</v>
      </c>
      <c r="P46" s="748">
        <f t="shared" si="5"/>
        <v>0</v>
      </c>
      <c r="Q46" s="748">
        <f t="shared" si="5"/>
        <v>0</v>
      </c>
      <c r="R46" s="748">
        <f ca="1">SUM(R39:R45)</f>
        <v>31385.125894697085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292.08025943176312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292.08025943176312</v>
      </c>
    </row>
    <row r="50" spans="1:18">
      <c r="A50" s="850" t="s">
        <v>306</v>
      </c>
      <c r="B50" s="860"/>
      <c r="C50" s="718">
        <f ca="1">transport!B18</f>
        <v>6.2652177721720621</v>
      </c>
      <c r="D50" s="718">
        <f>transport!C18</f>
        <v>0</v>
      </c>
      <c r="E50" s="718">
        <f>transport!D18</f>
        <v>44.491311569152145</v>
      </c>
      <c r="F50" s="718">
        <f>transport!E18</f>
        <v>39.058187175924395</v>
      </c>
      <c r="G50" s="718">
        <f>transport!F18</f>
        <v>0</v>
      </c>
      <c r="H50" s="718">
        <f>transport!G18</f>
        <v>16103.008282642111</v>
      </c>
      <c r="I50" s="718">
        <f>transport!H18</f>
        <v>4104.4739574782516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20297.296956637612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6.2652177721720621</v>
      </c>
      <c r="D52" s="748">
        <f t="shared" ref="D52:Q52" ca="1" si="6">SUM(D48:D51)</f>
        <v>0</v>
      </c>
      <c r="E52" s="748">
        <f t="shared" si="6"/>
        <v>44.491311569152145</v>
      </c>
      <c r="F52" s="748">
        <f t="shared" si="6"/>
        <v>39.058187175924395</v>
      </c>
      <c r="G52" s="748">
        <f t="shared" si="6"/>
        <v>0</v>
      </c>
      <c r="H52" s="748">
        <f t="shared" si="6"/>
        <v>16395.088542073874</v>
      </c>
      <c r="I52" s="748">
        <f t="shared" si="6"/>
        <v>4104.4739574782516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20589.377216069377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129.81694796934548</v>
      </c>
      <c r="D54" s="718">
        <f ca="1">+landbouw!C12</f>
        <v>2460.4985415845495</v>
      </c>
      <c r="E54" s="718">
        <f>+landbouw!D12</f>
        <v>761.86004509993711</v>
      </c>
      <c r="F54" s="718">
        <f>+landbouw!E12</f>
        <v>8.8314245631099002</v>
      </c>
      <c r="G54" s="718">
        <f>+landbouw!F12</f>
        <v>1176.2703397168107</v>
      </c>
      <c r="H54" s="718">
        <f>+landbouw!G12</f>
        <v>0</v>
      </c>
      <c r="I54" s="718">
        <f>+landbouw!H12</f>
        <v>0</v>
      </c>
      <c r="J54" s="718">
        <f>+landbouw!I12</f>
        <v>0</v>
      </c>
      <c r="K54" s="718">
        <f>+landbouw!J12</f>
        <v>121.57702827771166</v>
      </c>
      <c r="L54" s="718">
        <f>+landbouw!K12</f>
        <v>0</v>
      </c>
      <c r="M54" s="718">
        <f>+landbouw!L12</f>
        <v>0</v>
      </c>
      <c r="N54" s="718">
        <f>+landbouw!M12</f>
        <v>0</v>
      </c>
      <c r="O54" s="718">
        <f>+landbouw!N12</f>
        <v>0</v>
      </c>
      <c r="P54" s="718">
        <f>+landbouw!O12</f>
        <v>0</v>
      </c>
      <c r="Q54" s="719">
        <f>+landbouw!P12</f>
        <v>0</v>
      </c>
      <c r="R54" s="747">
        <f ca="1">SUM(C54:Q54)</f>
        <v>4658.8543272114648</v>
      </c>
    </row>
    <row r="55" spans="1:18" ht="15" thickBot="1">
      <c r="A55" s="850" t="s">
        <v>734</v>
      </c>
      <c r="B55" s="860"/>
      <c r="C55" s="718">
        <f ca="1">C25*'EF ele_warmte'!B12</f>
        <v>81.006381381742671</v>
      </c>
      <c r="D55" s="718"/>
      <c r="E55" s="718">
        <f>E25*EF_CO2_aardgas</f>
        <v>234.80929813600002</v>
      </c>
      <c r="F55" s="718"/>
      <c r="G55" s="718"/>
      <c r="H55" s="718"/>
      <c r="I55" s="718"/>
      <c r="J55" s="718"/>
      <c r="K55" s="718"/>
      <c r="L55" s="718"/>
      <c r="M55" s="718"/>
      <c r="N55" s="718"/>
      <c r="O55" s="718"/>
      <c r="P55" s="718"/>
      <c r="Q55" s="719"/>
      <c r="R55" s="747">
        <f ca="1">SUM(C55:Q55)</f>
        <v>315.81567951774269</v>
      </c>
    </row>
    <row r="56" spans="1:18" ht="15.75" thickBot="1">
      <c r="A56" s="848" t="s">
        <v>735</v>
      </c>
      <c r="B56" s="861"/>
      <c r="C56" s="748">
        <f ca="1">SUM(C54:C55)</f>
        <v>210.82332935108815</v>
      </c>
      <c r="D56" s="748">
        <f t="shared" ref="D56:Q56" ca="1" si="7">SUM(D54:D55)</f>
        <v>2460.4985415845495</v>
      </c>
      <c r="E56" s="748">
        <f t="shared" si="7"/>
        <v>996.66934323593716</v>
      </c>
      <c r="F56" s="748">
        <f t="shared" si="7"/>
        <v>8.8314245631099002</v>
      </c>
      <c r="G56" s="748">
        <f t="shared" si="7"/>
        <v>1176.2703397168107</v>
      </c>
      <c r="H56" s="748">
        <f t="shared" si="7"/>
        <v>0</v>
      </c>
      <c r="I56" s="748">
        <f t="shared" si="7"/>
        <v>0</v>
      </c>
      <c r="J56" s="748">
        <f t="shared" si="7"/>
        <v>0</v>
      </c>
      <c r="K56" s="748">
        <f t="shared" si="7"/>
        <v>121.57702827771166</v>
      </c>
      <c r="L56" s="748">
        <f t="shared" si="7"/>
        <v>0</v>
      </c>
      <c r="M56" s="748">
        <f t="shared" si="7"/>
        <v>0</v>
      </c>
      <c r="N56" s="748">
        <f t="shared" si="7"/>
        <v>0</v>
      </c>
      <c r="O56" s="748">
        <f t="shared" si="7"/>
        <v>0</v>
      </c>
      <c r="P56" s="748">
        <f t="shared" si="7"/>
        <v>0</v>
      </c>
      <c r="Q56" s="749">
        <f t="shared" si="7"/>
        <v>0</v>
      </c>
      <c r="R56" s="750">
        <f ca="1">SUM(R54:R55)</f>
        <v>4974.6700067292077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4584.2622228528753</v>
      </c>
      <c r="D61" s="756">
        <f t="shared" ref="D61:Q61" ca="1" si="8">D46+D52+D56</f>
        <v>2493.2571428571437</v>
      </c>
      <c r="E61" s="756">
        <f t="shared" ca="1" si="8"/>
        <v>10508.175010285084</v>
      </c>
      <c r="F61" s="756">
        <f t="shared" si="8"/>
        <v>3711.7615520716558</v>
      </c>
      <c r="G61" s="756">
        <f t="shared" ca="1" si="8"/>
        <v>14668.913441123343</v>
      </c>
      <c r="H61" s="756">
        <f t="shared" si="8"/>
        <v>16395.088542073874</v>
      </c>
      <c r="I61" s="756">
        <f t="shared" si="8"/>
        <v>4104.4739574782516</v>
      </c>
      <c r="J61" s="756">
        <f t="shared" si="8"/>
        <v>0</v>
      </c>
      <c r="K61" s="756">
        <f t="shared" si="8"/>
        <v>483.2412487534383</v>
      </c>
      <c r="L61" s="756">
        <f t="shared" si="8"/>
        <v>0</v>
      </c>
      <c r="M61" s="756">
        <f t="shared" ca="1" si="8"/>
        <v>0</v>
      </c>
      <c r="N61" s="756">
        <f t="shared" si="8"/>
        <v>0</v>
      </c>
      <c r="O61" s="756">
        <f t="shared" ca="1" si="8"/>
        <v>0</v>
      </c>
      <c r="P61" s="756">
        <f t="shared" si="8"/>
        <v>0</v>
      </c>
      <c r="Q61" s="756">
        <f t="shared" si="8"/>
        <v>0</v>
      </c>
      <c r="R61" s="756">
        <f ca="1">R46+R52+R56</f>
        <v>56949.173117495666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0.10413954313969287</v>
      </c>
      <c r="D63" s="802">
        <f t="shared" ca="1" si="9"/>
        <v>7.2796891716875978E-2</v>
      </c>
      <c r="E63" s="1008">
        <f t="shared" ca="1" si="9"/>
        <v>0.20200000000000004</v>
      </c>
      <c r="F63" s="802">
        <f t="shared" si="9"/>
        <v>0.22700000000000001</v>
      </c>
      <c r="G63" s="802">
        <f t="shared" ca="1" si="9"/>
        <v>0.26700000000000002</v>
      </c>
      <c r="H63" s="802">
        <f t="shared" si="9"/>
        <v>0.26700000000000002</v>
      </c>
      <c r="I63" s="802">
        <f t="shared" si="9"/>
        <v>0.24900000000000003</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5858.6562171730766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16630.650000000001</v>
      </c>
      <c r="C76" s="769">
        <f>'lokale energieproductie'!B8*IFERROR(SUM(D76:H76)/SUM(D76:O76),0)</f>
        <v>7344</v>
      </c>
      <c r="D76" s="991">
        <f>'lokale energieproductie'!C8</f>
        <v>8640.0000000000018</v>
      </c>
      <c r="E76" s="992">
        <f>'lokale energieproductie'!D8</f>
        <v>0</v>
      </c>
      <c r="F76" s="992">
        <f>'lokale energieproductie'!E8</f>
        <v>0</v>
      </c>
      <c r="G76" s="992">
        <f>'lokale energieproductie'!F8</f>
        <v>0</v>
      </c>
      <c r="H76" s="992">
        <f>'lokale energieproductie'!G8</f>
        <v>0</v>
      </c>
      <c r="I76" s="992">
        <f>'lokale energieproductie'!I8</f>
        <v>0</v>
      </c>
      <c r="J76" s="992">
        <f>'lokale energieproductie'!J8</f>
        <v>19565.470588235297</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1745.2800000000004</v>
      </c>
      <c r="R76" s="877">
        <v>0</v>
      </c>
    </row>
    <row r="77" spans="1:18" ht="15.75" thickBot="1">
      <c r="A77" s="772" t="s">
        <v>801</v>
      </c>
      <c r="B77" s="769">
        <f>'lokale energieproductie'!B9*IFERROR(SUM(I77:O77)/SUM(D77:O77),0)</f>
        <v>1341</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3831.4285714285716</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23830.306217173078</v>
      </c>
      <c r="C78" s="774">
        <f>SUM(C72:C77)</f>
        <v>7344</v>
      </c>
      <c r="D78" s="775">
        <f t="shared" ref="D78:H78" si="10">SUM(D76:D77)</f>
        <v>8640.0000000000018</v>
      </c>
      <c r="E78" s="775">
        <f t="shared" si="10"/>
        <v>0</v>
      </c>
      <c r="F78" s="775">
        <f t="shared" si="10"/>
        <v>0</v>
      </c>
      <c r="G78" s="775">
        <f t="shared" si="10"/>
        <v>0</v>
      </c>
      <c r="H78" s="775">
        <f t="shared" si="10"/>
        <v>0</v>
      </c>
      <c r="I78" s="775">
        <f>SUM(I76:I77)</f>
        <v>0</v>
      </c>
      <c r="J78" s="775">
        <f>SUM(J76:J77)</f>
        <v>23396.89915966387</v>
      </c>
      <c r="K78" s="775">
        <f t="shared" ref="K78:L78" si="11">SUM(K76:K77)</f>
        <v>0</v>
      </c>
      <c r="L78" s="775">
        <f t="shared" si="11"/>
        <v>0</v>
      </c>
      <c r="M78" s="775">
        <f>SUM(M76:M77)</f>
        <v>0</v>
      </c>
      <c r="N78" s="775">
        <f>SUM(N76:N77)</f>
        <v>0</v>
      </c>
      <c r="O78" s="885">
        <f>SUM(O76:O77)</f>
        <v>0</v>
      </c>
      <c r="P78" s="776">
        <v>0</v>
      </c>
      <c r="Q78" s="776">
        <f>SUM(Q76:Q77)</f>
        <v>1745.2800000000004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23758.071428571428</v>
      </c>
      <c r="C87" s="787">
        <f>'lokale energieproductie'!B17*IFERROR(SUM(D87:H87)/SUM(D87:O87),0)</f>
        <v>10491.428571428571</v>
      </c>
      <c r="D87" s="798">
        <f>'lokale energieproductie'!C17</f>
        <v>12342.857142857145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27950.672268907569</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2493.2571428571437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23758.071428571428</v>
      </c>
      <c r="C90" s="774">
        <f>SUM(C87:C89)</f>
        <v>10491.428571428571</v>
      </c>
      <c r="D90" s="774">
        <f t="shared" ref="D90:H90" si="12">SUM(D87:D89)</f>
        <v>12342.857142857145</v>
      </c>
      <c r="E90" s="774">
        <f t="shared" si="12"/>
        <v>0</v>
      </c>
      <c r="F90" s="774">
        <f t="shared" si="12"/>
        <v>0</v>
      </c>
      <c r="G90" s="774">
        <f t="shared" si="12"/>
        <v>0</v>
      </c>
      <c r="H90" s="774">
        <f t="shared" si="12"/>
        <v>0</v>
      </c>
      <c r="I90" s="774">
        <f>SUM(I87:I89)</f>
        <v>0</v>
      </c>
      <c r="J90" s="774">
        <f>SUM(J87:J89)</f>
        <v>27950.672268907569</v>
      </c>
      <c r="K90" s="774">
        <f t="shared" ref="K90:L90" si="13">SUM(K87:K89)</f>
        <v>0</v>
      </c>
      <c r="L90" s="774">
        <f t="shared" si="13"/>
        <v>0</v>
      </c>
      <c r="M90" s="774">
        <f>SUM(M87:M89)</f>
        <v>0</v>
      </c>
      <c r="N90" s="774">
        <f>SUM(N87:N89)</f>
        <v>0</v>
      </c>
      <c r="O90" s="774">
        <f>SUM(O87:O89)</f>
        <v>0</v>
      </c>
      <c r="P90" s="774">
        <v>0</v>
      </c>
      <c r="Q90" s="774">
        <f>SUM(Q87:Q89)</f>
        <v>2493.2571428571437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5858.6562171730766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23974.65</v>
      </c>
      <c r="C8" s="574">
        <f>B101</f>
        <v>8640.0000000000018</v>
      </c>
      <c r="D8" s="575"/>
      <c r="E8" s="575">
        <f>E101</f>
        <v>0</v>
      </c>
      <c r="F8" s="576"/>
      <c r="G8" s="577"/>
      <c r="H8" s="575">
        <f>I101</f>
        <v>0</v>
      </c>
      <c r="I8" s="575">
        <f>G101+F101</f>
        <v>0</v>
      </c>
      <c r="J8" s="575">
        <f>H101+D101+C101</f>
        <v>19565.470588235297</v>
      </c>
      <c r="K8" s="575"/>
      <c r="L8" s="575"/>
      <c r="M8" s="575"/>
      <c r="N8" s="578"/>
      <c r="O8" s="579">
        <f>C8*$C$12+D8*$D$12+E8*$E$12+F8*$F$12+G8*$G$12+H8*$H$12+I8*$I$12+J8*$J$12</f>
        <v>1745.2800000000004</v>
      </c>
      <c r="P8" s="1291"/>
      <c r="Q8" s="1292"/>
      <c r="S8" s="569"/>
      <c r="T8" s="1288"/>
      <c r="U8" s="1288"/>
    </row>
    <row r="9" spans="1:21" s="560" customFormat="1" ht="17.45" customHeight="1" thickBot="1">
      <c r="A9" s="580" t="s">
        <v>247</v>
      </c>
      <c r="B9" s="581">
        <f>N89+'Eigen informatie GS &amp; warmtenet'!B12</f>
        <v>1341</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31174.306217173078</v>
      </c>
      <c r="C10" s="589">
        <f t="shared" ref="C10:L10" si="0">SUM(C8:C9)</f>
        <v>8640.0000000000018</v>
      </c>
      <c r="D10" s="589">
        <f t="shared" si="0"/>
        <v>0</v>
      </c>
      <c r="E10" s="589">
        <f t="shared" si="0"/>
        <v>0</v>
      </c>
      <c r="F10" s="589">
        <f t="shared" si="0"/>
        <v>0</v>
      </c>
      <c r="G10" s="589">
        <f t="shared" si="0"/>
        <v>0</v>
      </c>
      <c r="H10" s="589">
        <f t="shared" si="0"/>
        <v>0</v>
      </c>
      <c r="I10" s="589">
        <f t="shared" si="0"/>
        <v>0</v>
      </c>
      <c r="J10" s="589">
        <f t="shared" si="0"/>
        <v>23396.89915966387</v>
      </c>
      <c r="K10" s="589">
        <f t="shared" si="0"/>
        <v>0</v>
      </c>
      <c r="L10" s="589">
        <f t="shared" si="0"/>
        <v>0</v>
      </c>
      <c r="M10" s="1004"/>
      <c r="N10" s="1004"/>
      <c r="O10" s="590">
        <f>SUM(O4:O9)</f>
        <v>1745.2800000000004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34249.5</v>
      </c>
      <c r="C17" s="605">
        <f>B102</f>
        <v>12342.857142857145</v>
      </c>
      <c r="D17" s="606"/>
      <c r="E17" s="606">
        <f>E102</f>
        <v>0</v>
      </c>
      <c r="F17" s="607"/>
      <c r="G17" s="608"/>
      <c r="H17" s="605">
        <f>I102</f>
        <v>0</v>
      </c>
      <c r="I17" s="606">
        <f>G102+F102</f>
        <v>0</v>
      </c>
      <c r="J17" s="606">
        <f>H102+D102+C102</f>
        <v>27950.672268907569</v>
      </c>
      <c r="K17" s="606"/>
      <c r="L17" s="606"/>
      <c r="M17" s="606"/>
      <c r="N17" s="1005"/>
      <c r="O17" s="609">
        <f>C17*$C$22+E17*$E$22+H17*$H$22+I17*$I$22+J17*$J$22+D17*$D$22+F17*$F$22+G17*$G$22+K17*$K$22+L17*$L$22</f>
        <v>2493.2571428571437</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34249.5</v>
      </c>
      <c r="C20" s="588">
        <f>SUM(C17:C19)</f>
        <v>12342.857142857145</v>
      </c>
      <c r="D20" s="588">
        <f t="shared" ref="D20:L20" si="1">SUM(D17:D19)</f>
        <v>0</v>
      </c>
      <c r="E20" s="588">
        <f t="shared" si="1"/>
        <v>0</v>
      </c>
      <c r="F20" s="588">
        <f t="shared" si="1"/>
        <v>0</v>
      </c>
      <c r="G20" s="588">
        <f t="shared" si="1"/>
        <v>0</v>
      </c>
      <c r="H20" s="588">
        <f t="shared" si="1"/>
        <v>0</v>
      </c>
      <c r="I20" s="588">
        <f t="shared" si="1"/>
        <v>0</v>
      </c>
      <c r="J20" s="588">
        <f t="shared" si="1"/>
        <v>27950.672268907569</v>
      </c>
      <c r="K20" s="588">
        <f t="shared" si="1"/>
        <v>0</v>
      </c>
      <c r="L20" s="588">
        <f t="shared" si="1"/>
        <v>0</v>
      </c>
      <c r="M20" s="588"/>
      <c r="N20" s="588"/>
      <c r="O20" s="614">
        <f>SUM(O17:O19)</f>
        <v>2493.2571428571437</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13013</v>
      </c>
      <c r="C28" s="817">
        <v>2230</v>
      </c>
      <c r="D28" s="666" t="s">
        <v>886</v>
      </c>
      <c r="E28" s="665" t="s">
        <v>887</v>
      </c>
      <c r="F28" s="665" t="s">
        <v>888</v>
      </c>
      <c r="G28" s="665" t="s">
        <v>889</v>
      </c>
      <c r="H28" s="665" t="s">
        <v>890</v>
      </c>
      <c r="I28" s="665" t="s">
        <v>887</v>
      </c>
      <c r="J28" s="816">
        <v>39923</v>
      </c>
      <c r="K28" s="816">
        <v>39923</v>
      </c>
      <c r="L28" s="665" t="s">
        <v>891</v>
      </c>
      <c r="M28" s="665">
        <v>1562</v>
      </c>
      <c r="N28" s="665">
        <v>7029</v>
      </c>
      <c r="O28" s="665">
        <v>10041.428571428572</v>
      </c>
      <c r="P28" s="665">
        <v>20082.857142857145</v>
      </c>
      <c r="Q28" s="665">
        <v>0</v>
      </c>
      <c r="R28" s="665">
        <v>0</v>
      </c>
      <c r="S28" s="665">
        <v>0</v>
      </c>
      <c r="T28" s="665">
        <v>0</v>
      </c>
      <c r="U28" s="665">
        <v>0</v>
      </c>
      <c r="V28" s="665">
        <v>0</v>
      </c>
      <c r="W28" s="665">
        <v>0</v>
      </c>
      <c r="X28" s="665">
        <v>10</v>
      </c>
      <c r="Y28" s="665" t="s">
        <v>111</v>
      </c>
      <c r="Z28" s="667" t="s">
        <v>111</v>
      </c>
    </row>
    <row r="29" spans="1:26" s="619" customFormat="1" ht="25.5">
      <c r="A29" s="618"/>
      <c r="B29" s="817">
        <v>13013</v>
      </c>
      <c r="C29" s="817">
        <v>2230</v>
      </c>
      <c r="D29" s="666" t="s">
        <v>892</v>
      </c>
      <c r="E29" s="665" t="s">
        <v>893</v>
      </c>
      <c r="F29" s="665" t="s">
        <v>894</v>
      </c>
      <c r="G29" s="665" t="s">
        <v>889</v>
      </c>
      <c r="H29" s="665" t="s">
        <v>890</v>
      </c>
      <c r="I29" s="665" t="s">
        <v>893</v>
      </c>
      <c r="J29" s="816">
        <v>40168</v>
      </c>
      <c r="K29" s="816">
        <v>39933</v>
      </c>
      <c r="L29" s="665" t="s">
        <v>891</v>
      </c>
      <c r="M29" s="665">
        <v>2486</v>
      </c>
      <c r="N29" s="665">
        <v>11187.000000000002</v>
      </c>
      <c r="O29" s="665">
        <v>15981.428571428574</v>
      </c>
      <c r="P29" s="665">
        <v>0</v>
      </c>
      <c r="Q29" s="665">
        <v>31962.857142857149</v>
      </c>
      <c r="R29" s="665">
        <v>0</v>
      </c>
      <c r="S29" s="665">
        <v>0</v>
      </c>
      <c r="T29" s="665">
        <v>0</v>
      </c>
      <c r="U29" s="665">
        <v>0</v>
      </c>
      <c r="V29" s="665">
        <v>0</v>
      </c>
      <c r="W29" s="665">
        <v>0</v>
      </c>
      <c r="X29" s="665">
        <v>10</v>
      </c>
      <c r="Y29" s="665" t="s">
        <v>111</v>
      </c>
      <c r="Z29" s="667" t="s">
        <v>111</v>
      </c>
    </row>
    <row r="30" spans="1:26" s="619" customFormat="1" ht="51">
      <c r="A30" s="618"/>
      <c r="B30" s="817">
        <v>13013</v>
      </c>
      <c r="C30" s="817">
        <v>2230</v>
      </c>
      <c r="D30" s="666" t="s">
        <v>895</v>
      </c>
      <c r="E30" s="665" t="s">
        <v>896</v>
      </c>
      <c r="F30" s="665" t="s">
        <v>897</v>
      </c>
      <c r="G30" s="665" t="s">
        <v>889</v>
      </c>
      <c r="H30" s="665" t="s">
        <v>890</v>
      </c>
      <c r="I30" s="665" t="s">
        <v>896</v>
      </c>
      <c r="J30" s="816">
        <v>41995</v>
      </c>
      <c r="K30" s="816">
        <v>41992</v>
      </c>
      <c r="L30" s="665" t="s">
        <v>891</v>
      </c>
      <c r="M30" s="665">
        <v>70</v>
      </c>
      <c r="N30" s="665">
        <v>315.00000000000006</v>
      </c>
      <c r="O30" s="665">
        <v>450.00000000000011</v>
      </c>
      <c r="P30" s="665">
        <v>900.00000000000023</v>
      </c>
      <c r="Q30" s="665">
        <v>0</v>
      </c>
      <c r="R30" s="665">
        <v>0</v>
      </c>
      <c r="S30" s="665">
        <v>0</v>
      </c>
      <c r="T30" s="665">
        <v>0</v>
      </c>
      <c r="U30" s="665">
        <v>0</v>
      </c>
      <c r="V30" s="665">
        <v>0</v>
      </c>
      <c r="W30" s="665">
        <v>0</v>
      </c>
      <c r="X30" s="665">
        <v>1500</v>
      </c>
      <c r="Y30" s="665" t="s">
        <v>50</v>
      </c>
      <c r="Z30" s="667" t="s">
        <v>155</v>
      </c>
    </row>
    <row r="31" spans="1:26" s="619" customFormat="1" ht="25.5">
      <c r="A31" s="618"/>
      <c r="B31" s="817">
        <v>13013</v>
      </c>
      <c r="C31" s="817">
        <v>2230</v>
      </c>
      <c r="D31" s="666"/>
      <c r="E31" s="665"/>
      <c r="F31" s="665" t="s">
        <v>898</v>
      </c>
      <c r="G31" s="665" t="s">
        <v>889</v>
      </c>
      <c r="H31" s="665" t="s">
        <v>890</v>
      </c>
      <c r="I31" s="665" t="s">
        <v>899</v>
      </c>
      <c r="J31" s="816">
        <v>41716</v>
      </c>
      <c r="K31" s="816">
        <v>42123</v>
      </c>
      <c r="L31" s="665" t="s">
        <v>891</v>
      </c>
      <c r="M31" s="665">
        <v>9.6999999999999993</v>
      </c>
      <c r="N31" s="665">
        <v>43.649999999999991</v>
      </c>
      <c r="O31" s="665">
        <v>62.357142857142847</v>
      </c>
      <c r="P31" s="665">
        <v>0</v>
      </c>
      <c r="Q31" s="665">
        <v>124.71428571428569</v>
      </c>
      <c r="R31" s="665">
        <v>0</v>
      </c>
      <c r="S31" s="665">
        <v>0</v>
      </c>
      <c r="T31" s="665">
        <v>0</v>
      </c>
      <c r="U31" s="665">
        <v>0</v>
      </c>
      <c r="V31" s="665">
        <v>0</v>
      </c>
      <c r="W31" s="665">
        <v>0</v>
      </c>
      <c r="X31" s="665">
        <v>10</v>
      </c>
      <c r="Y31" s="665" t="s">
        <v>111</v>
      </c>
      <c r="Z31" s="667" t="s">
        <v>111</v>
      </c>
    </row>
    <row r="32" spans="1:26" s="619" customFormat="1" ht="38.25">
      <c r="A32" s="618"/>
      <c r="B32" s="817">
        <v>13013</v>
      </c>
      <c r="C32" s="817">
        <v>2230</v>
      </c>
      <c r="D32" s="666" t="s">
        <v>900</v>
      </c>
      <c r="E32" s="665"/>
      <c r="F32" s="665" t="s">
        <v>901</v>
      </c>
      <c r="G32" s="665" t="s">
        <v>902</v>
      </c>
      <c r="H32" s="665" t="s">
        <v>890</v>
      </c>
      <c r="I32" s="665" t="s">
        <v>903</v>
      </c>
      <c r="J32" s="816">
        <v>42607</v>
      </c>
      <c r="K32" s="816">
        <v>42607</v>
      </c>
      <c r="L32" s="665" t="s">
        <v>904</v>
      </c>
      <c r="M32" s="665">
        <v>1200</v>
      </c>
      <c r="N32" s="665">
        <v>5400</v>
      </c>
      <c r="O32" s="665">
        <v>7714.2857142857147</v>
      </c>
      <c r="P32" s="665">
        <v>0</v>
      </c>
      <c r="Q32" s="665">
        <v>15428.571428571429</v>
      </c>
      <c r="R32" s="665">
        <v>0</v>
      </c>
      <c r="S32" s="665">
        <v>0</v>
      </c>
      <c r="T32" s="665">
        <v>0</v>
      </c>
      <c r="U32" s="665">
        <v>0</v>
      </c>
      <c r="V32" s="665">
        <v>0</v>
      </c>
      <c r="W32" s="665">
        <v>0</v>
      </c>
      <c r="X32" s="665">
        <v>10</v>
      </c>
      <c r="Y32" s="665" t="s">
        <v>111</v>
      </c>
      <c r="Z32" s="667" t="s">
        <v>111</v>
      </c>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5327.7</v>
      </c>
      <c r="N58" s="623">
        <f>SUM(N28:N57)</f>
        <v>23974.65</v>
      </c>
      <c r="O58" s="623">
        <f t="shared" ref="O58:W58" si="2">SUM(O28:O57)</f>
        <v>34249.5</v>
      </c>
      <c r="P58" s="623">
        <f t="shared" si="2"/>
        <v>20982.857142857145</v>
      </c>
      <c r="Q58" s="623">
        <f t="shared" si="2"/>
        <v>47516.142857142862</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70</v>
      </c>
      <c r="N60" s="623">
        <f ca="1">SUMIF($Z$28:AD57,"tertiair",N28:N57)</f>
        <v>315.00000000000006</v>
      </c>
      <c r="O60" s="623">
        <f ca="1">SUMIF($Z$28:AE57,"tertiair",O28:O57)</f>
        <v>450.00000000000011</v>
      </c>
      <c r="P60" s="623">
        <f ca="1">SUMIF($Z$28:AF57,"tertiair",P28:P57)</f>
        <v>900.00000000000023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5257.7</v>
      </c>
      <c r="N61" s="628">
        <f t="shared" si="4"/>
        <v>23659.65</v>
      </c>
      <c r="O61" s="628">
        <f t="shared" si="4"/>
        <v>33799.5</v>
      </c>
      <c r="P61" s="628">
        <f t="shared" si="4"/>
        <v>20082.857142857145</v>
      </c>
      <c r="Q61" s="628">
        <f t="shared" si="4"/>
        <v>47516.142857142862</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13013</v>
      </c>
      <c r="C64" s="817">
        <v>2230</v>
      </c>
      <c r="D64" s="668" t="s">
        <v>905</v>
      </c>
      <c r="E64" s="668" t="s">
        <v>906</v>
      </c>
      <c r="F64" s="668" t="s">
        <v>907</v>
      </c>
      <c r="G64" s="668" t="s">
        <v>908</v>
      </c>
      <c r="H64" s="668" t="s">
        <v>909</v>
      </c>
      <c r="I64" s="668" t="s">
        <v>910</v>
      </c>
      <c r="J64" s="816">
        <v>38796</v>
      </c>
      <c r="K64" s="816">
        <v>39052</v>
      </c>
      <c r="L64" s="668" t="s">
        <v>911</v>
      </c>
      <c r="M64" s="668">
        <v>298</v>
      </c>
      <c r="N64" s="668">
        <v>1341</v>
      </c>
      <c r="O64" s="668">
        <v>0</v>
      </c>
      <c r="P64" s="668">
        <v>0</v>
      </c>
      <c r="Q64" s="668">
        <v>3831.4285714285716</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298</v>
      </c>
      <c r="N89" s="623">
        <f t="shared" ref="N89:W89" si="5">SUM(N64:N88)</f>
        <v>1341</v>
      </c>
      <c r="O89" s="623">
        <f t="shared" si="5"/>
        <v>0</v>
      </c>
      <c r="P89" s="623">
        <f t="shared" si="5"/>
        <v>0</v>
      </c>
      <c r="Q89" s="623">
        <f t="shared" si="5"/>
        <v>3831.4285714285716</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298</v>
      </c>
      <c r="N91" s="623">
        <f t="shared" si="7"/>
        <v>1341</v>
      </c>
      <c r="O91" s="623">
        <f t="shared" si="7"/>
        <v>0</v>
      </c>
      <c r="P91" s="623">
        <f t="shared" si="7"/>
        <v>0</v>
      </c>
      <c r="Q91" s="623">
        <f t="shared" si="7"/>
        <v>3831.4285714285716</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8640.0000000000018</v>
      </c>
      <c r="C101" s="657">
        <f t="shared" si="9"/>
        <v>19565.470588235297</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12342.857142857145</v>
      </c>
      <c r="C102" s="660">
        <f t="shared" si="10"/>
        <v>27950.672268907569</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25297.360301863831</v>
      </c>
      <c r="C4" s="478">
        <f>huishoudens!C8</f>
        <v>0</v>
      </c>
      <c r="D4" s="478">
        <f>huishoudens!D8</f>
        <v>31929.602405580004</v>
      </c>
      <c r="E4" s="478">
        <f>huishoudens!E8</f>
        <v>15704.531994645586</v>
      </c>
      <c r="F4" s="478">
        <f>huishoudens!F8</f>
        <v>48430.845848627323</v>
      </c>
      <c r="G4" s="478">
        <f>huishoudens!G8</f>
        <v>0</v>
      </c>
      <c r="H4" s="478">
        <f>huishoudens!H8</f>
        <v>0</v>
      </c>
      <c r="I4" s="478">
        <f>huishoudens!I8</f>
        <v>0</v>
      </c>
      <c r="J4" s="478">
        <f>huishoudens!J8</f>
        <v>1018.5587375154603</v>
      </c>
      <c r="K4" s="478">
        <f>huishoudens!K8</f>
        <v>0</v>
      </c>
      <c r="L4" s="478">
        <f>huishoudens!L8</f>
        <v>0</v>
      </c>
      <c r="M4" s="478">
        <f>huishoudens!M8</f>
        <v>0</v>
      </c>
      <c r="N4" s="478">
        <f>huishoudens!N8</f>
        <v>23362.902404549146</v>
      </c>
      <c r="O4" s="478">
        <f>huishoudens!O8</f>
        <v>353.14456305089169</v>
      </c>
      <c r="P4" s="479">
        <f>huishoudens!P8</f>
        <v>926.98841907628207</v>
      </c>
      <c r="Q4" s="480">
        <f>SUM(B4:P4)</f>
        <v>147023.93467490849</v>
      </c>
    </row>
    <row r="5" spans="1:17">
      <c r="A5" s="477" t="s">
        <v>155</v>
      </c>
      <c r="B5" s="478">
        <f ca="1">tertiair!B16</f>
        <v>11334.109097</v>
      </c>
      <c r="C5" s="478">
        <f ca="1">tertiair!C16</f>
        <v>450.00000000000011</v>
      </c>
      <c r="D5" s="478">
        <f ca="1">tertiair!D16</f>
        <v>8889.3617902740007</v>
      </c>
      <c r="E5" s="478">
        <f>tertiair!E16</f>
        <v>154.80793623878824</v>
      </c>
      <c r="F5" s="478">
        <f ca="1">tertiair!F16</f>
        <v>1085.5633014180364</v>
      </c>
      <c r="G5" s="478">
        <f>tertiair!G16</f>
        <v>0</v>
      </c>
      <c r="H5" s="478">
        <f>tertiair!H16</f>
        <v>0</v>
      </c>
      <c r="I5" s="478">
        <f>tertiair!I16</f>
        <v>0</v>
      </c>
      <c r="J5" s="478">
        <f>tertiair!J16</f>
        <v>1.782138149622017E-2</v>
      </c>
      <c r="K5" s="478">
        <f>tertiair!K16</f>
        <v>0</v>
      </c>
      <c r="L5" s="478">
        <f ca="1">tertiair!L16</f>
        <v>0</v>
      </c>
      <c r="M5" s="478">
        <f>tertiair!M16</f>
        <v>0</v>
      </c>
      <c r="N5" s="478">
        <f ca="1">tertiair!N16</f>
        <v>0</v>
      </c>
      <c r="O5" s="478">
        <f>tertiair!O16</f>
        <v>4.8972607658411542</v>
      </c>
      <c r="P5" s="479">
        <f>tertiair!P16</f>
        <v>52.539138306495019</v>
      </c>
      <c r="Q5" s="477">
        <f t="shared" ref="Q5:Q14" ca="1" si="0">SUM(B5:P5)</f>
        <v>21971.296345384657</v>
      </c>
    </row>
    <row r="6" spans="1:17">
      <c r="A6" s="477" t="s">
        <v>193</v>
      </c>
      <c r="B6" s="478">
        <f>'openbare verlichting'!B8</f>
        <v>698.23599999999999</v>
      </c>
      <c r="C6" s="478"/>
      <c r="D6" s="478"/>
      <c r="E6" s="478"/>
      <c r="F6" s="478"/>
      <c r="G6" s="478"/>
      <c r="H6" s="478"/>
      <c r="I6" s="478"/>
      <c r="J6" s="478"/>
      <c r="K6" s="478"/>
      <c r="L6" s="478"/>
      <c r="M6" s="478"/>
      <c r="N6" s="478"/>
      <c r="O6" s="478"/>
      <c r="P6" s="479"/>
      <c r="Q6" s="477">
        <f t="shared" si="0"/>
        <v>698.23599999999999</v>
      </c>
    </row>
    <row r="7" spans="1:17">
      <c r="A7" s="477" t="s">
        <v>111</v>
      </c>
      <c r="B7" s="478">
        <f>landbouw!B8</f>
        <v>1246.5672890000001</v>
      </c>
      <c r="C7" s="478">
        <f>landbouw!C8</f>
        <v>33799.5</v>
      </c>
      <c r="D7" s="478">
        <f>landbouw!D8</f>
        <v>3771.5843816828565</v>
      </c>
      <c r="E7" s="478">
        <f>landbouw!E8</f>
        <v>38.904954022510573</v>
      </c>
      <c r="F7" s="478">
        <f>landbouw!F8</f>
        <v>4405.5068903251331</v>
      </c>
      <c r="G7" s="478">
        <f>landbouw!G8</f>
        <v>0</v>
      </c>
      <c r="H7" s="478">
        <f>landbouw!H8</f>
        <v>0</v>
      </c>
      <c r="I7" s="478">
        <f>landbouw!I8</f>
        <v>0</v>
      </c>
      <c r="J7" s="478">
        <f>landbouw!J8</f>
        <v>343.43793298788609</v>
      </c>
      <c r="K7" s="478">
        <f>landbouw!K8</f>
        <v>0</v>
      </c>
      <c r="L7" s="478">
        <f>landbouw!L8</f>
        <v>0</v>
      </c>
      <c r="M7" s="478">
        <f>landbouw!M8</f>
        <v>0</v>
      </c>
      <c r="N7" s="478">
        <f>landbouw!N8</f>
        <v>0</v>
      </c>
      <c r="O7" s="478">
        <f>landbouw!O8</f>
        <v>0</v>
      </c>
      <c r="P7" s="479">
        <f>landbouw!P8</f>
        <v>0</v>
      </c>
      <c r="Q7" s="477">
        <f t="shared" si="0"/>
        <v>43605.501448018382</v>
      </c>
    </row>
    <row r="8" spans="1:17">
      <c r="A8" s="477" t="s">
        <v>629</v>
      </c>
      <c r="B8" s="478">
        <f>industrie!B18</f>
        <v>4606.0813740000012</v>
      </c>
      <c r="C8" s="478">
        <f>industrie!C18</f>
        <v>0</v>
      </c>
      <c r="D8" s="478">
        <f>industrie!D18</f>
        <v>6047.4435045420005</v>
      </c>
      <c r="E8" s="478">
        <f>industrie!E18</f>
        <v>281.06509260735038</v>
      </c>
      <c r="F8" s="478">
        <f>industrie!F18</f>
        <v>1017.8346754472675</v>
      </c>
      <c r="G8" s="478">
        <f>industrie!G18</f>
        <v>0</v>
      </c>
      <c r="H8" s="478">
        <f>industrie!H18</f>
        <v>0</v>
      </c>
      <c r="I8" s="478">
        <f>industrie!I18</f>
        <v>0</v>
      </c>
      <c r="J8" s="478">
        <f>industrie!J18</f>
        <v>3.0737814299547068</v>
      </c>
      <c r="K8" s="478">
        <f>industrie!K18</f>
        <v>0</v>
      </c>
      <c r="L8" s="478">
        <f>industrie!L18</f>
        <v>0</v>
      </c>
      <c r="M8" s="478">
        <f>industrie!M18</f>
        <v>0</v>
      </c>
      <c r="N8" s="478">
        <f>industrie!N18</f>
        <v>272.13201224053563</v>
      </c>
      <c r="O8" s="478">
        <f>industrie!O18</f>
        <v>0</v>
      </c>
      <c r="P8" s="479">
        <f>industrie!P18</f>
        <v>0</v>
      </c>
      <c r="Q8" s="477">
        <f t="shared" si="0"/>
        <v>12227.63044026711</v>
      </c>
    </row>
    <row r="9" spans="1:17" s="483" customFormat="1">
      <c r="A9" s="481" t="s">
        <v>555</v>
      </c>
      <c r="B9" s="482">
        <f>transport!B14</f>
        <v>60.161755883333335</v>
      </c>
      <c r="C9" s="482">
        <f>transport!C14</f>
        <v>0</v>
      </c>
      <c r="D9" s="482">
        <f>transport!D14</f>
        <v>220.25401766907001</v>
      </c>
      <c r="E9" s="482">
        <f>transport!E14</f>
        <v>172.06249857235414</v>
      </c>
      <c r="F9" s="482">
        <f>transport!F14</f>
        <v>0</v>
      </c>
      <c r="G9" s="482">
        <f>transport!G14</f>
        <v>60310.892444352474</v>
      </c>
      <c r="H9" s="482">
        <f>transport!H14</f>
        <v>16483.83115453113</v>
      </c>
      <c r="I9" s="482">
        <f>transport!I14</f>
        <v>0</v>
      </c>
      <c r="J9" s="482">
        <f>transport!J14</f>
        <v>0</v>
      </c>
      <c r="K9" s="482">
        <f>transport!K14</f>
        <v>0</v>
      </c>
      <c r="L9" s="482">
        <f>transport!L14</f>
        <v>0</v>
      </c>
      <c r="M9" s="482">
        <f>transport!M14</f>
        <v>4561.107753855923</v>
      </c>
      <c r="N9" s="482">
        <f>transport!N14</f>
        <v>0</v>
      </c>
      <c r="O9" s="482">
        <f>transport!O14</f>
        <v>0</v>
      </c>
      <c r="P9" s="482">
        <f>transport!P14</f>
        <v>0</v>
      </c>
      <c r="Q9" s="481">
        <f>SUM(B9:P9)</f>
        <v>81808.309624864283</v>
      </c>
    </row>
    <row r="10" spans="1:17">
      <c r="A10" s="477" t="s">
        <v>545</v>
      </c>
      <c r="B10" s="478">
        <f>transport!B54</f>
        <v>0</v>
      </c>
      <c r="C10" s="478">
        <f>transport!C54</f>
        <v>0</v>
      </c>
      <c r="D10" s="478">
        <f>transport!D54</f>
        <v>0</v>
      </c>
      <c r="E10" s="478">
        <f>transport!E54</f>
        <v>0</v>
      </c>
      <c r="F10" s="478">
        <f>transport!F54</f>
        <v>0</v>
      </c>
      <c r="G10" s="478">
        <f>transport!G54</f>
        <v>1093.9335559242063</v>
      </c>
      <c r="H10" s="478">
        <f>transport!H54</f>
        <v>0</v>
      </c>
      <c r="I10" s="478">
        <f>transport!I54</f>
        <v>0</v>
      </c>
      <c r="J10" s="478">
        <f>transport!J54</f>
        <v>0</v>
      </c>
      <c r="K10" s="478">
        <f>transport!K54</f>
        <v>0</v>
      </c>
      <c r="L10" s="478">
        <f>transport!L54</f>
        <v>0</v>
      </c>
      <c r="M10" s="478">
        <f>transport!M54</f>
        <v>60.800948075366158</v>
      </c>
      <c r="N10" s="478">
        <f>transport!N54</f>
        <v>0</v>
      </c>
      <c r="O10" s="478">
        <f>transport!O54</f>
        <v>0</v>
      </c>
      <c r="P10" s="479">
        <f>transport!P54</f>
        <v>0</v>
      </c>
      <c r="Q10" s="477">
        <f t="shared" si="0"/>
        <v>1154.7345039995726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777.86380599999995</v>
      </c>
      <c r="C14" s="485"/>
      <c r="D14" s="485">
        <f>'SEAP template'!E25</f>
        <v>1162.422268</v>
      </c>
      <c r="E14" s="485"/>
      <c r="F14" s="485"/>
      <c r="G14" s="485"/>
      <c r="H14" s="485"/>
      <c r="I14" s="485"/>
      <c r="J14" s="485"/>
      <c r="K14" s="485"/>
      <c r="L14" s="485"/>
      <c r="M14" s="485"/>
      <c r="N14" s="485"/>
      <c r="O14" s="485"/>
      <c r="P14" s="486"/>
      <c r="Q14" s="477">
        <f t="shared" si="0"/>
        <v>1940.2860740000001</v>
      </c>
    </row>
    <row r="15" spans="1:17" s="489" customFormat="1">
      <c r="A15" s="487" t="s">
        <v>549</v>
      </c>
      <c r="B15" s="488">
        <f ca="1">SUM(B4:B14)</f>
        <v>44020.379623747162</v>
      </c>
      <c r="C15" s="488">
        <f t="shared" ref="C15:Q15" ca="1" si="1">SUM(C4:C14)</f>
        <v>34249.5</v>
      </c>
      <c r="D15" s="488">
        <f t="shared" ca="1" si="1"/>
        <v>52020.66836774793</v>
      </c>
      <c r="E15" s="488">
        <f t="shared" si="1"/>
        <v>16351.37247608659</v>
      </c>
      <c r="F15" s="488">
        <f t="shared" ca="1" si="1"/>
        <v>54939.750715817754</v>
      </c>
      <c r="G15" s="488">
        <f t="shared" si="1"/>
        <v>61404.826000276676</v>
      </c>
      <c r="H15" s="488">
        <f t="shared" si="1"/>
        <v>16483.83115453113</v>
      </c>
      <c r="I15" s="488">
        <f t="shared" si="1"/>
        <v>0</v>
      </c>
      <c r="J15" s="488">
        <f t="shared" si="1"/>
        <v>1365.0882733147973</v>
      </c>
      <c r="K15" s="488">
        <f t="shared" si="1"/>
        <v>0</v>
      </c>
      <c r="L15" s="488">
        <f t="shared" ca="1" si="1"/>
        <v>0</v>
      </c>
      <c r="M15" s="488">
        <f t="shared" si="1"/>
        <v>4621.9087019312892</v>
      </c>
      <c r="N15" s="488">
        <f t="shared" ca="1" si="1"/>
        <v>23635.03441678968</v>
      </c>
      <c r="O15" s="488">
        <f t="shared" si="1"/>
        <v>358.04182381673286</v>
      </c>
      <c r="P15" s="488">
        <f t="shared" si="1"/>
        <v>979.5275573827771</v>
      </c>
      <c r="Q15" s="488">
        <f t="shared" ca="1" si="1"/>
        <v>310429.92911144253</v>
      </c>
    </row>
    <row r="17" spans="1:17">
      <c r="A17" s="490" t="s">
        <v>550</v>
      </c>
      <c r="B17" s="807">
        <f ca="1">huishoudens!B10</f>
        <v>0.10413954313969286</v>
      </c>
      <c r="C17" s="807">
        <f ca="1">huishoudens!C10</f>
        <v>7.2796891716875978E-2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2634.4555444763018</v>
      </c>
      <c r="C22" s="478">
        <f t="shared" ref="C22:C32" ca="1" si="3">C4*$C$17</f>
        <v>0</v>
      </c>
      <c r="D22" s="478">
        <f t="shared" ref="D22:D32" si="4">D4*$D$17</f>
        <v>6449.7796859271612</v>
      </c>
      <c r="E22" s="478">
        <f t="shared" ref="E22:E32" si="5">E4*$E$17</f>
        <v>3564.9287627845479</v>
      </c>
      <c r="F22" s="478">
        <f t="shared" ref="F22:F32" si="6">F4*$F$17</f>
        <v>12931.035841583496</v>
      </c>
      <c r="G22" s="478">
        <f t="shared" ref="G22:G32" si="7">G4*$G$17</f>
        <v>0</v>
      </c>
      <c r="H22" s="478">
        <f t="shared" ref="H22:H32" si="8">H4*$H$17</f>
        <v>0</v>
      </c>
      <c r="I22" s="478">
        <f t="shared" ref="I22:I32" si="9">I4*$I$17</f>
        <v>0</v>
      </c>
      <c r="J22" s="478">
        <f t="shared" ref="J22:J32" si="10">J4*$J$17</f>
        <v>360.56979308047295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25940.76962785198</v>
      </c>
    </row>
    <row r="23" spans="1:17">
      <c r="A23" s="477" t="s">
        <v>155</v>
      </c>
      <c r="B23" s="478">
        <f t="shared" ca="1" si="2"/>
        <v>1180.3289432570168</v>
      </c>
      <c r="C23" s="478">
        <f t="shared" ca="1" si="3"/>
        <v>32.758601272594198</v>
      </c>
      <c r="D23" s="478">
        <f t="shared" ca="1" si="4"/>
        <v>1795.6510816353482</v>
      </c>
      <c r="E23" s="478">
        <f t="shared" si="5"/>
        <v>35.14140152620493</v>
      </c>
      <c r="F23" s="478">
        <f t="shared" ca="1" si="6"/>
        <v>289.84540147861571</v>
      </c>
      <c r="G23" s="478">
        <f t="shared" si="7"/>
        <v>0</v>
      </c>
      <c r="H23" s="478">
        <f t="shared" si="8"/>
        <v>0</v>
      </c>
      <c r="I23" s="478">
        <f t="shared" si="9"/>
        <v>0</v>
      </c>
      <c r="J23" s="478">
        <f t="shared" si="10"/>
        <v>6.30876904966194E-3</v>
      </c>
      <c r="K23" s="478">
        <f t="shared" si="11"/>
        <v>0</v>
      </c>
      <c r="L23" s="478">
        <f t="shared" ca="1" si="12"/>
        <v>0</v>
      </c>
      <c r="M23" s="478">
        <f t="shared" si="13"/>
        <v>0</v>
      </c>
      <c r="N23" s="478">
        <f t="shared" ca="1" si="14"/>
        <v>0</v>
      </c>
      <c r="O23" s="478">
        <f t="shared" si="15"/>
        <v>0</v>
      </c>
      <c r="P23" s="479">
        <f t="shared" si="16"/>
        <v>0</v>
      </c>
      <c r="Q23" s="477">
        <f t="shared" ref="Q23:Q31" ca="1" si="17">SUM(B23:P23)</f>
        <v>3333.7317379388292</v>
      </c>
    </row>
    <row r="24" spans="1:17">
      <c r="A24" s="477" t="s">
        <v>193</v>
      </c>
      <c r="B24" s="478">
        <f t="shared" ca="1" si="2"/>
        <v>72.713978043686581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72.713978043686581</v>
      </c>
    </row>
    <row r="25" spans="1:17">
      <c r="A25" s="477" t="s">
        <v>111</v>
      </c>
      <c r="B25" s="478">
        <f t="shared" ca="1" si="2"/>
        <v>129.81694796934548</v>
      </c>
      <c r="C25" s="478">
        <f t="shared" ca="1" si="3"/>
        <v>2460.4985415845495</v>
      </c>
      <c r="D25" s="478">
        <f t="shared" si="4"/>
        <v>761.86004509993711</v>
      </c>
      <c r="E25" s="478">
        <f t="shared" si="5"/>
        <v>8.8314245631099002</v>
      </c>
      <c r="F25" s="478">
        <f t="shared" si="6"/>
        <v>1176.2703397168107</v>
      </c>
      <c r="G25" s="478">
        <f t="shared" si="7"/>
        <v>0</v>
      </c>
      <c r="H25" s="478">
        <f t="shared" si="8"/>
        <v>0</v>
      </c>
      <c r="I25" s="478">
        <f t="shared" si="9"/>
        <v>0</v>
      </c>
      <c r="J25" s="478">
        <f t="shared" si="10"/>
        <v>121.57702827771166</v>
      </c>
      <c r="K25" s="478">
        <f t="shared" si="11"/>
        <v>0</v>
      </c>
      <c r="L25" s="478">
        <f t="shared" si="12"/>
        <v>0</v>
      </c>
      <c r="M25" s="478">
        <f t="shared" si="13"/>
        <v>0</v>
      </c>
      <c r="N25" s="478">
        <f t="shared" si="14"/>
        <v>0</v>
      </c>
      <c r="O25" s="478">
        <f t="shared" si="15"/>
        <v>0</v>
      </c>
      <c r="P25" s="479">
        <f t="shared" si="16"/>
        <v>0</v>
      </c>
      <c r="Q25" s="477">
        <f t="shared" ca="1" si="17"/>
        <v>4658.8543272114648</v>
      </c>
    </row>
    <row r="26" spans="1:17">
      <c r="A26" s="477" t="s">
        <v>629</v>
      </c>
      <c r="B26" s="478">
        <f t="shared" ca="1" si="2"/>
        <v>479.6752099526089</v>
      </c>
      <c r="C26" s="478">
        <f t="shared" ca="1" si="3"/>
        <v>0</v>
      </c>
      <c r="D26" s="478">
        <f t="shared" si="4"/>
        <v>1221.5835879174842</v>
      </c>
      <c r="E26" s="478">
        <f t="shared" si="5"/>
        <v>63.801776021868541</v>
      </c>
      <c r="F26" s="478">
        <f t="shared" si="6"/>
        <v>271.76185834442043</v>
      </c>
      <c r="G26" s="478">
        <f t="shared" si="7"/>
        <v>0</v>
      </c>
      <c r="H26" s="478">
        <f t="shared" si="8"/>
        <v>0</v>
      </c>
      <c r="I26" s="478">
        <f t="shared" si="9"/>
        <v>0</v>
      </c>
      <c r="J26" s="478">
        <f t="shared" si="10"/>
        <v>1.0881186262039662</v>
      </c>
      <c r="K26" s="478">
        <f t="shared" si="11"/>
        <v>0</v>
      </c>
      <c r="L26" s="478">
        <f t="shared" si="12"/>
        <v>0</v>
      </c>
      <c r="M26" s="478">
        <f t="shared" si="13"/>
        <v>0</v>
      </c>
      <c r="N26" s="478">
        <f t="shared" si="14"/>
        <v>0</v>
      </c>
      <c r="O26" s="478">
        <f t="shared" si="15"/>
        <v>0</v>
      </c>
      <c r="P26" s="479">
        <f t="shared" si="16"/>
        <v>0</v>
      </c>
      <c r="Q26" s="477">
        <f t="shared" ca="1" si="17"/>
        <v>2037.9105508625862</v>
      </c>
    </row>
    <row r="27" spans="1:17" s="483" customFormat="1">
      <c r="A27" s="481" t="s">
        <v>555</v>
      </c>
      <c r="B27" s="801">
        <f t="shared" ca="1" si="2"/>
        <v>6.2652177721720621</v>
      </c>
      <c r="C27" s="482">
        <f t="shared" ca="1" si="3"/>
        <v>0</v>
      </c>
      <c r="D27" s="482">
        <f t="shared" si="4"/>
        <v>44.491311569152145</v>
      </c>
      <c r="E27" s="482">
        <f t="shared" si="5"/>
        <v>39.058187175924395</v>
      </c>
      <c r="F27" s="482">
        <f t="shared" si="6"/>
        <v>0</v>
      </c>
      <c r="G27" s="482">
        <f t="shared" si="7"/>
        <v>16103.008282642111</v>
      </c>
      <c r="H27" s="482">
        <f t="shared" si="8"/>
        <v>4104.4739574782516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20297.296956637612</v>
      </c>
    </row>
    <row r="28" spans="1:17" ht="16.5" customHeight="1">
      <c r="A28" s="477" t="s">
        <v>545</v>
      </c>
      <c r="B28" s="478">
        <f t="shared" ca="1" si="2"/>
        <v>0</v>
      </c>
      <c r="C28" s="478">
        <f t="shared" ca="1" si="3"/>
        <v>0</v>
      </c>
      <c r="D28" s="478">
        <f t="shared" si="4"/>
        <v>0</v>
      </c>
      <c r="E28" s="478">
        <f t="shared" si="5"/>
        <v>0</v>
      </c>
      <c r="F28" s="478">
        <f t="shared" si="6"/>
        <v>0</v>
      </c>
      <c r="G28" s="478">
        <f t="shared" si="7"/>
        <v>292.08025943176312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292.08025943176312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81.006381381742671</v>
      </c>
      <c r="C32" s="478">
        <f t="shared" ca="1" si="3"/>
        <v>0</v>
      </c>
      <c r="D32" s="478">
        <f t="shared" si="4"/>
        <v>234.80929813600002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315.81567951774269</v>
      </c>
    </row>
    <row r="33" spans="1:17" s="489" customFormat="1">
      <c r="A33" s="487" t="s">
        <v>549</v>
      </c>
      <c r="B33" s="488">
        <f ca="1">SUM(B22:B32)</f>
        <v>4584.2622228528744</v>
      </c>
      <c r="C33" s="488">
        <f t="shared" ref="C33:Q33" ca="1" si="19">SUM(C22:C32)</f>
        <v>2493.2571428571437</v>
      </c>
      <c r="D33" s="488">
        <f t="shared" ca="1" si="19"/>
        <v>10508.175010285084</v>
      </c>
      <c r="E33" s="488">
        <f t="shared" si="19"/>
        <v>3711.7615520716558</v>
      </c>
      <c r="F33" s="488">
        <f t="shared" ca="1" si="19"/>
        <v>14668.913441123343</v>
      </c>
      <c r="G33" s="488">
        <f t="shared" si="19"/>
        <v>16395.088542073874</v>
      </c>
      <c r="H33" s="488">
        <f t="shared" si="19"/>
        <v>4104.4739574782516</v>
      </c>
      <c r="I33" s="488">
        <f t="shared" si="19"/>
        <v>0</v>
      </c>
      <c r="J33" s="488">
        <f t="shared" si="19"/>
        <v>483.24124875343824</v>
      </c>
      <c r="K33" s="488">
        <f t="shared" si="19"/>
        <v>0</v>
      </c>
      <c r="L33" s="488">
        <f t="shared" ca="1" si="19"/>
        <v>0</v>
      </c>
      <c r="M33" s="488">
        <f t="shared" si="19"/>
        <v>0</v>
      </c>
      <c r="N33" s="488">
        <f t="shared" ca="1" si="19"/>
        <v>0</v>
      </c>
      <c r="O33" s="488">
        <f t="shared" si="19"/>
        <v>0</v>
      </c>
      <c r="P33" s="488">
        <f t="shared" si="19"/>
        <v>0</v>
      </c>
      <c r="Q33" s="488">
        <f t="shared" ca="1" si="19"/>
        <v>56949.173117495666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5858.6562171730766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16630.650000000001</v>
      </c>
      <c r="C8" s="1062">
        <f>'SEAP template'!C76</f>
        <v>7344</v>
      </c>
      <c r="D8" s="1062">
        <f>'SEAP template'!D76</f>
        <v>8640.0000000000018</v>
      </c>
      <c r="E8" s="1062">
        <f>'SEAP template'!E76</f>
        <v>0</v>
      </c>
      <c r="F8" s="1062">
        <f>'SEAP template'!F76</f>
        <v>0</v>
      </c>
      <c r="G8" s="1062">
        <f>'SEAP template'!G76</f>
        <v>0</v>
      </c>
      <c r="H8" s="1062">
        <f>'SEAP template'!H76</f>
        <v>0</v>
      </c>
      <c r="I8" s="1062">
        <f>'SEAP template'!I76</f>
        <v>0</v>
      </c>
      <c r="J8" s="1062">
        <f>'SEAP template'!J76</f>
        <v>19565.470588235297</v>
      </c>
      <c r="K8" s="1062">
        <f>'SEAP template'!K76</f>
        <v>0</v>
      </c>
      <c r="L8" s="1062">
        <f>'SEAP template'!L76</f>
        <v>0</v>
      </c>
      <c r="M8" s="1062">
        <f>'SEAP template'!M76</f>
        <v>0</v>
      </c>
      <c r="N8" s="1062">
        <f>'SEAP template'!N76</f>
        <v>0</v>
      </c>
      <c r="O8" s="1062">
        <f>'SEAP template'!O76</f>
        <v>0</v>
      </c>
      <c r="P8" s="1063">
        <f>'SEAP template'!Q76</f>
        <v>1745.2800000000004</v>
      </c>
    </row>
    <row r="9" spans="1:16">
      <c r="A9" s="1068" t="s">
        <v>802</v>
      </c>
      <c r="B9" s="1062">
        <f>'SEAP template'!B77</f>
        <v>1341</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3831.4285714285716</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23830.306217173078</v>
      </c>
      <c r="C10" s="1064">
        <f>SUM(C4:C9)</f>
        <v>7344</v>
      </c>
      <c r="D10" s="1064">
        <f t="shared" ref="D10:H10" si="0">SUM(D8:D9)</f>
        <v>8640.0000000000018</v>
      </c>
      <c r="E10" s="1064">
        <f t="shared" si="0"/>
        <v>0</v>
      </c>
      <c r="F10" s="1064">
        <f t="shared" si="0"/>
        <v>0</v>
      </c>
      <c r="G10" s="1064">
        <f t="shared" si="0"/>
        <v>0</v>
      </c>
      <c r="H10" s="1064">
        <f t="shared" si="0"/>
        <v>0</v>
      </c>
      <c r="I10" s="1064">
        <f>SUM(I8:I9)</f>
        <v>0</v>
      </c>
      <c r="J10" s="1064">
        <f>SUM(J8:J9)</f>
        <v>23396.89915966387</v>
      </c>
      <c r="K10" s="1064">
        <f t="shared" ref="K10:L10" si="1">SUM(K8:K9)</f>
        <v>0</v>
      </c>
      <c r="L10" s="1064">
        <f t="shared" si="1"/>
        <v>0</v>
      </c>
      <c r="M10" s="1064">
        <f>SUM(M8:M9)</f>
        <v>0</v>
      </c>
      <c r="N10" s="1064">
        <f>SUM(N8:N9)</f>
        <v>0</v>
      </c>
      <c r="O10" s="1064">
        <f>SUM(O8:O9)</f>
        <v>0</v>
      </c>
      <c r="P10" s="1064">
        <f>SUM(P8:P9)</f>
        <v>1745.2800000000004</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0.10413954313969286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23758.071428571428</v>
      </c>
      <c r="C17" s="1065">
        <f>'SEAP template'!C87</f>
        <v>10491.428571428571</v>
      </c>
      <c r="D17" s="1063">
        <f>'SEAP template'!D87</f>
        <v>12342.857142857145</v>
      </c>
      <c r="E17" s="1063">
        <f>'SEAP template'!E87</f>
        <v>0</v>
      </c>
      <c r="F17" s="1063">
        <f>'SEAP template'!F87</f>
        <v>0</v>
      </c>
      <c r="G17" s="1063">
        <f>'SEAP template'!G87</f>
        <v>0</v>
      </c>
      <c r="H17" s="1063">
        <f>'SEAP template'!H87</f>
        <v>0</v>
      </c>
      <c r="I17" s="1063">
        <f>'SEAP template'!I87</f>
        <v>0</v>
      </c>
      <c r="J17" s="1063">
        <f>'SEAP template'!J87</f>
        <v>27950.672268907569</v>
      </c>
      <c r="K17" s="1063">
        <f>'SEAP template'!K87</f>
        <v>0</v>
      </c>
      <c r="L17" s="1063">
        <f>'SEAP template'!L87</f>
        <v>0</v>
      </c>
      <c r="M17" s="1063">
        <f>'SEAP template'!M87</f>
        <v>0</v>
      </c>
      <c r="N17" s="1063">
        <f>'SEAP template'!N87</f>
        <v>0</v>
      </c>
      <c r="O17" s="1063">
        <f>'SEAP template'!O87</f>
        <v>0</v>
      </c>
      <c r="P17" s="1063">
        <f>'SEAP template'!Q87</f>
        <v>2493.2571428571437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23758.071428571428</v>
      </c>
      <c r="C20" s="1064">
        <f>SUM(C17:C19)</f>
        <v>10491.428571428571</v>
      </c>
      <c r="D20" s="1064">
        <f t="shared" ref="D20:H20" si="2">SUM(D17:D19)</f>
        <v>12342.857142857145</v>
      </c>
      <c r="E20" s="1064">
        <f t="shared" si="2"/>
        <v>0</v>
      </c>
      <c r="F20" s="1064">
        <f t="shared" si="2"/>
        <v>0</v>
      </c>
      <c r="G20" s="1064">
        <f t="shared" si="2"/>
        <v>0</v>
      </c>
      <c r="H20" s="1064">
        <f t="shared" si="2"/>
        <v>0</v>
      </c>
      <c r="I20" s="1064">
        <f>SUM(I17:I19)</f>
        <v>0</v>
      </c>
      <c r="J20" s="1064">
        <f>SUM(J17:J19)</f>
        <v>27950.672268907569</v>
      </c>
      <c r="K20" s="1064">
        <f t="shared" ref="K20:L20" si="3">SUM(K17:K19)</f>
        <v>0</v>
      </c>
      <c r="L20" s="1064">
        <f t="shared" si="3"/>
        <v>0</v>
      </c>
      <c r="M20" s="1064">
        <f>SUM(M17:M19)</f>
        <v>0</v>
      </c>
      <c r="N20" s="1064">
        <f>SUM(N17:N19)</f>
        <v>0</v>
      </c>
      <c r="O20" s="1064">
        <f>SUM(O17:O19)</f>
        <v>0</v>
      </c>
      <c r="P20" s="1064">
        <f>SUM(P17:P19)</f>
        <v>2493.2571428571437</v>
      </c>
    </row>
    <row r="21" spans="1:16">
      <c r="B21" s="913"/>
    </row>
    <row r="22" spans="1:16">
      <c r="A22" s="490" t="s">
        <v>814</v>
      </c>
      <c r="B22" s="807" t="s">
        <v>812</v>
      </c>
      <c r="C22" s="807">
        <f ca="1">'EF ele_warmte'!B22</f>
        <v>7.2796891716875978E-2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0.10413954313969286</v>
      </c>
      <c r="C17" s="527">
        <f ca="1">'EF ele_warmte'!B22</f>
        <v>7.2796891716875978E-2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2019-08-12T08:38:16Z</dcterms:modified>
</cp:coreProperties>
</file>