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N20" i="59"/>
  <c r="E20"/>
  <c r="B13" i="15"/>
  <c r="F6" i="17"/>
  <c r="O20" i="59"/>
  <c r="F16" i="16"/>
  <c r="F30" i="48"/>
  <c r="F32"/>
  <c r="N30"/>
  <c r="N32"/>
  <c r="I15"/>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O78" i="14" l="1"/>
  <c r="O9" i="59"/>
  <c r="O10" s="1"/>
  <c r="H90" i="14"/>
  <c r="H18" i="59"/>
  <c r="H20" s="1"/>
  <c r="J16" i="14"/>
  <c r="J7" i="48"/>
  <c r="J25" s="1"/>
  <c r="K33"/>
  <c r="H78" i="14"/>
  <c r="H9" i="59"/>
  <c r="H10" s="1"/>
  <c r="M24" i="48"/>
  <c r="M32"/>
  <c r="E78" i="14"/>
  <c r="E9" i="59"/>
  <c r="E10" s="1"/>
  <c r="G78" i="14"/>
  <c r="G9" i="59"/>
  <c r="G10" s="1"/>
  <c r="I33" i="48"/>
  <c r="N78" i="14"/>
  <c r="N9" i="59"/>
  <c r="N10" s="1"/>
  <c r="K15" i="48"/>
  <c r="I20" i="15"/>
  <c r="J40" i="14" s="1"/>
  <c r="J46" s="1"/>
  <c r="J61" s="1"/>
  <c r="J27"/>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E16" i="14"/>
  <c r="E27" s="1"/>
  <c r="I90"/>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0" i="17"/>
  <c r="C12" s="1"/>
  <c r="D54" i="14" s="1"/>
  <c r="D56" s="1"/>
  <c r="C18" i="15"/>
  <c r="C20" s="1"/>
  <c r="D40" i="14" s="1"/>
  <c r="C10" i="13"/>
  <c r="C12" s="1"/>
  <c r="C17" i="49"/>
  <c r="C20" i="16"/>
  <c r="C22" s="1"/>
  <c r="D43" i="14" s="1"/>
  <c r="C16" i="22"/>
  <c r="C56"/>
  <c r="C58" s="1"/>
  <c r="D49" i="14" s="1"/>
  <c r="D52" s="1"/>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l="1"/>
  <c r="B12" s="1"/>
  <c r="C33" i="48"/>
  <c r="B16" i="22" l="1"/>
  <c r="B18" s="1"/>
  <c r="C50" i="14" s="1"/>
  <c r="R50" s="1"/>
  <c r="C55"/>
  <c r="R55" s="1"/>
  <c r="B29" i="20"/>
  <c r="B31" s="1"/>
  <c r="C12" i="59"/>
  <c r="B10" i="17"/>
  <c r="B12" s="1"/>
  <c r="B17" i="49"/>
  <c r="B19" s="1"/>
  <c r="B56" i="22"/>
  <c r="B58" s="1"/>
  <c r="B10" i="13"/>
  <c r="B12" s="1"/>
  <c r="B10" i="9"/>
  <c r="B12" s="1"/>
  <c r="B17" i="19"/>
  <c r="B19" s="1"/>
  <c r="C39" i="14" s="1"/>
  <c r="R39" s="1"/>
  <c r="B20" i="16"/>
  <c r="B22" s="1"/>
  <c r="C43" i="14" s="1"/>
  <c r="R43" s="1"/>
  <c r="B18" i="15"/>
  <c r="B20" s="1"/>
  <c r="C40" i="14" s="1"/>
  <c r="R40" s="1"/>
  <c r="C54"/>
  <c r="R54" s="1"/>
  <c r="C49"/>
  <c r="R49" s="1"/>
  <c r="C42"/>
  <c r="R42" s="1"/>
  <c r="C48"/>
  <c r="R48"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<sst xmlns="http://schemas.openxmlformats.org/spreadsheetml/2006/main" count="2482" uniqueCount="928">
  <si>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</si>
  <si>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</si>
  <si>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</si>
  <si>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</si>
  <si>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</si>
  <si>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</si>
  <si>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</si>
  <si>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</si>
  <si>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</si>
  <si>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</si>
  <si>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</si>
  <si>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</si>
  <si>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</si>
  <si>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</si>
  <si>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</si>
  <si>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</si>
  <si>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</si>
  <si>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</si>
  <si>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</si>
  <si>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</si>
  <si>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</si>
  <si>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</si>
  <si>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</si>
  <si>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</si>
  <si>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</si>
  <si>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</si>
  <si>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</si>
  <si>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</si>
  <si>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</si>
  <si>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</si>
  <si>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</si>
  <si>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</si>
  <si>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</si>
  <si>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</si>
  <si>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</si>
  <si>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</si>
  <si>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</si>
  <si>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</si>
  <si>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</si>
  <si>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</si>
  <si>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</si>
  <si>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</si>
  <si>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</si>
  <si>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</si>
  <si>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</si>
  <si>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</si>
  <si>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</si>
  <si>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</si>
  <si>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</si>
  <si>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</si>
  <si>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</si>
  <si>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</si>
  <si>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</si>
  <si>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</si>
  <si>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</si>
  <si>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</si>
  <si>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</si>
  <si>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</si>
  <si>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</si>
  <si>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</si>
  <si>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</si>
  <si>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</si>
  <si>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</si>
  <si>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</si>
  <si>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</si>
  <si>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</si>
  <si>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</si>
  <si>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</si>
  <si>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</si>
  <si>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</si>
  <si>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</si>
  <si>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</si>
  <si>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</si>
  <si>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</si>
  <si>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</si>
  <si>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</si>
  <si>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</si>
  <si>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</si>
  <si>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</si>
  <si>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</si>
  <si>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</si>
  <si>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</si>
  <si>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</si>
  <si>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</si>
  <si>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</si>
  <si>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</si>
  <si>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</si>
  <si>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</si>
  <si>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</si>
  <si>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</si>
  <si>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</si>
  <si>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</si>
  <si>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</si>
  <si>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</si>
  <si>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</si>
  <si>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</si>
  <si>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</si>
  <si>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</si>
  <si>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</si>
  <si>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</si>
  <si>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</si>
  <si>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</si>
  <si>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</si>
  <si>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</si>
  <si>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</si>
  <si>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</si>
  <si>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</si>
  <si>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</si>
  <si>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</si>
  <si>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</si>
  <si>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</si>
  <si>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</si>
  <si>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</si>
  <si>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</si>
  <si>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</si>
  <si>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</si>
  <si>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</si>
  <si>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</si>
  <si>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</si>
  <si>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</si>
  <si>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</si>
  <si>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</si>
  <si>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</si>
  <si>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</si>
  <si>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</si>
  <si>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</si>
  <si>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</si>
  <si>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</si>
  <si>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</si>
  <si>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</si>
  <si>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</si>
  <si>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</si>
  <si>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</si>
  <si>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</si>
  <si>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</si>
  <si>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</si>
  <si>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</si>
  <si>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</si>
  <si>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</si>
  <si>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</si>
  <si>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</si>
  <si>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</si>
  <si>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</si>
  <si>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</si>
  <si>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</si>
  <si>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</si>
  <si>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</si>
  <si>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</si>
  <si>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</si>
  <si>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</si>
  <si>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</si>
  <si>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</si>
  <si>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</si>
  <si>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</si>
  <si>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</si>
  <si>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</si>
  <si>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</si>
  <si>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</si>
  <si>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</si>
  <si>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</si>
  <si>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</si>
  <si>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</si>
  <si>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</si>
  <si>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</si>
  <si>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</si>
  <si>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</si>
  <si>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</si>
  <si>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</si>
  <si>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</si>
  <si>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</si>
  <si>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</si>
  <si>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</si>
  <si>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</si>
  <si>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</si>
  <si>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</si>
  <si>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</si>
  <si>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</si>
  <si>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</si>
  <si>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</si>
  <si>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</si>
  <si>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</si>
  <si>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</si>
  <si>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</si>
  <si>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</si>
  <si>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</si>
  <si>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</si>
  <si>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</si>
  <si>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</si>
  <si>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</si>
  <si>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</si>
  <si>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</si>
  <si>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</si>
  <si>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</si>
  <si>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</si>
  <si>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</si>
  <si>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</si>
  <si>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</si>
  <si>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</si>
  <si>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</si>
  <si>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</si>
  <si>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</si>
  <si>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</si>
  <si>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</si>
  <si>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</si>
  <si>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</si>
  <si>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</si>
  <si>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</si>
  <si>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</si>
  <si>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</si>
  <si>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</si>
  <si>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</si>
  <si>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</si>
  <si>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</si>
  <si>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</si>
  <si>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</si>
  <si>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</si>
  <si>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</si>
  <si>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</si>
  <si>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</si>
  <si>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</si>
  <si>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</si>
  <si>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</si>
  <si>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</si>
  <si>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</si>
  <si>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</si>
  <si>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</si>
  <si>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</si>
  <si>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</si>
  <si>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</si>
  <si>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</si>
  <si>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</si>
  <si>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</si>
  <si>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</si>
  <si>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</si>
  <si>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</si>
  <si>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</si>
  <si>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</si>
  <si>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</si>
  <si>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</si>
  <si>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</si>
  <si>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</si>
  <si>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</si>
  <si>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</si>
  <si>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</si>
  <si>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</si>
  <si>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</si>
  <si>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</si>
  <si>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</si>
  <si>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</si>
  <si>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</si>
  <si>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</si>
  <si>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</si>
  <si>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</si>
  <si>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</si>
  <si>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</si>
  <si>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</si>
  <si>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</si>
  <si>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</si>
  <si>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</si>
  <si>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</si>
  <si>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</si>
  <si>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</si>
  <si>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</si>
  <si>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</si>
  <si>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</si>
  <si>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</si>
  <si>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</si>
  <si>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</si>
  <si>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</si>
  <si>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</si>
  <si>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</si>
  <si>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</si>
  <si>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</si>
  <si>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</si>
  <si>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</si>
  <si>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</si>
  <si>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</si>
  <si>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</si>
  <si>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</si>
  <si>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</si>
  <si>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</si>
  <si>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</si>
  <si>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</si>
  <si>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</si>
  <si>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</si>
  <si>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</si>
  <si>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</si>
  <si>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</si>
  <si>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</si>
  <si>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</si>
  <si>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</si>
  <si>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</si>
  <si>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</si>
  <si>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</si>
  <si>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</si>
  <si>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</si>
  <si>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</si>
  <si>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</si>
  <si>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</si>
  <si>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</si>
  <si>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</si>
  <si>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</si>
  <si>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</si>
  <si>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</si>
  <si>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</si>
  <si>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</si>
  <si>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</si>
  <si>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</si>
  <si>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</si>
  <si>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</si>
  <si>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</si>
  <si>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</si>
  <si>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</si>
  <si>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</si>
  <si>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</si>
  <si>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</si>
  <si>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</si>
  <si>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</si>
  <si>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</si>
  <si>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</si>
  <si>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</si>
  <si>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</si>
  <si>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</si>
  <si>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</si>
  <si>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</si>
  <si>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</si>
  <si>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</si>
  <si>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</si>
  <si>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</si>
  <si>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</si>
  <si>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</si>
  <si>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</si>
  <si>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</si>
  <si>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</si>
  <si>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</si>
  <si>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</si>
  <si>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</si>
  <si>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</si>
  <si>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</si>
  <si>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</si>
  <si>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</si>
  <si>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</si>
  <si>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</si>
  <si>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</si>
  <si>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</si>
  <si>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</si>
  <si>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</si>
  <si>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</si>
  <si>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</si>
  <si>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</si>
  <si>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</si>
  <si>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</si>
  <si>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</si>
  <si>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</si>
  <si>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</si>
  <si>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</si>
  <si>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</si>
  <si>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</si>
  <si>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</si>
  <si>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</si>
  <si>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</si>
  <si>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</si>
  <si>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</si>
  <si>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</si>
  <si>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</si>
  <si>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</si>
  <si>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</si>
  <si>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</si>
  <si>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</si>
  <si>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</si>
  <si>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</si>
  <si>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</si>
  <si>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</si>
  <si>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</si>
  <si>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</si>
  <si>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</si>
  <si>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</si>
  <si>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</si>
  <si>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</si>
  <si>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</si>
  <si>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</si>
  <si>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</si>
  <si>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</si>
  <si>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</si>
  <si>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</si>
  <si>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</si>
  <si>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</si>
  <si>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</si>
  <si>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</si>
  <si>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</si>
  <si>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</si>
  <si>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</si>
  <si>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</si>
  <si>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</si>
  <si>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</si>
  <si>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</si>
  <si>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</si>
  <si>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</si>
  <si>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</si>
  <si>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</si>
  <si>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</si>
  <si>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</si>
  <si>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</si>
  <si>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</si>
  <si>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</si>
  <si>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</si>
  <si>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</si>
  <si>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</si>
  <si>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</si>
  <si>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</si>
  <si>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</si>
  <si>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</si>
  <si>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</si>
  <si>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</si>
  <si>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</si>
  <si>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</si>
  <si>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</si>
  <si>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</si>
  <si>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</si>
  <si>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</si>
  <si>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</si>
  <si>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</si>
  <si>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</si>
  <si>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</si>
  <si>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</si>
  <si>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</si>
  <si>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</si>
  <si>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</si>
  <si>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</si>
  <si>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</si>
  <si>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</si>
  <si>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</si>
  <si>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</si>
  <si>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</si>
  <si>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</si>
  <si>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</si>
  <si>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</si>
  <si>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</si>
  <si>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</si>
  <si>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</si>
  <si>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</si>
  <si>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</si>
  <si>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</si>
  <si>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</si>
  <si>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</si>
  <si>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</si>
  <si>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</si>
  <si>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</si>
  <si>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</si>
  <si>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</si>
  <si>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</si>
  <si>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</si>
  <si>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</si>
  <si>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</si>
  <si>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</si>
  <si>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</si>
  <si>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</si>
  <si>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</si>
  <si>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</si>
  <si>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</si>
  <si>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</si>
  <si>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</si>
  <si>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</si>
  <si>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</si>
  <si>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</si>
  <si>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</si>
  <si>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</si>
  <si>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</si>
  <si>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</si>
  <si>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</si>
  <si>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</si>
  <si>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</si>
  <si>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</si>
  <si>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</si>
  <si>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</si>
  <si>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</si>
  <si>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</si>
  <si>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</si>
  <si>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</si>
  <si>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</si>
  <si>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</si>
  <si>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</si>
  <si>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</si>
  <si>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</si>
  <si>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</si>
  <si>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</si>
  <si>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</si>
  <si>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</si>
  <si>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</si>
  <si>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</si>
  <si>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</si>
  <si>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</si>
  <si>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</si>
  <si>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</si>
  <si>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</si>
  <si>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</si>
  <si>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</si>
  <si>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</si>
  <si>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</si>
  <si>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</si>
  <si>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</si>
  <si>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</si>
  <si>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</si>
  <si>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</si>
  <si>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</si>
  <si>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</si>
  <si>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</si>
  <si>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</si>
  <si>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</si>
  <si>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</si>
  <si>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</si>
  <si>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</si>
  <si>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</si>
  <si>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</si>
  <si>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</si>
  <si>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</si>
  <si>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</si>
  <si>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</si>
  <si>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</si>
  <si>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</si>
  <si>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</si>
  <si>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</si>
  <si>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</si>
  <si>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</si>
  <si>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</si>
  <si>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</si>
  <si>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</si>
  <si>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</si>
  <si>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</si>
  <si>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</si>
  <si>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</si>
  <si>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</si>
  <si>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</si>
  <si>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</si>
  <si>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</si>
  <si>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</si>
  <si>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</si>
  <si>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</si>
  <si>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</si>
  <si>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</si>
  <si>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</si>
  <si>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</si>
  <si>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</si>
  <si>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</si>
  <si>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</si>
  <si>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</si>
  <si>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</si>
  <si>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</si>
  <si>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</si>
  <si>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</si>
  <si>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</si>
  <si>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</si>
  <si>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</si>
  <si>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</si>
  <si>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</si>
  <si>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</si>
  <si>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</si>
  <si>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</si>
  <si>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</si>
  <si>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</si>
  <si>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</si>
  <si>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</si>
  <si>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</si>
  <si>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</si>
  <si>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</si>
  <si>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</si>
  <si>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</si>
  <si>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</si>
  <si>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</si>
  <si>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</si>
  <si>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</si>
  <si>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</si>
  <si>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</si>
  <si>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</si>
  <si>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</si>
  <si>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</si>
  <si>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</si>
  <si>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</si>
  <si>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</si>
  <si>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</si>
  <si>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</si>
  <si>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</si>
  <si>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</si>
  <si>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</si>
  <si>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</si>
  <si>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</si>
  <si>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</si>
  <si>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</si>
  <si>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</si>
  <si>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</si>
  <si>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</si>
  <si>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</si>
  <si>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</si>
  <si>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</si>
  <si>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</si>
  <si>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</si>
  <si>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</si>
  <si>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</si>
  <si>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</si>
  <si>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</si>
  <si>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</si>
  <si>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</si>
  <si>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</si>
  <si>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</si>
  <si>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</si>
  <si>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</si>
  <si>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</si>
  <si>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</si>
  <si>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</si>
  <si>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</si>
  <si>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</si>
  <si>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</si>
  <si>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</si>
  <si>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</si>
  <si>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</si>
  <si>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</si>
  <si>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</si>
  <si>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</si>
  <si>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</si>
  <si>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</si>
  <si>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</si>
  <si>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</si>
  <si>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</si>
  <si>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</si>
  <si>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</si>
  <si>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</si>
  <si>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</si>
  <si>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</si>
  <si>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</si>
  <si>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</si>
  <si>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</si>
  <si>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</si>
  <si>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</si>
  <si>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</si>
  <si>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</si>
  <si>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</si>
  <si>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</si>
  <si>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</si>
  <si>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</si>
  <si>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</si>
  <si>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</si>
  <si>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</si>
  <si>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</si>
  <si>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</si>
  <si>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</si>
  <si>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</si>
  <si>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</si>
  <si>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</si>
  <si>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</si>
  <si>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</si>
  <si>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</si>
  <si>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</si>
  <si>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</si>
  <si>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</si>
  <si>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</si>
  <si>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</si>
  <si>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</si>
  <si>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</si>
  <si>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</si>
  <si>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</si>
  <si>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</si>
  <si>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</si>
  <si>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</si>
  <si>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</si>
  <si>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</si>
  <si>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</si>
  <si>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</si>
  <si>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</si>
  <si>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</si>
  <si>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</si>
  <si>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</si>
  <si>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</si>
  <si>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</si>
  <si>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</si>
  <si>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</si>
  <si>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</si>
  <si>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</si>
  <si>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</si>
  <si>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</si>
  <si>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</si>
  <si>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</si>
  <si>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</si>
  <si>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</si>
  <si>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</si>
  <si>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</si>
  <si>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</si>
  <si>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</si>
  <si>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</si>
  <si>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</si>
  <si>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</si>
  <si>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</si>
  <si>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</si>
  <si>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</si>
  <si>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</si>
  <si>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</si>
  <si>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</si>
  <si>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</si>
  <si>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</si>
  <si>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</si>
  <si>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</si>
  <si>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</si>
  <si>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</si>
  <si>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</si>
  <si>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</si>
  <si>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</si>
  <si>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</si>
  <si>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</si>
  <si>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</si>
  <si>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</si>
  <si>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</si>
  <si>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</si>
  <si>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</si>
  <si>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</si>
  <si>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</si>
  <si>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</si>
  <si>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</si>
  <si>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</si>
  <si>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</si>
  <si>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</si>
  <si>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</si>
  <si>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</si>
  <si>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</si>
  <si>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</si>
  <si>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</si>
  <si>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</si>
  <si>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</si>
  <si>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</si>
  <si>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</si>
  <si>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</si>
  <si>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</si>
  <si>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</si>
  <si>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</si>
  <si>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</si>
  <si>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</si>
  <si>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</si>
  <si>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</si>
  <si>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</si>
  <si>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</si>
  <si>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</si>
  <si>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</si>
  <si>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</si>
  <si>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</si>
  <si>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</si>
  <si>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</si>
  <si>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</si>
  <si>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</si>
  <si>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</si>
  <si>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</si>
  <si>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</si>
  <si>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</si>
  <si>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</si>
  <si>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</si>
  <si>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</si>
  <si>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</si>
  <si>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</si>
  <si>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</si>
  <si>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</si>
  <si>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</si>
  <si>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</si>
  <si>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</si>
  <si>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</si>
  <si>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</si>
  <si>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</si>
  <si>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</si>
  <si>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</si>
  <si>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</si>
  <si>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</si>
  <si>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</si>
  <si>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</si>
  <si>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</si>
  <si>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</si>
  <si>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</si>
  <si>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</si>
  <si>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</si>
  <si>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</si>
  <si>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</si>
  <si>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</si>
  <si>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</si>
  <si>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</si>
  <si>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</si>
  <si>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</si>
  <si>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</si>
  <si>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</si>
  <si>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</si>
  <si>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</si>
  <si>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</si>
  <si>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</si>
  <si>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</si>
  <si>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</si>
  <si>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</si>
  <si>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</si>
  <si>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</si>
  <si>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</si>
  <si>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</si>
  <si>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</si>
  <si>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</si>
  <si>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</si>
  <si>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</si>
  <si>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</si>
  <si>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</si>
  <si>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</si>
  <si>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</si>
  <si>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</si>
  <si>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</si>
  <si>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</si>
  <si>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</si>
  <si>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</si>
  <si>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</si>
  <si>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</si>
  <si>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</si>
  <si>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</si>
  <si>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</si>
  <si>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</si>
  <si>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</si>
  <si>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</si>
  <si>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</si>
  <si>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</si>
  <si>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</si>
  <si>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</si>
  <si>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</si>
  <si>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</si>
  <si>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</si>
  <si>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</si>
  <si>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</si>
  <si>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</si>
  <si>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</si>
  <si>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</si>
  <si>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</si>
  <si>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</si>
  <si>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</si>
  <si>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</si>
  <si>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</si>
  <si>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</si>
  <si>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</si>
  <si>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</si>
  <si>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</si>
  <si>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</si>
  <si>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</si>
  <si>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</si>
  <si>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</si>
  <si>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</si>
  <si>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</si>
  <si>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</si>
  <si>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</si>
  <si>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</si>
  <si>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</si>
  <si>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</si>
  <si>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</si>
  <si>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</si>
  <si>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</si>
  <si>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</si>
  <si>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</si>
  <si>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</si>
  <si>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</si>
  <si>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</si>
  <si>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</si>
  <si>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</si>
  <si>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</si>
  <si>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</si>
  <si>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</si>
  <si>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</si>
  <si>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</si>
  <si>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</si>
  <si>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</si>
  <si>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</si>
  <si>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</si>
  <si>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</si>
  <si>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</si>
  <si>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</si>
  <si>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</si>
  <si>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</si>
  <si>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</si>
  <si>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</si>
  <si>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</si>
  <si>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</si>
  <si>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</si>
  <si>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</si>
  <si>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</si>
  <si>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12009</t>
  </si>
  <si>
    <t>DUFFEL</t>
  </si>
  <si>
    <t>Mestbank (maart 2019)</t>
  </si>
  <si>
    <t>Fluvius (februari 2019)</t>
  </si>
  <si>
    <t>referentietaak LNE (2017); Jaarverslag De Lijn (2018)</t>
  </si>
  <si>
    <t>VEA (30 april 2019)</t>
  </si>
  <si>
    <t>VEA (mei 2018)</t>
  </si>
  <si>
    <t>VEA (mei 2019)</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</si>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</sst>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116180.98384732667</c:v>
                </c:pt>
                <c:pt idx="1">
                  <c:v>85583.7416704879</c:v>
                </c:pt>
                <c:pt idx="2">
                  <c:v>1256.1420000000001</c:v>
                </c:pt>
                <c:pt idx="3">
                  <c:v>229790.33665494042</c:v>
                </c:pt>
                <c:pt idx="4">
                  <c:v>456644.97865323577</c:v>
                </c:pt>
                <c:pt idx="5">
                  <c:v>56237.805613761659</c:v>
                </c:pt>
                <c:pt idx="6">
                  <c:v>1287.9825148133384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09312"/>
        <c:axId val="182110848"/>
      </c:barChart>
      <c:catAx>
        <c:axId val="182109312"/>
        <c:scaling>
          <c:orientation val="minMax"/>
        </c:scaling>
        <c:axPos val="b"/>
        <c:numFmt formatCode="General" sourceLinked="0"/>
        <c:tickLblPos val="nextTo"/>
        <c:crossAx val="182110848"/>
        <c:crosses val="autoZero"/>
        <c:auto val="1"/>
        <c:lblAlgn val="ctr"/>
        <c:lblOffset val="100"/>
      </c:catAx>
      <c:valAx>
        <c:axId val="182110848"/>
        <c:scaling>
          <c:orientation val="minMax"/>
        </c:scaling>
        <c:axPos val="l"/>
        <c:majorGridlines/>
        <c:numFmt formatCode="#,##0" sourceLinked="1"/>
        <c:tickLblPos val="nextTo"/>
        <c:crossAx val="182109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116180.98384732667</c:v>
                </c:pt>
                <c:pt idx="1">
                  <c:v>85583.7416704879</c:v>
                </c:pt>
                <c:pt idx="2">
                  <c:v>1256.1420000000001</c:v>
                </c:pt>
                <c:pt idx="3">
                  <c:v>229790.33665494042</c:v>
                </c:pt>
                <c:pt idx="4">
                  <c:v>456644.97865323577</c:v>
                </c:pt>
                <c:pt idx="5">
                  <c:v>56237.805613761659</c:v>
                </c:pt>
                <c:pt idx="6">
                  <c:v>1287.9825148133384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22117.154872956831</c:v>
                </c:pt>
                <c:pt idx="1">
                  <c:v>16306.879848480776</c:v>
                </c:pt>
                <c:pt idx="2">
                  <c:v>275.57601468289965</c:v>
                </c:pt>
                <c:pt idx="3">
                  <c:v>54275.048326424039</c:v>
                </c:pt>
                <c:pt idx="4">
                  <c:v>94652.340579666779</c:v>
                </c:pt>
                <c:pt idx="5">
                  <c:v>13987.356250960873</c:v>
                </c:pt>
                <c:pt idx="6">
                  <c:v>325.78420906906041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22117.154872956831</c:v>
                </c:pt>
                <c:pt idx="1">
                  <c:v>16306.879848480776</c:v>
                </c:pt>
                <c:pt idx="2">
                  <c:v>275.57601468289965</c:v>
                </c:pt>
                <c:pt idx="3">
                  <c:v>54275.048326424039</c:v>
                </c:pt>
                <c:pt idx="4">
                  <c:v>94652.340579666779</c:v>
                </c:pt>
                <c:pt idx="5">
                  <c:v>13987.356250960873</c:v>
                </c:pt>
                <c:pt idx="6">
                  <c:v>325.78420906906041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0.21938285216392706</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0.21938285216392706</v>
      </c>
      <c r="C29" s="528">
        <f ca="1">'EF ele_warmte'!B22</f>
        <v>0.23764705882352949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7201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710.83</v>
      </c>
    </row>
    <row r="15" spans="1:6">
      <c r="A15" s="348" t="s">
        <v>183</v>
      </c>
      <c r="B15" s="334">
        <v>3</v>
      </c>
    </row>
    <row r="16" spans="1:6">
      <c r="A16" s="348" t="s">
        <v>6</v>
      </c>
      <c r="B16" s="334">
        <v>149</v>
      </c>
    </row>
    <row r="17" spans="1:6">
      <c r="A17" s="348" t="s">
        <v>7</v>
      </c>
      <c r="B17" s="334">
        <v>79</v>
      </c>
    </row>
    <row r="18" spans="1:6">
      <c r="A18" s="348" t="s">
        <v>8</v>
      </c>
      <c r="B18" s="334">
        <v>130</v>
      </c>
    </row>
    <row r="19" spans="1:6">
      <c r="A19" s="348" t="s">
        <v>9</v>
      </c>
      <c r="B19" s="334">
        <v>107</v>
      </c>
    </row>
    <row r="20" spans="1:6">
      <c r="A20" s="348" t="s">
        <v>10</v>
      </c>
      <c r="B20" s="334">
        <v>136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177</v>
      </c>
    </row>
    <row r="27" spans="1:6">
      <c r="A27" s="348" t="s">
        <v>17</v>
      </c>
      <c r="B27" s="334">
        <v>8</v>
      </c>
    </row>
    <row r="28" spans="1:6" s="356" customFormat="1">
      <c r="A28" s="355" t="s">
        <v>18</v>
      </c>
      <c r="B28" s="355">
        <v>200</v>
      </c>
    </row>
    <row r="29" spans="1:6">
      <c r="A29" s="355" t="s">
        <v>713</v>
      </c>
      <c r="B29" s="355">
        <v>77</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2328.415</v>
      </c>
    </row>
    <row r="37" spans="1:6">
      <c r="A37" s="348" t="s">
        <v>24</v>
      </c>
      <c r="B37" s="348" t="s">
        <v>27</v>
      </c>
      <c r="C37" s="334">
        <v>0</v>
      </c>
      <c r="D37" s="334">
        <v>0</v>
      </c>
      <c r="E37" s="334">
        <v>0</v>
      </c>
      <c r="F37" s="334">
        <v>0</v>
      </c>
    </row>
    <row r="38" spans="1:6">
      <c r="A38" s="348" t="s">
        <v>24</v>
      </c>
      <c r="B38" s="348" t="s">
        <v>28</v>
      </c>
      <c r="C38" s="334">
        <v>1</v>
      </c>
      <c r="D38" s="334">
        <v>51955113.100000001</v>
      </c>
      <c r="E38" s="334">
        <v>2</v>
      </c>
      <c r="F38" s="334">
        <v>1841245.956</v>
      </c>
    </row>
    <row r="39" spans="1:6">
      <c r="A39" s="348" t="s">
        <v>29</v>
      </c>
      <c r="B39" s="348" t="s">
        <v>30</v>
      </c>
      <c r="C39" s="334">
        <v>5764</v>
      </c>
      <c r="D39" s="334">
        <v>84941364.930000007</v>
      </c>
      <c r="E39" s="334">
        <v>7219</v>
      </c>
      <c r="F39" s="334">
        <v>24547089.5</v>
      </c>
    </row>
    <row r="40" spans="1:6">
      <c r="A40" s="348" t="s">
        <v>29</v>
      </c>
      <c r="B40" s="348" t="s">
        <v>28</v>
      </c>
      <c r="C40" s="334">
        <v>0</v>
      </c>
      <c r="D40" s="334">
        <v>0</v>
      </c>
      <c r="E40" s="334">
        <v>0</v>
      </c>
      <c r="F40" s="334">
        <v>0</v>
      </c>
    </row>
    <row r="41" spans="1:6">
      <c r="A41" s="348" t="s">
        <v>31</v>
      </c>
      <c r="B41" s="348" t="s">
        <v>32</v>
      </c>
      <c r="C41" s="334">
        <v>40</v>
      </c>
      <c r="D41" s="334">
        <v>1368011.8319999999</v>
      </c>
      <c r="E41" s="334">
        <v>72</v>
      </c>
      <c r="F41" s="334">
        <v>753331.57299999997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236761.94899999999</v>
      </c>
      <c r="E44" s="334">
        <v>11</v>
      </c>
      <c r="F44" s="334">
        <v>530169.201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6</v>
      </c>
      <c r="D47" s="334">
        <v>97208.684999999998</v>
      </c>
      <c r="E47" s="334">
        <v>7</v>
      </c>
      <c r="F47" s="334">
        <v>719749.86800000002</v>
      </c>
    </row>
    <row r="48" spans="1:6">
      <c r="A48" s="348" t="s">
        <v>31</v>
      </c>
      <c r="B48" s="348" t="s">
        <v>28</v>
      </c>
      <c r="C48" s="334">
        <v>24</v>
      </c>
      <c r="D48" s="334">
        <v>393543815.60000002</v>
      </c>
      <c r="E48" s="334">
        <v>34</v>
      </c>
      <c r="F48" s="334">
        <v>78326664.370000005</v>
      </c>
    </row>
    <row r="49" spans="1:6">
      <c r="A49" s="348" t="s">
        <v>31</v>
      </c>
      <c r="B49" s="348" t="s">
        <v>39</v>
      </c>
      <c r="C49" s="334">
        <v>0</v>
      </c>
      <c r="D49" s="334">
        <v>0</v>
      </c>
      <c r="E49" s="334">
        <v>0</v>
      </c>
      <c r="F49" s="334">
        <v>0</v>
      </c>
    </row>
    <row r="50" spans="1:6">
      <c r="A50" s="348" t="s">
        <v>31</v>
      </c>
      <c r="B50" s="348" t="s">
        <v>40</v>
      </c>
      <c r="C50" s="334">
        <v>5</v>
      </c>
      <c r="D50" s="334">
        <v>75495.154999999999</v>
      </c>
      <c r="E50" s="334">
        <v>6</v>
      </c>
      <c r="F50" s="334">
        <v>350979.163</v>
      </c>
    </row>
    <row r="51" spans="1:6">
      <c r="A51" s="348" t="s">
        <v>41</v>
      </c>
      <c r="B51" s="348" t="s">
        <v>42</v>
      </c>
      <c r="C51" s="334">
        <v>32</v>
      </c>
      <c r="D51" s="334">
        <v>315415819.89999998</v>
      </c>
      <c r="E51" s="334">
        <v>73</v>
      </c>
      <c r="F51" s="334">
        <v>11950788.060000001</v>
      </c>
    </row>
    <row r="52" spans="1:6">
      <c r="A52" s="348" t="s">
        <v>41</v>
      </c>
      <c r="B52" s="348" t="s">
        <v>28</v>
      </c>
      <c r="C52" s="334">
        <v>4</v>
      </c>
      <c r="D52" s="334">
        <v>11599012.880000001</v>
      </c>
      <c r="E52" s="334">
        <v>9</v>
      </c>
      <c r="F52" s="334">
        <v>154870.59899999999</v>
      </c>
    </row>
    <row r="53" spans="1:6">
      <c r="A53" s="348" t="s">
        <v>43</v>
      </c>
      <c r="B53" s="348" t="s">
        <v>44</v>
      </c>
      <c r="C53" s="334">
        <v>132</v>
      </c>
      <c r="D53" s="334">
        <v>2355703.7769999998</v>
      </c>
      <c r="E53" s="334">
        <v>249</v>
      </c>
      <c r="F53" s="334">
        <v>740726.73400000005</v>
      </c>
    </row>
    <row r="54" spans="1:6">
      <c r="A54" s="348" t="s">
        <v>45</v>
      </c>
      <c r="B54" s="348" t="s">
        <v>46</v>
      </c>
      <c r="C54" s="334">
        <v>0</v>
      </c>
      <c r="D54" s="334">
        <v>0</v>
      </c>
      <c r="E54" s="334">
        <v>1</v>
      </c>
      <c r="F54" s="334">
        <v>1256142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47</v>
      </c>
      <c r="D57" s="334">
        <v>1068728.031</v>
      </c>
      <c r="E57" s="334">
        <v>78</v>
      </c>
      <c r="F57" s="334">
        <v>12962905.300000001</v>
      </c>
    </row>
    <row r="58" spans="1:6">
      <c r="A58" s="348" t="s">
        <v>48</v>
      </c>
      <c r="B58" s="348" t="s">
        <v>50</v>
      </c>
      <c r="C58" s="334">
        <v>50</v>
      </c>
      <c r="D58" s="334">
        <v>17243726.629999999</v>
      </c>
      <c r="E58" s="334">
        <v>60</v>
      </c>
      <c r="F58" s="334">
        <v>7362092.1849999996</v>
      </c>
    </row>
    <row r="59" spans="1:6">
      <c r="A59" s="348" t="s">
        <v>48</v>
      </c>
      <c r="B59" s="348" t="s">
        <v>51</v>
      </c>
      <c r="C59" s="334">
        <v>67</v>
      </c>
      <c r="D59" s="334">
        <v>1470957.9140000001</v>
      </c>
      <c r="E59" s="334">
        <v>120</v>
      </c>
      <c r="F59" s="334">
        <v>3032375.3480000002</v>
      </c>
    </row>
    <row r="60" spans="1:6">
      <c r="A60" s="348" t="s">
        <v>48</v>
      </c>
      <c r="B60" s="348" t="s">
        <v>52</v>
      </c>
      <c r="C60" s="334">
        <v>33</v>
      </c>
      <c r="D60" s="334">
        <v>1633616.2890000001</v>
      </c>
      <c r="E60" s="334">
        <v>47</v>
      </c>
      <c r="F60" s="334">
        <v>1267369.568</v>
      </c>
    </row>
    <row r="61" spans="1:6">
      <c r="A61" s="348" t="s">
        <v>48</v>
      </c>
      <c r="B61" s="348" t="s">
        <v>53</v>
      </c>
      <c r="C61" s="334">
        <v>148</v>
      </c>
      <c r="D61" s="334">
        <v>10186636.65</v>
      </c>
      <c r="E61" s="334">
        <v>318</v>
      </c>
      <c r="F61" s="334">
        <v>4495931.8859999999</v>
      </c>
    </row>
    <row r="62" spans="1:6">
      <c r="A62" s="348" t="s">
        <v>48</v>
      </c>
      <c r="B62" s="348" t="s">
        <v>54</v>
      </c>
      <c r="C62" s="334">
        <v>7</v>
      </c>
      <c r="D62" s="334">
        <v>944555.84299999999</v>
      </c>
      <c r="E62" s="334">
        <v>7</v>
      </c>
      <c r="F62" s="334">
        <v>411012.09700000001</v>
      </c>
    </row>
    <row r="63" spans="1:6">
      <c r="A63" s="348" t="s">
        <v>48</v>
      </c>
      <c r="B63" s="348" t="s">
        <v>28</v>
      </c>
      <c r="C63" s="334">
        <v>83</v>
      </c>
      <c r="D63" s="334">
        <v>9901349.7249999996</v>
      </c>
      <c r="E63" s="334">
        <v>98</v>
      </c>
      <c r="F63" s="334">
        <v>4256693.0269999998</v>
      </c>
    </row>
    <row r="64" spans="1:6">
      <c r="A64" s="348" t="s">
        <v>55</v>
      </c>
      <c r="B64" s="348" t="s">
        <v>56</v>
      </c>
      <c r="C64" s="334">
        <v>0</v>
      </c>
      <c r="D64" s="334">
        <v>0</v>
      </c>
      <c r="E64" s="334">
        <v>0</v>
      </c>
      <c r="F64" s="334">
        <v>0</v>
      </c>
    </row>
    <row r="65" spans="1:6">
      <c r="A65" s="348" t="s">
        <v>55</v>
      </c>
      <c r="B65" s="348" t="s">
        <v>28</v>
      </c>
      <c r="C65" s="334">
        <v>3</v>
      </c>
      <c r="D65" s="334">
        <v>94187.538</v>
      </c>
      <c r="E65" s="334">
        <v>3</v>
      </c>
      <c r="F65" s="334">
        <v>11211.975</v>
      </c>
    </row>
    <row r="66" spans="1:6">
      <c r="A66" s="348" t="s">
        <v>55</v>
      </c>
      <c r="B66" s="348" t="s">
        <v>57</v>
      </c>
      <c r="C66" s="334">
        <v>0</v>
      </c>
      <c r="D66" s="334">
        <v>0</v>
      </c>
      <c r="E66" s="334">
        <v>4</v>
      </c>
      <c r="F66" s="334">
        <v>36413.748</v>
      </c>
    </row>
    <row r="67" spans="1:6">
      <c r="A67" s="355" t="s">
        <v>55</v>
      </c>
      <c r="B67" s="355" t="s">
        <v>58</v>
      </c>
      <c r="C67" s="334">
        <v>0</v>
      </c>
      <c r="D67" s="334">
        <v>0</v>
      </c>
      <c r="E67" s="334">
        <v>0</v>
      </c>
      <c r="F67" s="334">
        <v>0</v>
      </c>
    </row>
    <row r="68" spans="1:6">
      <c r="A68" s="341" t="s">
        <v>55</v>
      </c>
      <c r="B68" s="341" t="s">
        <v>59</v>
      </c>
      <c r="C68" s="334">
        <v>0</v>
      </c>
      <c r="D68" s="334">
        <v>0</v>
      </c>
      <c r="E68" s="334">
        <v>8</v>
      </c>
      <c r="F68" s="334">
        <v>53624.881999999998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58912247</v>
      </c>
      <c r="E73" s="476"/>
    </row>
    <row r="74" spans="1:6">
      <c r="A74" s="348" t="s">
        <v>63</v>
      </c>
      <c r="B74" s="348" t="s">
        <v>651</v>
      </c>
      <c r="C74" s="1307" t="s">
        <v>653</v>
      </c>
      <c r="D74" s="476">
        <v>5391022</v>
      </c>
      <c r="E74" s="476"/>
    </row>
    <row r="75" spans="1:6">
      <c r="A75" s="348" t="s">
        <v>64</v>
      </c>
      <c r="B75" s="348" t="s">
        <v>650</v>
      </c>
      <c r="C75" s="1307" t="s">
        <v>654</v>
      </c>
      <c r="D75" s="476">
        <v>6471700</v>
      </c>
      <c r="E75" s="476"/>
    </row>
    <row r="76" spans="1:6">
      <c r="A76" s="348" t="s">
        <v>64</v>
      </c>
      <c r="B76" s="348" t="s">
        <v>651</v>
      </c>
      <c r="C76" s="1307" t="s">
        <v>655</v>
      </c>
      <c r="D76" s="476">
        <v>265218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357818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3226.8036978681826</v>
      </c>
    </row>
    <row r="92" spans="1:6">
      <c r="A92" s="341" t="s">
        <v>68</v>
      </c>
      <c r="B92" s="342">
        <v>5044.1336948368589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3973</v>
      </c>
    </row>
    <row r="98" spans="1:6">
      <c r="A98" s="348" t="s">
        <v>71</v>
      </c>
      <c r="B98" s="334">
        <v>11</v>
      </c>
    </row>
    <row r="99" spans="1:6">
      <c r="A99" s="348" t="s">
        <v>72</v>
      </c>
      <c r="B99" s="334">
        <v>28</v>
      </c>
    </row>
    <row r="100" spans="1:6">
      <c r="A100" s="348" t="s">
        <v>73</v>
      </c>
      <c r="B100" s="334">
        <v>541</v>
      </c>
    </row>
    <row r="101" spans="1:6">
      <c r="A101" s="348" t="s">
        <v>74</v>
      </c>
      <c r="B101" s="334">
        <v>56</v>
      </c>
    </row>
    <row r="102" spans="1:6">
      <c r="A102" s="348" t="s">
        <v>75</v>
      </c>
      <c r="B102" s="334">
        <v>72</v>
      </c>
    </row>
    <row r="103" spans="1:6">
      <c r="A103" s="348" t="s">
        <v>76</v>
      </c>
      <c r="B103" s="334">
        <v>142</v>
      </c>
    </row>
    <row r="104" spans="1:6">
      <c r="A104" s="348" t="s">
        <v>77</v>
      </c>
      <c r="B104" s="334">
        <v>1380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43</v>
      </c>
      <c r="C123" s="334">
        <v>75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111</v>
      </c>
    </row>
    <row r="130" spans="1:6">
      <c r="A130" s="348" t="s">
        <v>294</v>
      </c>
      <c r="B130" s="334">
        <v>2</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163401.20129253069</v>
      </c>
      <c r="C3" s="43" t="s">
        <v>169</v>
      </c>
      <c r="D3" s="43"/>
      <c r="E3" s="154"/>
      <c r="F3" s="43"/>
      <c r="G3" s="43"/>
      <c r="H3" s="43"/>
      <c r="I3" s="43"/>
      <c r="J3" s="43"/>
      <c r="K3" s="96"/>
    </row>
    <row r="4" spans="1:11">
      <c r="A4" s="383" t="s">
        <v>170</v>
      </c>
      <c r="B4" s="49">
        <f>IF(ISERROR('SEAP template'!B78+'SEAP template'!C78),0,'SEAP template'!B78+'SEAP template'!C78)</f>
        <v>102199.43739270505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22321.831764705883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0.21938285216392706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31381.238949579838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132049.76785714284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1256.1420000000001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1256.1420000000001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0.21938285216392706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275.57601468289965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24547.089499999998</v>
      </c>
      <c r="C5" s="17">
        <f>IF(ISERROR('Eigen informatie GS &amp; warmtenet'!B59),0,'Eigen informatie GS &amp; warmtenet'!B59)</f>
        <v>0</v>
      </c>
      <c r="D5" s="30">
        <f>(SUM(HH_hh_gas_kWh,HH_rest_gas_kWh)/1000)*0.902</f>
        <v>76617.111166860006</v>
      </c>
      <c r="E5" s="17">
        <f>B46*B57</f>
        <v>2411.3767039933614</v>
      </c>
      <c r="F5" s="17">
        <f>B51*B62</f>
        <v>0</v>
      </c>
      <c r="G5" s="18"/>
      <c r="H5" s="17"/>
      <c r="I5" s="17"/>
      <c r="J5" s="17">
        <f>B50*B61+C50*C61</f>
        <v>0</v>
      </c>
      <c r="K5" s="17"/>
      <c r="L5" s="17"/>
      <c r="M5" s="17"/>
      <c r="N5" s="17">
        <f>B48*B59+C48*C59</f>
        <v>8345.9471134149826</v>
      </c>
      <c r="O5" s="17">
        <f>B69*B70*B71</f>
        <v>369.01622880598791</v>
      </c>
      <c r="P5" s="17">
        <f>B77*B78*B79/1000-B77*B78*B79/1000/B80</f>
        <v>663.6394363841564</v>
      </c>
    </row>
    <row r="6" spans="1:16">
      <c r="A6" s="16" t="s">
        <v>615</v>
      </c>
      <c r="B6" s="809">
        <f>kWh_PV_kleiner_dan_10kW</f>
        <v>3226.8036978681826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27773.893197868179</v>
      </c>
      <c r="C8" s="21">
        <f>C5</f>
        <v>0</v>
      </c>
      <c r="D8" s="21">
        <f>D5</f>
        <v>76617.111166860006</v>
      </c>
      <c r="E8" s="21">
        <f>E5</f>
        <v>2411.3767039933614</v>
      </c>
      <c r="F8" s="21">
        <f>F5</f>
        <v>0</v>
      </c>
      <c r="G8" s="21"/>
      <c r="H8" s="21"/>
      <c r="I8" s="21"/>
      <c r="J8" s="21">
        <f>J5</f>
        <v>0</v>
      </c>
      <c r="K8" s="21"/>
      <c r="L8" s="21">
        <f>L5</f>
        <v>0</v>
      </c>
      <c r="M8" s="21">
        <f>M5</f>
        <v>0</v>
      </c>
      <c r="N8" s="21">
        <f>N5</f>
        <v>8345.9471134149826</v>
      </c>
      <c r="O8" s="21">
        <f>O5</f>
        <v>369.01622880598791</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0.21938285216392706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6093.1159054446143</v>
      </c>
      <c r="C12" s="23">
        <f ca="1">C10*C8</f>
        <v>0</v>
      </c>
      <c r="D12" s="23">
        <f>D8*D10</f>
        <v>15476.656455705723</v>
      </c>
      <c r="E12" s="23">
        <f>E10*E8</f>
        <v>547.38251180649308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7201</v>
      </c>
      <c r="C28" s="36"/>
      <c r="D28" s="228"/>
    </row>
    <row r="29" spans="1:7" s="15" customFormat="1">
      <c r="A29" s="230" t="s">
        <v>837</v>
      </c>
      <c r="B29" s="37">
        <f>SUM(HH_hh_gas_aantal,HH_rest_gas_aantal)</f>
        <v>5764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5764</v>
      </c>
      <c r="C32" s="167">
        <f>IF(ISERROR(B32/SUM($B$32,$B$34,$B$35,$B$36,$B$38,$B$39)*100),0,B32/SUM($B$32,$B$34,$B$35,$B$36,$B$38,$B$39)*100)</f>
        <v>80.750910619221088</v>
      </c>
      <c r="D32" s="233"/>
      <c r="G32" s="15"/>
    </row>
    <row r="33" spans="1:7">
      <c r="A33" s="171" t="s">
        <v>71</v>
      </c>
      <c r="B33" s="34" t="s">
        <v>110</v>
      </c>
      <c r="C33" s="167"/>
      <c r="D33" s="233"/>
      <c r="G33" s="15"/>
    </row>
    <row r="34" spans="1:7">
      <c r="A34" s="171" t="s">
        <v>72</v>
      </c>
      <c r="B34" s="33">
        <f>IF((($B$28-$B$32-$B$39-$B$77-$B$38)*C20/100)&lt;0,0,($B$28-$B$32-$B$39-$B$77-$B$38)*C20/100)</f>
        <v>61.555199999999992</v>
      </c>
      <c r="C34" s="167">
        <f>IF(ISERROR(B34/SUM($B$32,$B$34,$B$35,$B$36,$B$38,$B$39)*100),0,B34/SUM($B$32,$B$34,$B$35,$B$36,$B$38,$B$39)*100)</f>
        <v>0.86235920425889612</v>
      </c>
      <c r="D34" s="233"/>
      <c r="G34" s="15"/>
    </row>
    <row r="35" spans="1:7">
      <c r="A35" s="171" t="s">
        <v>73</v>
      </c>
      <c r="B35" s="33">
        <f>IF((($B$28-$B$32-$B$39-$B$77-$B$38)*C21/100)&lt;0,0,($B$28-$B$32-$B$39-$B$77-$B$38)*C21/100)</f>
        <v>1189.3344</v>
      </c>
      <c r="C35" s="167">
        <f>IF(ISERROR(B35/SUM($B$32,$B$34,$B$35,$B$36,$B$38,$B$39)*100),0,B35/SUM($B$32,$B$34,$B$35,$B$36,$B$38,$B$39)*100)</f>
        <v>16.662011768002245</v>
      </c>
      <c r="D35" s="233"/>
      <c r="G35" s="15"/>
    </row>
    <row r="36" spans="1:7">
      <c r="A36" s="171" t="s">
        <v>74</v>
      </c>
      <c r="B36" s="33">
        <f>IF((($B$28-$B$32-$B$39-$B$77-$B$38)*C22/100)&lt;0,0,($B$28-$B$32-$B$39-$B$77-$B$38)*C22/100)</f>
        <v>123.11039999999998</v>
      </c>
      <c r="C36" s="167">
        <f>IF(ISERROR(B36/SUM($B$32,$B$34,$B$35,$B$36,$B$38,$B$39)*100),0,B36/SUM($B$32,$B$34,$B$35,$B$36,$B$38,$B$39)*100)</f>
        <v>1.7247184085177922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5764</v>
      </c>
      <c r="C44" s="34" t="s">
        <v>110</v>
      </c>
      <c r="D44" s="174"/>
    </row>
    <row r="45" spans="1:7">
      <c r="A45" s="171" t="s">
        <v>71</v>
      </c>
      <c r="B45" s="33" t="str">
        <f t="shared" si="0"/>
        <v>-</v>
      </c>
      <c r="C45" s="34" t="s">
        <v>110</v>
      </c>
      <c r="D45" s="174"/>
    </row>
    <row r="46" spans="1:7">
      <c r="A46" s="171" t="s">
        <v>72</v>
      </c>
      <c r="B46" s="33">
        <f t="shared" si="0"/>
        <v>61.555199999999992</v>
      </c>
      <c r="C46" s="34" t="s">
        <v>110</v>
      </c>
      <c r="D46" s="174"/>
    </row>
    <row r="47" spans="1:7">
      <c r="A47" s="171" t="s">
        <v>73</v>
      </c>
      <c r="B47" s="33">
        <f t="shared" si="0"/>
        <v>1189.3344</v>
      </c>
      <c r="C47" s="34" t="s">
        <v>110</v>
      </c>
      <c r="D47" s="174"/>
    </row>
    <row r="48" spans="1:7">
      <c r="A48" s="171" t="s">
        <v>74</v>
      </c>
      <c r="B48" s="33">
        <f t="shared" si="0"/>
        <v>123.11039999999998</v>
      </c>
      <c r="C48" s="33">
        <f>B48*10</f>
        <v>1231.1039999999998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33788.379411000002</v>
      </c>
      <c r="C5" s="17">
        <f>IF(ISERROR('Eigen informatie GS &amp; warmtenet'!B60),0,'Eigen informatie GS &amp; warmtenet'!B60)</f>
        <v>0</v>
      </c>
      <c r="D5" s="30">
        <f>SUM(D6:D12)</f>
        <v>38289.513115964</v>
      </c>
      <c r="E5" s="17">
        <f>SUM(E6:E12)</f>
        <v>230.37749802839267</v>
      </c>
      <c r="F5" s="17">
        <f>SUM(F6:F12)</f>
        <v>4147.6804236114094</v>
      </c>
      <c r="G5" s="18"/>
      <c r="H5" s="17"/>
      <c r="I5" s="17"/>
      <c r="J5" s="17">
        <f>SUM(J6:J12)</f>
        <v>0.22821671544022806</v>
      </c>
      <c r="K5" s="17"/>
      <c r="L5" s="17"/>
      <c r="M5" s="17"/>
      <c r="N5" s="17">
        <f>SUM(N6:N12)</f>
        <v>8960.1510687174814</v>
      </c>
      <c r="O5" s="17">
        <f>B38*B39*B40</f>
        <v>9.7945215316823084</v>
      </c>
      <c r="P5" s="17">
        <f>B46*B47*B48/1000-B46*B47*B48/1000/B49</f>
        <v>157.61741491948504</v>
      </c>
      <c r="R5" s="32"/>
    </row>
    <row r="6" spans="1:18">
      <c r="A6" s="32" t="s">
        <v>53</v>
      </c>
      <c r="B6" s="37">
        <f>B26</f>
        <v>4495.9318860000003</v>
      </c>
      <c r="C6" s="33"/>
      <c r="D6" s="37">
        <f>IF(ISERROR(TER_kantoor_gas_kWh/1000),0,TER_kantoor_gas_kWh/1000)*0.902</f>
        <v>9188.3462583</v>
      </c>
      <c r="E6" s="33">
        <f>$C$26*'E Balans VL '!I12/100/3.6*1000000</f>
        <v>36.177322377313793</v>
      </c>
      <c r="F6" s="33">
        <f>$C$26*('E Balans VL '!L12+'E Balans VL '!N12)/100/3.6*1000000</f>
        <v>549.67496875273821</v>
      </c>
      <c r="G6" s="34"/>
      <c r="H6" s="33"/>
      <c r="I6" s="33"/>
      <c r="J6" s="33">
        <f>$C$26*('E Balans VL '!D12+'E Balans VL '!E12)/100/3.6*1000000</f>
        <v>0</v>
      </c>
      <c r="K6" s="33"/>
      <c r="L6" s="33"/>
      <c r="M6" s="33"/>
      <c r="N6" s="33">
        <f>$C$26*'E Balans VL '!Y12/100/3.6*1000000</f>
        <v>2.4163419880428063</v>
      </c>
      <c r="O6" s="33"/>
      <c r="P6" s="33"/>
      <c r="R6" s="32"/>
    </row>
    <row r="7" spans="1:18">
      <c r="A7" s="32" t="s">
        <v>52</v>
      </c>
      <c r="B7" s="37">
        <f t="shared" ref="B7:B12" si="0">B27</f>
        <v>1267.3695680000001</v>
      </c>
      <c r="C7" s="33"/>
      <c r="D7" s="37">
        <f>IF(ISERROR(TER_horeca_gas_kWh/1000),0,TER_horeca_gas_kWh/1000)*0.902</f>
        <v>1473.5218926780001</v>
      </c>
      <c r="E7" s="33">
        <f>$C$27*'E Balans VL '!I9/100/3.6*1000000</f>
        <v>13.60843704474677</v>
      </c>
      <c r="F7" s="33">
        <f>$C$27*('E Balans VL '!L9+'E Balans VL '!N9)/100/3.6*1000000</f>
        <v>152.43382697520133</v>
      </c>
      <c r="G7" s="34"/>
      <c r="H7" s="33"/>
      <c r="I7" s="33"/>
      <c r="J7" s="33">
        <f>$C$27*('E Balans VL '!D9+'E Balans VL '!E9)/100/3.6*1000000</f>
        <v>0</v>
      </c>
      <c r="K7" s="33"/>
      <c r="L7" s="33"/>
      <c r="M7" s="33"/>
      <c r="N7" s="33">
        <f>$C$27*'E Balans VL '!Y9/100/3.6*1000000</f>
        <v>0.19000438484216689</v>
      </c>
      <c r="O7" s="33"/>
      <c r="P7" s="33"/>
      <c r="R7" s="32"/>
    </row>
    <row r="8" spans="1:18">
      <c r="A8" s="6" t="s">
        <v>51</v>
      </c>
      <c r="B8" s="37">
        <f t="shared" si="0"/>
        <v>3032.375348</v>
      </c>
      <c r="C8" s="33"/>
      <c r="D8" s="37">
        <f>IF(ISERROR(TER_handel_gas_kWh/1000),0,TER_handel_gas_kWh/1000)*0.902</f>
        <v>1326.804038428</v>
      </c>
      <c r="E8" s="33">
        <f>$C$28*'E Balans VL '!I13/100/3.6*1000000</f>
        <v>81.379670813249675</v>
      </c>
      <c r="F8" s="33">
        <f>$C$28*('E Balans VL '!L13+'E Balans VL '!N13)/100/3.6*1000000</f>
        <v>289.38206841727407</v>
      </c>
      <c r="G8" s="34"/>
      <c r="H8" s="33"/>
      <c r="I8" s="33"/>
      <c r="J8" s="33">
        <f>$C$28*('E Balans VL '!D13+'E Balans VL '!E13)/100/3.6*1000000</f>
        <v>0</v>
      </c>
      <c r="K8" s="33"/>
      <c r="L8" s="33"/>
      <c r="M8" s="33"/>
      <c r="N8" s="33">
        <f>$C$28*'E Balans VL '!Y13/100/3.6*1000000</f>
        <v>1.2020680672238286</v>
      </c>
      <c r="O8" s="33"/>
      <c r="P8" s="33"/>
      <c r="R8" s="32"/>
    </row>
    <row r="9" spans="1:18">
      <c r="A9" s="32" t="s">
        <v>50</v>
      </c>
      <c r="B9" s="37">
        <f t="shared" si="0"/>
        <v>7362.0921849999995</v>
      </c>
      <c r="C9" s="33"/>
      <c r="D9" s="37">
        <f>IF(ISERROR(TER_gezond_gas_kWh/1000),0,TER_gezond_gas_kWh/1000)*0.902</f>
        <v>15553.841420259998</v>
      </c>
      <c r="E9" s="33">
        <f>$C$29*'E Balans VL '!I10/100/3.6*1000000</f>
        <v>13.798957956001018</v>
      </c>
      <c r="F9" s="33">
        <f>$C$29*('E Balans VL '!L10+'E Balans VL '!N10)/100/3.6*1000000</f>
        <v>605.23115152221533</v>
      </c>
      <c r="G9" s="34"/>
      <c r="H9" s="33"/>
      <c r="I9" s="33"/>
      <c r="J9" s="33">
        <f>$C$29*('E Balans VL '!D10+'E Balans VL '!E10)/100/3.6*1000000</f>
        <v>0</v>
      </c>
      <c r="K9" s="33"/>
      <c r="L9" s="33"/>
      <c r="M9" s="33"/>
      <c r="N9" s="33">
        <f>$C$29*'E Balans VL '!Y10/100/3.6*1000000</f>
        <v>57.282570109329519</v>
      </c>
      <c r="O9" s="33"/>
      <c r="P9" s="33"/>
      <c r="R9" s="32"/>
    </row>
    <row r="10" spans="1:18">
      <c r="A10" s="32" t="s">
        <v>49</v>
      </c>
      <c r="B10" s="37">
        <f t="shared" si="0"/>
        <v>12962.9053</v>
      </c>
      <c r="C10" s="33"/>
      <c r="D10" s="37">
        <f>IF(ISERROR(TER_ander_gas_kWh/1000),0,TER_ander_gas_kWh/1000)*0.902</f>
        <v>963.99268396199989</v>
      </c>
      <c r="E10" s="33">
        <f>$C$30*'E Balans VL '!I14/100/3.6*1000000</f>
        <v>19.982449871039858</v>
      </c>
      <c r="F10" s="33">
        <f>$C$30*('E Balans VL '!L14+'E Balans VL '!N14)/100/3.6*1000000</f>
        <v>2012.4946264317555</v>
      </c>
      <c r="G10" s="34"/>
      <c r="H10" s="33"/>
      <c r="I10" s="33"/>
      <c r="J10" s="33">
        <f>$C$30*('E Balans VL '!D14+'E Balans VL '!E14)/100/3.6*1000000</f>
        <v>0.22005898846890723</v>
      </c>
      <c r="K10" s="33"/>
      <c r="L10" s="33"/>
      <c r="M10" s="33"/>
      <c r="N10" s="33">
        <f>$C$30*'E Balans VL '!Y14/100/3.6*1000000</f>
        <v>8575.8426884837172</v>
      </c>
      <c r="O10" s="33"/>
      <c r="P10" s="33"/>
      <c r="R10" s="32"/>
    </row>
    <row r="11" spans="1:18">
      <c r="A11" s="32" t="s">
        <v>54</v>
      </c>
      <c r="B11" s="37">
        <f t="shared" si="0"/>
        <v>411.01209699999998</v>
      </c>
      <c r="C11" s="33"/>
      <c r="D11" s="37">
        <f>IF(ISERROR(TER_onderwijs_gas_kWh/1000),0,TER_onderwijs_gas_kWh/1000)*0.902</f>
        <v>851.98937038600002</v>
      </c>
      <c r="E11" s="33">
        <f>$C$31*'E Balans VL '!I11/100/3.6*1000000</f>
        <v>10.483615709317299</v>
      </c>
      <c r="F11" s="33">
        <f>$C$31*('E Balans VL '!L11+'E Balans VL '!N11)/100/3.6*1000000</f>
        <v>49.428073257428146</v>
      </c>
      <c r="G11" s="34"/>
      <c r="H11" s="33"/>
      <c r="I11" s="33"/>
      <c r="J11" s="33">
        <f>$C$31*('E Balans VL '!D11+'E Balans VL '!E11)/100/3.6*1000000</f>
        <v>0</v>
      </c>
      <c r="K11" s="33"/>
      <c r="L11" s="33"/>
      <c r="M11" s="33"/>
      <c r="N11" s="33">
        <f>$C$31*'E Balans VL '!Y11/100/3.6*1000000</f>
        <v>0.91408087494641843</v>
      </c>
      <c r="O11" s="33"/>
      <c r="P11" s="33"/>
      <c r="R11" s="32"/>
    </row>
    <row r="12" spans="1:18">
      <c r="A12" s="32" t="s">
        <v>259</v>
      </c>
      <c r="B12" s="37">
        <f t="shared" si="0"/>
        <v>4256.6930269999993</v>
      </c>
      <c r="C12" s="33"/>
      <c r="D12" s="37">
        <f>IF(ISERROR(TER_rest_gas_kWh/1000),0,TER_rest_gas_kWh/1000)*0.902</f>
        <v>8931.0174519499997</v>
      </c>
      <c r="E12" s="33">
        <f>$C$32*'E Balans VL '!I8/100/3.6*1000000</f>
        <v>54.94704425672429</v>
      </c>
      <c r="F12" s="33">
        <f>$C$32*('E Balans VL '!L8+'E Balans VL '!N8)/100/3.6*1000000</f>
        <v>489.0357082547967</v>
      </c>
      <c r="G12" s="34"/>
      <c r="H12" s="33"/>
      <c r="I12" s="33"/>
      <c r="J12" s="33">
        <f>$C$32*('E Balans VL '!D8+'E Balans VL '!E8)/100/3.6*1000000</f>
        <v>8.1577269713208247E-3</v>
      </c>
      <c r="K12" s="33"/>
      <c r="L12" s="33"/>
      <c r="M12" s="33"/>
      <c r="N12" s="33">
        <f>$C$32*'E Balans VL '!Y8/100/3.6*1000000</f>
        <v>322.3033148093777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33788.379411000002</v>
      </c>
      <c r="C16" s="21">
        <f t="shared" ca="1" si="1"/>
        <v>0</v>
      </c>
      <c r="D16" s="21">
        <f t="shared" ca="1" si="1"/>
        <v>38289.513115964</v>
      </c>
      <c r="E16" s="21">
        <f t="shared" si="1"/>
        <v>230.37749802839267</v>
      </c>
      <c r="F16" s="21">
        <f t="shared" ca="1" si="1"/>
        <v>4147.6804236114094</v>
      </c>
      <c r="G16" s="21">
        <f t="shared" si="1"/>
        <v>0</v>
      </c>
      <c r="H16" s="21">
        <f t="shared" si="1"/>
        <v>0</v>
      </c>
      <c r="I16" s="21">
        <f t="shared" si="1"/>
        <v>0</v>
      </c>
      <c r="J16" s="21">
        <f t="shared" si="1"/>
        <v>0.22821671544022806</v>
      </c>
      <c r="K16" s="21">
        <f t="shared" si="1"/>
        <v>0</v>
      </c>
      <c r="L16" s="21">
        <f t="shared" ca="1" si="1"/>
        <v>0</v>
      </c>
      <c r="M16" s="21">
        <f t="shared" si="1"/>
        <v>0</v>
      </c>
      <c r="N16" s="21">
        <f t="shared" ca="1" si="1"/>
        <v>8960.1510687174814</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0.21938285216392706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7412.5910451820901</v>
      </c>
      <c r="C20" s="23">
        <f t="shared" ref="C20:P20" ca="1" si="2">C16*C18</f>
        <v>0</v>
      </c>
      <c r="D20" s="23">
        <f t="shared" ca="1" si="2"/>
        <v>7734.4816494247289</v>
      </c>
      <c r="E20" s="23">
        <f t="shared" si="2"/>
        <v>52.295692052445133</v>
      </c>
      <c r="F20" s="23">
        <f t="shared" ca="1" si="2"/>
        <v>1107.4306731042464</v>
      </c>
      <c r="G20" s="23">
        <f t="shared" si="2"/>
        <v>0</v>
      </c>
      <c r="H20" s="23">
        <f t="shared" si="2"/>
        <v>0</v>
      </c>
      <c r="I20" s="23">
        <f t="shared" si="2"/>
        <v>0</v>
      </c>
      <c r="J20" s="23">
        <f t="shared" si="2"/>
        <v>8.0788717265840734E-2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4495.9318860000003</v>
      </c>
      <c r="C26" s="39">
        <f>IF(ISERROR(B26*3.6/1000000/'E Balans VL '!Z12*100),0,B26*3.6/1000000/'E Balans VL '!Z12*100)</f>
        <v>9.5377081656160254E-2</v>
      </c>
      <c r="D26" s="237" t="s">
        <v>716</v>
      </c>
      <c r="F26" s="6"/>
    </row>
    <row r="27" spans="1:18">
      <c r="A27" s="231" t="s">
        <v>52</v>
      </c>
      <c r="B27" s="33">
        <f>IF(ISERROR(TER_horeca_ele_kWh/1000),0,TER_horeca_ele_kWh/1000)</f>
        <v>1267.3695680000001</v>
      </c>
      <c r="C27" s="39">
        <f>IF(ISERROR(B27*3.6/1000000/'E Balans VL '!Z9*100),0,B27*3.6/1000000/'E Balans VL '!Z9*100)</f>
        <v>9.544415547202903E-2</v>
      </c>
      <c r="D27" s="237" t="s">
        <v>716</v>
      </c>
      <c r="F27" s="6"/>
    </row>
    <row r="28" spans="1:18">
      <c r="A28" s="171" t="s">
        <v>51</v>
      </c>
      <c r="B28" s="33">
        <f>IF(ISERROR(TER_handel_ele_kWh/1000),0,TER_handel_ele_kWh/1000)</f>
        <v>3032.375348</v>
      </c>
      <c r="C28" s="39">
        <f>IF(ISERROR(B28*3.6/1000000/'E Balans VL '!Z13*100),0,B28*3.6/1000000/'E Balans VL '!Z13*100)</f>
        <v>8.801911180827332E-2</v>
      </c>
      <c r="D28" s="237" t="s">
        <v>716</v>
      </c>
      <c r="F28" s="6"/>
    </row>
    <row r="29" spans="1:18">
      <c r="A29" s="231" t="s">
        <v>50</v>
      </c>
      <c r="B29" s="33">
        <f>IF(ISERROR(TER_gezond_ele_kWh/1000),0,TER_gezond_ele_kWh/1000)</f>
        <v>7362.0921849999995</v>
      </c>
      <c r="C29" s="39">
        <f>IF(ISERROR(B29*3.6/1000000/'E Balans VL '!Z10*100),0,B29*3.6/1000000/'E Balans VL '!Z10*100)</f>
        <v>0.74247577650976804</v>
      </c>
      <c r="D29" s="237" t="s">
        <v>716</v>
      </c>
      <c r="F29" s="6"/>
    </row>
    <row r="30" spans="1:18">
      <c r="A30" s="231" t="s">
        <v>49</v>
      </c>
      <c r="B30" s="33">
        <f>IF(ISERROR(TER_ander_ele_kWh/1000),0,TER_ander_ele_kWh/1000)</f>
        <v>12962.9053</v>
      </c>
      <c r="C30" s="39">
        <f>IF(ISERROR(B30*3.6/1000000/'E Balans VL '!Z14*100),0,B30*3.6/1000000/'E Balans VL '!Z14*100)</f>
        <v>0.94063562596898831</v>
      </c>
      <c r="D30" s="237" t="s">
        <v>716</v>
      </c>
      <c r="F30" s="6"/>
    </row>
    <row r="31" spans="1:18">
      <c r="A31" s="231" t="s">
        <v>54</v>
      </c>
      <c r="B31" s="33">
        <f>IF(ISERROR(TER_onderwijs_ele_kWh/1000),0,TER_onderwijs_ele_kWh/1000)</f>
        <v>411.01209699999998</v>
      </c>
      <c r="C31" s="39">
        <f>IF(ISERROR(B31*3.6/1000000/'E Balans VL '!Z11*100),0,B31*3.6/1000000/'E Balans VL '!Z11*100)</f>
        <v>0.11715518483693418</v>
      </c>
      <c r="D31" s="237" t="s">
        <v>716</v>
      </c>
    </row>
    <row r="32" spans="1:18">
      <c r="A32" s="231" t="s">
        <v>259</v>
      </c>
      <c r="B32" s="33">
        <f>IF(ISERROR(TER_rest_ele_kWh/1000),0,TER_rest_ele_kWh/1000)</f>
        <v>4256.6930269999993</v>
      </c>
      <c r="C32" s="39">
        <f>IF(ISERROR(B32*3.6/1000000/'E Balans VL '!Z8*100),0,B32*3.6/1000000/'E Balans VL '!Z8*100)</f>
        <v>3.4869962229407712E-2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80680.894174999994</v>
      </c>
      <c r="C5" s="17">
        <f>IF(ISERROR('Eigen informatie GS &amp; warmtenet'!B61),0,'Eigen informatie GS &amp; warmtenet'!B61)</f>
        <v>0</v>
      </c>
      <c r="D5" s="30">
        <f>SUM(D6:D15)</f>
        <v>356579.80648534204</v>
      </c>
      <c r="E5" s="17">
        <f>SUM(E6:E15)</f>
        <v>3916.0270213461581</v>
      </c>
      <c r="F5" s="17">
        <f>SUM(F6:F15)</f>
        <v>14626.828676720026</v>
      </c>
      <c r="G5" s="18"/>
      <c r="H5" s="17"/>
      <c r="I5" s="17"/>
      <c r="J5" s="17">
        <f>SUM(J6:J15)</f>
        <v>726.35121638649241</v>
      </c>
      <c r="K5" s="17"/>
      <c r="L5" s="17"/>
      <c r="M5" s="17"/>
      <c r="N5" s="17">
        <f>SUM(N6:N15)</f>
        <v>3123.6425070124546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530.16920100000004</v>
      </c>
      <c r="C8" s="33"/>
      <c r="D8" s="37">
        <f>IF( ISERROR(IND_metaal_Gas_kWH/1000),0,IND_metaal_Gas_kWH/1000)*0.902</f>
        <v>213.559277998</v>
      </c>
      <c r="E8" s="33">
        <f>C30*'E Balans VL '!I18/100/3.6*1000000</f>
        <v>3.8247986776927325</v>
      </c>
      <c r="F8" s="33">
        <f>C30*'E Balans VL '!L18/100/3.6*1000000+C30*'E Balans VL '!N18/100/3.6*1000000</f>
        <v>50.144230779318896</v>
      </c>
      <c r="G8" s="34"/>
      <c r="H8" s="33"/>
      <c r="I8" s="33"/>
      <c r="J8" s="40">
        <f>C30*'E Balans VL '!D18/100/3.6*1000000+C30*'E Balans VL '!E18/100/3.6*1000000</f>
        <v>0.53324726328406258</v>
      </c>
      <c r="K8" s="33"/>
      <c r="L8" s="33"/>
      <c r="M8" s="33"/>
      <c r="N8" s="33">
        <f>C30*'E Balans VL '!Y18/100/3.6*1000000</f>
        <v>6.7027413898633181</v>
      </c>
      <c r="O8" s="33"/>
      <c r="P8" s="33"/>
      <c r="R8" s="32"/>
    </row>
    <row r="9" spans="1:18">
      <c r="A9" s="6" t="s">
        <v>32</v>
      </c>
      <c r="B9" s="37">
        <f t="shared" si="0"/>
        <v>753.33157299999993</v>
      </c>
      <c r="C9" s="33"/>
      <c r="D9" s="37">
        <f>IF( ISERROR(IND_andere_gas_kWh/1000),0,IND_andere_gas_kWh/1000)*0.902</f>
        <v>1233.9466724639999</v>
      </c>
      <c r="E9" s="33">
        <f>C31*'E Balans VL '!I19/100/3.6*1000000</f>
        <v>208.75825218343712</v>
      </c>
      <c r="F9" s="33">
        <f>C31*'E Balans VL '!L19/100/3.6*1000000+C31*'E Balans VL '!N19/100/3.6*1000000</f>
        <v>624.36283566447594</v>
      </c>
      <c r="G9" s="34"/>
      <c r="H9" s="33"/>
      <c r="I9" s="33"/>
      <c r="J9" s="40">
        <f>C31*'E Balans VL '!D19/100/3.6*1000000+C31*'E Balans VL '!E19/100/3.6*1000000</f>
        <v>0</v>
      </c>
      <c r="K9" s="33"/>
      <c r="L9" s="33"/>
      <c r="M9" s="33"/>
      <c r="N9" s="33">
        <f>C31*'E Balans VL '!Y19/100/3.6*1000000</f>
        <v>54.682657957144293</v>
      </c>
      <c r="O9" s="33"/>
      <c r="P9" s="33"/>
      <c r="R9" s="32"/>
    </row>
    <row r="10" spans="1:18">
      <c r="A10" s="6" t="s">
        <v>40</v>
      </c>
      <c r="B10" s="37">
        <f t="shared" si="0"/>
        <v>350.97916300000003</v>
      </c>
      <c r="C10" s="33"/>
      <c r="D10" s="37">
        <f>IF( ISERROR(IND_voed_gas_kWh/1000),0,IND_voed_gas_kWh/1000)*0.902</f>
        <v>68.096629809999996</v>
      </c>
      <c r="E10" s="33">
        <f>C32*'E Balans VL '!I20/100/3.6*1000000</f>
        <v>0.62135200277451885</v>
      </c>
      <c r="F10" s="33">
        <f>C32*'E Balans VL '!L20/100/3.6*1000000+C32*'E Balans VL '!N20/100/3.6*1000000</f>
        <v>18.95598550241823</v>
      </c>
      <c r="G10" s="34"/>
      <c r="H10" s="33"/>
      <c r="I10" s="33"/>
      <c r="J10" s="40">
        <f>C32*'E Balans VL '!D20/100/3.6*1000000+C32*'E Balans VL '!E20/100/3.6*1000000</f>
        <v>0</v>
      </c>
      <c r="K10" s="33"/>
      <c r="L10" s="33"/>
      <c r="M10" s="33"/>
      <c r="N10" s="33">
        <f>C32*'E Balans VL '!Y20/100/3.6*1000000</f>
        <v>20.394569831568763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719.74986799999999</v>
      </c>
      <c r="C13" s="33"/>
      <c r="D13" s="37">
        <f>IF( ISERROR(IND_papier_gas_kWh/1000),0,IND_papier_gas_kWh/1000)*0.902</f>
        <v>87.682233870000005</v>
      </c>
      <c r="E13" s="33">
        <f>C35*'E Balans VL '!I23/100/3.6*1000000</f>
        <v>1.0589992036644107</v>
      </c>
      <c r="F13" s="33">
        <f>C35*'E Balans VL '!L23/100/3.6*1000000+C35*'E Balans VL '!N23/100/3.6*1000000</f>
        <v>7.706582459841651</v>
      </c>
      <c r="G13" s="34"/>
      <c r="H13" s="33"/>
      <c r="I13" s="33"/>
      <c r="J13" s="40">
        <f>C35*'E Balans VL '!D23/100/3.6*1000000+C35*'E Balans VL '!E23/100/3.6*1000000</f>
        <v>78.744671705251619</v>
      </c>
      <c r="K13" s="33"/>
      <c r="L13" s="33"/>
      <c r="M13" s="33"/>
      <c r="N13" s="33">
        <f>C35*'E Balans VL '!Y23/100/3.6*1000000</f>
        <v>-6.5203170736793092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78326.664369999999</v>
      </c>
      <c r="C15" s="33"/>
      <c r="D15" s="37">
        <f>IF( ISERROR(IND_rest_gas_kWh/1000),0,IND_rest_gas_kWh/1000)*0.902</f>
        <v>354976.52167120005</v>
      </c>
      <c r="E15" s="33">
        <f>C37*'E Balans VL '!I15/100/3.6*1000000</f>
        <v>3701.7636192785894</v>
      </c>
      <c r="F15" s="33">
        <f>C37*'E Balans VL '!L15/100/3.6*1000000+C37*'E Balans VL '!N15/100/3.6*1000000</f>
        <v>13925.659042313971</v>
      </c>
      <c r="G15" s="34"/>
      <c r="H15" s="33"/>
      <c r="I15" s="33"/>
      <c r="J15" s="40">
        <f>C37*'E Balans VL '!D15/100/3.6*1000000+C37*'E Balans VL '!E15/100/3.6*1000000</f>
        <v>647.07329741795672</v>
      </c>
      <c r="K15" s="33"/>
      <c r="L15" s="33"/>
      <c r="M15" s="33"/>
      <c r="N15" s="33">
        <f>C37*'E Balans VL '!Y15/100/3.6*1000000</f>
        <v>3048.3828549075574</v>
      </c>
      <c r="O15" s="33"/>
      <c r="P15" s="33"/>
      <c r="R15" s="32"/>
    </row>
    <row r="16" spans="1:18">
      <c r="A16" s="16" t="s">
        <v>482</v>
      </c>
      <c r="B16" s="247">
        <f>'lokale energieproductie'!N90+'lokale energieproductie'!N59</f>
        <v>7020</v>
      </c>
      <c r="C16" s="247">
        <f>'lokale energieproductie'!O90+'lokale energieproductie'!O59</f>
        <v>10028.571428571429</v>
      </c>
      <c r="D16" s="310">
        <f>('lokale energieproductie'!P59+'lokale energieproductie'!P90)*(-1)</f>
        <v>-20057.142857142859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87700.894174999994</v>
      </c>
      <c r="C18" s="21">
        <f>C5+C16</f>
        <v>10028.571428571429</v>
      </c>
      <c r="D18" s="21">
        <f>MAX((D5+D16),0)</f>
        <v>336522.6636281992</v>
      </c>
      <c r="E18" s="21">
        <f>MAX((E5+E16),0)</f>
        <v>3916.0270213461581</v>
      </c>
      <c r="F18" s="21">
        <f>MAX((F5+F16),0)</f>
        <v>14626.828676720026</v>
      </c>
      <c r="G18" s="21"/>
      <c r="H18" s="21"/>
      <c r="I18" s="21"/>
      <c r="J18" s="21">
        <f>MAX((J5+J16),0)</f>
        <v>726.35121638649241</v>
      </c>
      <c r="K18" s="21"/>
      <c r="L18" s="21">
        <f>MAX((L5+L16),0)</f>
        <v>0</v>
      </c>
      <c r="M18" s="21"/>
      <c r="N18" s="21">
        <f>MAX((N5+N16),0)</f>
        <v>3123.6425070124546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0.21938285216392706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19240.072301438235</v>
      </c>
      <c r="C22" s="23">
        <f ca="1">C18*C20</f>
        <v>2383.2605042016817</v>
      </c>
      <c r="D22" s="23">
        <f>D18*D20</f>
        <v>67977.578052896235</v>
      </c>
      <c r="E22" s="23">
        <f>E18*E20</f>
        <v>888.93813384557791</v>
      </c>
      <c r="F22" s="23">
        <f>F18*F20</f>
        <v>3905.3632566842471</v>
      </c>
      <c r="G22" s="23"/>
      <c r="H22" s="23"/>
      <c r="I22" s="23"/>
      <c r="J22" s="23">
        <f>J18*J20</f>
        <v>257.12833060081829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530.16920100000004</v>
      </c>
      <c r="C30" s="39">
        <f>IF(ISERROR(B30*3.6/1000000/'E Balans VL '!Z18*100),0,B30*3.6/1000000/'E Balans VL '!Z18*100)</f>
        <v>3.0605840725453685E-2</v>
      </c>
      <c r="D30" s="237" t="s">
        <v>716</v>
      </c>
    </row>
    <row r="31" spans="1:18">
      <c r="A31" s="6" t="s">
        <v>32</v>
      </c>
      <c r="B31" s="37">
        <f>IF( ISERROR(IND_ander_ele_kWh/1000),0,IND_ander_ele_kWh/1000)</f>
        <v>753.33157299999993</v>
      </c>
      <c r="C31" s="39">
        <f>IF(ISERROR(B31*3.6/1000000/'E Balans VL '!Z19*100),0,B31*3.6/1000000/'E Balans VL '!Z19*100)</f>
        <v>3.7890136292156151E-2</v>
      </c>
      <c r="D31" s="237" t="s">
        <v>716</v>
      </c>
    </row>
    <row r="32" spans="1:18">
      <c r="A32" s="171" t="s">
        <v>40</v>
      </c>
      <c r="B32" s="37">
        <f>IF( ISERROR(IND_voed_ele_kWh/1000),0,IND_voed_ele_kWh/1000)</f>
        <v>350.97916300000003</v>
      </c>
      <c r="C32" s="39">
        <f>IF(ISERROR(B32*3.6/1000000/'E Balans VL '!Z20*100),0,B32*3.6/1000000/'E Balans VL '!Z20*100)</f>
        <v>1.168969032924269E-2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719.74986799999999</v>
      </c>
      <c r="C35" s="39">
        <f>IF(ISERROR(B35*3.6/1000000/'E Balans VL '!Z22*100),0,B35*3.6/1000000/'E Balans VL '!Z22*100)</f>
        <v>0.13425766091140851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78326.664369999999</v>
      </c>
      <c r="C37" s="39">
        <f>IF(ISERROR(B37*3.6/1000000/'E Balans VL '!Z15*100),0,B37*3.6/1000000/'E Balans VL '!Z15*100)</f>
        <v>0.61116217662563843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12105.658659000001</v>
      </c>
      <c r="C5" s="17">
        <f>'Eigen informatie GS &amp; warmtenet'!B62</f>
        <v>0</v>
      </c>
      <c r="D5" s="30">
        <f>IF(ISERROR(SUM(LB_lb_gas_kWh,LB_rest_gas_kWh)/1000),0,SUM(LB_lb_gas_kWh,LB_rest_gas_kWh)/1000)*0.902</f>
        <v>294967.37916756002</v>
      </c>
      <c r="E5" s="17">
        <f>B17*'E Balans VL '!I25/3.6*1000000/100</f>
        <v>377.81361479364307</v>
      </c>
      <c r="F5" s="17">
        <f>B17*('E Balans VL '!L25/3.6*1000000+'E Balans VL '!N25/3.6*1000000)/100</f>
        <v>42782.738729596647</v>
      </c>
      <c r="G5" s="18"/>
      <c r="H5" s="17"/>
      <c r="I5" s="17"/>
      <c r="J5" s="17">
        <f>('E Balans VL '!D25+'E Balans VL '!E25)/3.6*1000000*landbouw!B17/100</f>
        <v>3335.1929125615493</v>
      </c>
      <c r="K5" s="17"/>
      <c r="L5" s="17">
        <f>L6*(-1)</f>
        <v>0</v>
      </c>
      <c r="M5" s="17"/>
      <c r="N5" s="17">
        <f>N6*(-1)</f>
        <v>0</v>
      </c>
      <c r="O5" s="17"/>
      <c r="P5" s="17"/>
      <c r="R5" s="32"/>
    </row>
    <row r="6" spans="1:18">
      <c r="A6" s="16" t="s">
        <v>482</v>
      </c>
      <c r="B6" s="17" t="s">
        <v>210</v>
      </c>
      <c r="C6" s="17">
        <f>'lokale energieproductie'!O92+'lokale energieproductie'!O61</f>
        <v>122021.19642857142</v>
      </c>
      <c r="D6" s="310">
        <f>('lokale energieproductie'!P61+'lokale energieproductie'!P92)*(-1)</f>
        <v>-245799.64285714287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12105.658659000001</v>
      </c>
      <c r="C8" s="21">
        <f>C5+C6</f>
        <v>122021.19642857142</v>
      </c>
      <c r="D8" s="21">
        <f>MAX((D5+D6),0)</f>
        <v>49167.736310417153</v>
      </c>
      <c r="E8" s="21">
        <f>MAX((E5+E6),0)</f>
        <v>377.81361479364307</v>
      </c>
      <c r="F8" s="21">
        <f>MAX((F5+F6),0)</f>
        <v>42782.738729596647</v>
      </c>
      <c r="G8" s="21"/>
      <c r="H8" s="21"/>
      <c r="I8" s="21"/>
      <c r="J8" s="21">
        <f>MAX((J5+J6),0)</f>
        <v>3335.1929125615493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0.21938285216392706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2655.7739239343605</v>
      </c>
      <c r="C12" s="23">
        <f ca="1">C8*C10</f>
        <v>28997.978445378158</v>
      </c>
      <c r="D12" s="23">
        <f>D8*D10</f>
        <v>9931.8827347042661</v>
      </c>
      <c r="E12" s="23">
        <f>E8*E10</f>
        <v>85.763690558156981</v>
      </c>
      <c r="F12" s="23">
        <f>F8*F10</f>
        <v>11422.991240802305</v>
      </c>
      <c r="G12" s="23"/>
      <c r="H12" s="23"/>
      <c r="I12" s="23"/>
      <c r="J12" s="23">
        <f>J8*J10</f>
        <v>1180.6582910467885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1.7995929412417577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49.603098694462659</v>
      </c>
      <c r="C26" s="247">
        <f>B26*'GWP N2O_CH4'!B5</f>
        <v>1041.6650725837158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7.3759339852866672</v>
      </c>
      <c r="C27" s="247">
        <f>B27*'GWP N2O_CH4'!B5</f>
        <v>154.89461369102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0.55897560226104825</v>
      </c>
      <c r="C28" s="247">
        <f>B28*'GWP N2O_CH4'!B4</f>
        <v>173.28243670092496</v>
      </c>
      <c r="D28" s="50"/>
    </row>
    <row r="29" spans="1:4">
      <c r="A29" s="41" t="s">
        <v>276</v>
      </c>
      <c r="B29" s="247">
        <f>B34*'ha_N2O bodem landbouw'!B4</f>
        <v>4.7994236701578377</v>
      </c>
      <c r="C29" s="247">
        <f>B29*'GWP N2O_CH4'!B4</f>
        <v>1487.8213377489296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1.0524271991853833E-3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1.2782561638500001E-4</v>
      </c>
      <c r="C5" s="463" t="s">
        <v>210</v>
      </c>
      <c r="D5" s="448">
        <f>SUM(D6:D11)</f>
        <v>4.7833533610539599E-4</v>
      </c>
      <c r="E5" s="448">
        <f>SUM(E6:E11)</f>
        <v>3.7237547821569993E-4</v>
      </c>
      <c r="F5" s="461" t="s">
        <v>210</v>
      </c>
      <c r="G5" s="448">
        <f>SUM(G6:G11)</f>
        <v>0.15445968797690507</v>
      </c>
      <c r="H5" s="448">
        <f>SUM(H6:H11)</f>
        <v>3.5761245356928019E-2</v>
      </c>
      <c r="I5" s="463" t="s">
        <v>210</v>
      </c>
      <c r="J5" s="463" t="s">
        <v>210</v>
      </c>
      <c r="K5" s="463" t="s">
        <v>210</v>
      </c>
      <c r="L5" s="463" t="s">
        <v>210</v>
      </c>
      <c r="M5" s="448">
        <f>SUM(M6:M11)</f>
        <v>1.1256630445002795E-2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1.15173442885E-4</v>
      </c>
      <c r="C6" s="449"/>
      <c r="D6" s="917">
        <f>vkm_2011_GW_PW*SUMIFS(TableVerdeelsleutelVkm[CNG],TableVerdeelsleutelVkm[Voertuigtype],"Lichte voertuigen")*SUMIFS(TableECFTransport[EnergieConsumptieFactor (PJ per km)],TableECFTransport[Index],CONCATENATE($A6,"_CNG_CNG"))</f>
        <v>4.0047767868939602E-4</v>
      </c>
      <c r="E6" s="917">
        <f>vkm_2011_GW_PW*SUMIFS(TableVerdeelsleutelVkm[LPG],TableVerdeelsleutelVkm[Voertuigtype],"Lichte voertuigen")*SUMIFS(TableECFTransport[EnergieConsumptieFactor (PJ per km)],TableECFTransport[Index],CONCATENATE($A6,"_LPG_LPG"))</f>
        <v>3.1551043003319993E-4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8.588560763387823E-2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3.0054258283860762E-2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6.928135711001487E-3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5.099988280070307E-2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1.28485139414782E-5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2.9408125770181417E-3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1.26521735E-5</v>
      </c>
      <c r="C8" s="449"/>
      <c r="D8" s="451">
        <f>vkm_2011_NGW_PW*SUMIFS(TableVerdeelsleutelVkm[CNG],TableVerdeelsleutelVkm[Voertuigtype],"Lichte voertuigen")*SUMIFS(TableECFTransport[EnergieConsumptieFactor (PJ per km)],TableECFTransport[Index],CONCATENATE($A8,"_CNG_CNG"))</f>
        <v>7.7857657415999999E-5</v>
      </c>
      <c r="E8" s="451">
        <f>vkm_2011_NGW_PW*SUMIFS(TableVerdeelsleutelVkm[LPG],TableVerdeelsleutelVkm[Voertuigtype],"Lichte voertuigen")*SUMIFS(TableECFTransport[EnergieConsumptieFactor (PJ per km)],TableECFTransport[Index],CONCATENATE($A8,"_LPG_LPG"))</f>
        <v>5.6865048182500001E-5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1.436434393214713E-2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5.6933755389199266E-3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1.2025949723301448E-3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3.2098536101766162E-3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7.63020205849147E-7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1.8508718465302305E-4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35.507115662500006</v>
      </c>
      <c r="C14" s="21"/>
      <c r="D14" s="21">
        <f t="shared" ref="D14:M14" si="0">((D5)*10^9/3600)+D12</f>
        <v>132.87092669594333</v>
      </c>
      <c r="E14" s="21">
        <f t="shared" si="0"/>
        <v>103.43763283769444</v>
      </c>
      <c r="F14" s="21"/>
      <c r="G14" s="21">
        <f t="shared" si="0"/>
        <v>42905.468882473629</v>
      </c>
      <c r="H14" s="21">
        <f t="shared" si="0"/>
        <v>9933.67926581334</v>
      </c>
      <c r="I14" s="21"/>
      <c r="J14" s="21"/>
      <c r="K14" s="21"/>
      <c r="L14" s="21"/>
      <c r="M14" s="21">
        <f t="shared" si="0"/>
        <v>3126.8417902785541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0.21938285216392706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7.7896523061536973</v>
      </c>
      <c r="C18" s="23"/>
      <c r="D18" s="23">
        <f t="shared" ref="D18:M18" si="1">D14*D16</f>
        <v>26.839927192580554</v>
      </c>
      <c r="E18" s="23">
        <f t="shared" si="1"/>
        <v>23.480342654156637</v>
      </c>
      <c r="F18" s="23"/>
      <c r="G18" s="23">
        <f t="shared" si="1"/>
        <v>11455.76019162046</v>
      </c>
      <c r="H18" s="23">
        <f t="shared" si="1"/>
        <v>2473.4861371875218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4.392596077335646E-3</v>
      </c>
      <c r="H50" s="321">
        <f t="shared" si="2"/>
        <v>0</v>
      </c>
      <c r="I50" s="321">
        <f t="shared" si="2"/>
        <v>0</v>
      </c>
      <c r="J50" s="321">
        <f t="shared" si="2"/>
        <v>0</v>
      </c>
      <c r="K50" s="321">
        <f t="shared" si="2"/>
        <v>0</v>
      </c>
      <c r="L50" s="321">
        <f t="shared" si="2"/>
        <v>0</v>
      </c>
      <c r="M50" s="321">
        <f t="shared" si="2"/>
        <v>2.4414097599237199E-4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4.392596077335646E-3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2.4414097599237199E-4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1220.1655770376794</v>
      </c>
      <c r="H54" s="21">
        <f t="shared" si="3"/>
        <v>0</v>
      </c>
      <c r="I54" s="21">
        <f t="shared" si="3"/>
        <v>0</v>
      </c>
      <c r="J54" s="21">
        <f t="shared" si="3"/>
        <v>0</v>
      </c>
      <c r="K54" s="21">
        <f t="shared" si="3"/>
        <v>0</v>
      </c>
      <c r="L54" s="21">
        <f t="shared" si="3"/>
        <v>0</v>
      </c>
      <c r="M54" s="21">
        <f t="shared" si="3"/>
        <v>67.816937775658886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0.21938285216392706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325.78420906906041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35044.521411000002</v>
      </c>
      <c r="D10" s="712">
        <f ca="1">tertiair!C16</f>
        <v>0</v>
      </c>
      <c r="E10" s="712">
        <f ca="1">tertiair!D16</f>
        <v>38289.513115964</v>
      </c>
      <c r="F10" s="712">
        <f>tertiair!E16</f>
        <v>230.37749802839267</v>
      </c>
      <c r="G10" s="712">
        <f ca="1">tertiair!F16</f>
        <v>4147.6804236114094</v>
      </c>
      <c r="H10" s="712">
        <f>tertiair!G16</f>
        <v>0</v>
      </c>
      <c r="I10" s="712">
        <f>tertiair!H16</f>
        <v>0</v>
      </c>
      <c r="J10" s="712">
        <f>tertiair!I16</f>
        <v>0</v>
      </c>
      <c r="K10" s="712">
        <f>tertiair!J16</f>
        <v>0.22821671544022806</v>
      </c>
      <c r="L10" s="712">
        <f>tertiair!K16</f>
        <v>0</v>
      </c>
      <c r="M10" s="712">
        <f ca="1">tertiair!L16</f>
        <v>0</v>
      </c>
      <c r="N10" s="712">
        <f>tertiair!M16</f>
        <v>0</v>
      </c>
      <c r="O10" s="712">
        <f ca="1">tertiair!N16</f>
        <v>8960.1510687174814</v>
      </c>
      <c r="P10" s="712">
        <f>tertiair!O16</f>
        <v>9.7945215316823084</v>
      </c>
      <c r="Q10" s="713">
        <f>tertiair!P16</f>
        <v>157.61741491948504</v>
      </c>
      <c r="R10" s="715">
        <f ca="1">SUM(C10:Q10)</f>
        <v>86839.883670487892</v>
      </c>
      <c r="S10" s="67"/>
    </row>
    <row r="11" spans="1:19" s="474" customFormat="1">
      <c r="A11" s="834" t="s">
        <v>224</v>
      </c>
      <c r="B11" s="839"/>
      <c r="C11" s="712">
        <f>huishoudens!B8</f>
        <v>27773.893197868179</v>
      </c>
      <c r="D11" s="712">
        <f>huishoudens!C8</f>
        <v>0</v>
      </c>
      <c r="E11" s="712">
        <f>huishoudens!D8</f>
        <v>76617.111166860006</v>
      </c>
      <c r="F11" s="712">
        <f>huishoudens!E8</f>
        <v>2411.3767039933614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8345.9471134149826</v>
      </c>
      <c r="P11" s="712">
        <f>huishoudens!O8</f>
        <v>369.01622880598791</v>
      </c>
      <c r="Q11" s="713">
        <f>huishoudens!P8</f>
        <v>663.6394363841564</v>
      </c>
      <c r="R11" s="715">
        <f>SUM(C11:Q11)</f>
        <v>116180.98384732667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87700.894174999994</v>
      </c>
      <c r="D13" s="712">
        <f>industrie!C18</f>
        <v>10028.571428571429</v>
      </c>
      <c r="E13" s="712">
        <f>industrie!D18</f>
        <v>336522.6636281992</v>
      </c>
      <c r="F13" s="712">
        <f>industrie!E18</f>
        <v>3916.0270213461581</v>
      </c>
      <c r="G13" s="712">
        <f>industrie!F18</f>
        <v>14626.828676720026</v>
      </c>
      <c r="H13" s="712">
        <f>industrie!G18</f>
        <v>0</v>
      </c>
      <c r="I13" s="712">
        <f>industrie!H18</f>
        <v>0</v>
      </c>
      <c r="J13" s="712">
        <f>industrie!I18</f>
        <v>0</v>
      </c>
      <c r="K13" s="712">
        <f>industrie!J18</f>
        <v>726.35121638649241</v>
      </c>
      <c r="L13" s="712">
        <f>industrie!K18</f>
        <v>0</v>
      </c>
      <c r="M13" s="712">
        <f>industrie!L18</f>
        <v>0</v>
      </c>
      <c r="N13" s="712">
        <f>industrie!M18</f>
        <v>0</v>
      </c>
      <c r="O13" s="712">
        <f>industrie!N18</f>
        <v>3123.6425070124546</v>
      </c>
      <c r="P13" s="712">
        <f>industrie!O18</f>
        <v>0</v>
      </c>
      <c r="Q13" s="713">
        <f>industrie!P18</f>
        <v>0</v>
      </c>
      <c r="R13" s="715">
        <f>SUM(C13:Q13)</f>
        <v>456644.97865323577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150519.30878386818</v>
      </c>
      <c r="D16" s="748">
        <f t="shared" ref="D16:R16" ca="1" si="0">SUM(D9:D15)</f>
        <v>10028.571428571429</v>
      </c>
      <c r="E16" s="748">
        <f t="shared" ca="1" si="0"/>
        <v>451429.28791102319</v>
      </c>
      <c r="F16" s="748">
        <f t="shared" si="0"/>
        <v>6557.7812233679124</v>
      </c>
      <c r="G16" s="748">
        <f t="shared" ca="1" si="0"/>
        <v>18774.509100331437</v>
      </c>
      <c r="H16" s="748">
        <f t="shared" si="0"/>
        <v>0</v>
      </c>
      <c r="I16" s="748">
        <f t="shared" si="0"/>
        <v>0</v>
      </c>
      <c r="J16" s="748">
        <f t="shared" si="0"/>
        <v>0</v>
      </c>
      <c r="K16" s="748">
        <f t="shared" si="0"/>
        <v>726.57943310193264</v>
      </c>
      <c r="L16" s="748">
        <f t="shared" si="0"/>
        <v>0</v>
      </c>
      <c r="M16" s="748">
        <f t="shared" ca="1" si="0"/>
        <v>0</v>
      </c>
      <c r="N16" s="748">
        <f t="shared" si="0"/>
        <v>0</v>
      </c>
      <c r="O16" s="748">
        <f t="shared" ca="1" si="0"/>
        <v>20429.740689144917</v>
      </c>
      <c r="P16" s="748">
        <f t="shared" si="0"/>
        <v>378.81075033767024</v>
      </c>
      <c r="Q16" s="748">
        <f t="shared" si="0"/>
        <v>821.2568513036415</v>
      </c>
      <c r="R16" s="748">
        <f t="shared" ca="1" si="0"/>
        <v>659665.84617105033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1220.1655770376794</v>
      </c>
      <c r="I19" s="712">
        <f>transport!H54</f>
        <v>0</v>
      </c>
      <c r="J19" s="712">
        <f>transport!I54</f>
        <v>0</v>
      </c>
      <c r="K19" s="712">
        <f>transport!J54</f>
        <v>0</v>
      </c>
      <c r="L19" s="712">
        <f>transport!K54</f>
        <v>0</v>
      </c>
      <c r="M19" s="712">
        <f>transport!L54</f>
        <v>0</v>
      </c>
      <c r="N19" s="712">
        <f>transport!M54</f>
        <v>67.816937775658886</v>
      </c>
      <c r="O19" s="712">
        <f>transport!N54</f>
        <v>0</v>
      </c>
      <c r="P19" s="712">
        <f>transport!O54</f>
        <v>0</v>
      </c>
      <c r="Q19" s="713">
        <f>transport!P54</f>
        <v>0</v>
      </c>
      <c r="R19" s="715">
        <f>SUM(C19:Q19)</f>
        <v>1287.9825148133384</v>
      </c>
      <c r="S19" s="67"/>
    </row>
    <row r="20" spans="1:19" s="474" customFormat="1">
      <c r="A20" s="834" t="s">
        <v>306</v>
      </c>
      <c r="B20" s="839"/>
      <c r="C20" s="712">
        <f>transport!B14</f>
        <v>35.507115662500006</v>
      </c>
      <c r="D20" s="712">
        <f>transport!C14</f>
        <v>0</v>
      </c>
      <c r="E20" s="712">
        <f>transport!D14</f>
        <v>132.87092669594333</v>
      </c>
      <c r="F20" s="712">
        <f>transport!E14</f>
        <v>103.43763283769444</v>
      </c>
      <c r="G20" s="712">
        <f>transport!F14</f>
        <v>0</v>
      </c>
      <c r="H20" s="712">
        <f>transport!G14</f>
        <v>42905.468882473629</v>
      </c>
      <c r="I20" s="712">
        <f>transport!H14</f>
        <v>9933.67926581334</v>
      </c>
      <c r="J20" s="712">
        <f>transport!I14</f>
        <v>0</v>
      </c>
      <c r="K20" s="712">
        <f>transport!J14</f>
        <v>0</v>
      </c>
      <c r="L20" s="712">
        <f>transport!K14</f>
        <v>0</v>
      </c>
      <c r="M20" s="712">
        <f>transport!L14</f>
        <v>0</v>
      </c>
      <c r="N20" s="712">
        <f>transport!M14</f>
        <v>3126.8417902785541</v>
      </c>
      <c r="O20" s="712">
        <f>transport!N14</f>
        <v>0</v>
      </c>
      <c r="P20" s="712">
        <f>transport!O14</f>
        <v>0</v>
      </c>
      <c r="Q20" s="713">
        <f>transport!P14</f>
        <v>0</v>
      </c>
      <c r="R20" s="715">
        <f>SUM(C20:Q20)</f>
        <v>56237.805613761659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35.507115662500006</v>
      </c>
      <c r="D22" s="837">
        <f t="shared" ref="D22:R22" si="1">SUM(D18:D21)</f>
        <v>0</v>
      </c>
      <c r="E22" s="837">
        <f t="shared" si="1"/>
        <v>132.87092669594333</v>
      </c>
      <c r="F22" s="837">
        <f t="shared" si="1"/>
        <v>103.43763283769444</v>
      </c>
      <c r="G22" s="837">
        <f t="shared" si="1"/>
        <v>0</v>
      </c>
      <c r="H22" s="837">
        <f t="shared" si="1"/>
        <v>44125.634459511311</v>
      </c>
      <c r="I22" s="837">
        <f t="shared" si="1"/>
        <v>9933.67926581334</v>
      </c>
      <c r="J22" s="837">
        <f t="shared" si="1"/>
        <v>0</v>
      </c>
      <c r="K22" s="837">
        <f t="shared" si="1"/>
        <v>0</v>
      </c>
      <c r="L22" s="837">
        <f t="shared" si="1"/>
        <v>0</v>
      </c>
      <c r="M22" s="837">
        <f t="shared" si="1"/>
        <v>0</v>
      </c>
      <c r="N22" s="837">
        <f t="shared" si="1"/>
        <v>3194.658728054213</v>
      </c>
      <c r="O22" s="837">
        <f t="shared" si="1"/>
        <v>0</v>
      </c>
      <c r="P22" s="837">
        <f t="shared" si="1"/>
        <v>0</v>
      </c>
      <c r="Q22" s="837">
        <f t="shared" si="1"/>
        <v>0</v>
      </c>
      <c r="R22" s="837">
        <f t="shared" si="1"/>
        <v>57525.788128574997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12105.658659000001</v>
      </c>
      <c r="D24" s="712">
        <f>+landbouw!C8</f>
        <v>122021.19642857142</v>
      </c>
      <c r="E24" s="712">
        <f>+landbouw!D8</f>
        <v>49167.736310417153</v>
      </c>
      <c r="F24" s="712">
        <f>+landbouw!E8</f>
        <v>377.81361479364307</v>
      </c>
      <c r="G24" s="712">
        <f>+landbouw!F8</f>
        <v>42782.738729596647</v>
      </c>
      <c r="H24" s="712">
        <f>+landbouw!G8</f>
        <v>0</v>
      </c>
      <c r="I24" s="712">
        <f>+landbouw!H8</f>
        <v>0</v>
      </c>
      <c r="J24" s="712">
        <f>+landbouw!I8</f>
        <v>0</v>
      </c>
      <c r="K24" s="712">
        <f>+landbouw!J8</f>
        <v>3335.1929125615493</v>
      </c>
      <c r="L24" s="712">
        <f>+landbouw!K8</f>
        <v>0</v>
      </c>
      <c r="M24" s="712">
        <f>+landbouw!L8</f>
        <v>0</v>
      </c>
      <c r="N24" s="712">
        <f>+landbouw!M8</f>
        <v>0</v>
      </c>
      <c r="O24" s="712">
        <f>+landbouw!N8</f>
        <v>0</v>
      </c>
      <c r="P24" s="712">
        <f>+landbouw!O8</f>
        <v>0</v>
      </c>
      <c r="Q24" s="713">
        <f>+landbouw!P8</f>
        <v>0</v>
      </c>
      <c r="R24" s="715">
        <f>SUM(C24:Q24)</f>
        <v>229790.33665494042</v>
      </c>
      <c r="S24" s="67"/>
    </row>
    <row r="25" spans="1:19" s="474" customFormat="1" ht="15" thickBot="1">
      <c r="A25" s="856" t="s">
        <v>734</v>
      </c>
      <c r="B25" s="982"/>
      <c r="C25" s="983">
        <f>IF(Onbekend_ele_kWh="---",0,Onbekend_ele_kWh)/1000+IF(REST_rest_ele_kWh="---",0,REST_rest_ele_kWh)/1000</f>
        <v>740.72673400000008</v>
      </c>
      <c r="D25" s="983"/>
      <c r="E25" s="983">
        <f>IF(onbekend_gas_kWh="---",0,onbekend_gas_kWh)/1000+IF(REST_rest_gas_kWh="---",0,REST_rest_gas_kWh)/1000</f>
        <v>2355.7037769999997</v>
      </c>
      <c r="F25" s="983"/>
      <c r="G25" s="983"/>
      <c r="H25" s="983"/>
      <c r="I25" s="983"/>
      <c r="J25" s="983"/>
      <c r="K25" s="983"/>
      <c r="L25" s="983"/>
      <c r="M25" s="983"/>
      <c r="N25" s="983"/>
      <c r="O25" s="983"/>
      <c r="P25" s="983"/>
      <c r="Q25" s="984"/>
      <c r="R25" s="715">
        <f>SUM(C25:Q25)</f>
        <v>3096.4305109999996</v>
      </c>
      <c r="S25" s="67"/>
    </row>
    <row r="26" spans="1:19" s="474" customFormat="1" ht="15.75" thickBot="1">
      <c r="A26" s="720" t="s">
        <v>735</v>
      </c>
      <c r="B26" s="842"/>
      <c r="C26" s="837">
        <f>SUM(C24:C25)</f>
        <v>12846.385393</v>
      </c>
      <c r="D26" s="837">
        <f t="shared" ref="D26:R26" si="2">SUM(D24:D25)</f>
        <v>122021.19642857142</v>
      </c>
      <c r="E26" s="837">
        <f t="shared" si="2"/>
        <v>51523.440087417155</v>
      </c>
      <c r="F26" s="837">
        <f t="shared" si="2"/>
        <v>377.81361479364307</v>
      </c>
      <c r="G26" s="837">
        <f t="shared" si="2"/>
        <v>42782.738729596647</v>
      </c>
      <c r="H26" s="837">
        <f t="shared" si="2"/>
        <v>0</v>
      </c>
      <c r="I26" s="837">
        <f t="shared" si="2"/>
        <v>0</v>
      </c>
      <c r="J26" s="837">
        <f t="shared" si="2"/>
        <v>0</v>
      </c>
      <c r="K26" s="837">
        <f t="shared" si="2"/>
        <v>3335.1929125615493</v>
      </c>
      <c r="L26" s="837">
        <f t="shared" si="2"/>
        <v>0</v>
      </c>
      <c r="M26" s="837">
        <f t="shared" si="2"/>
        <v>0</v>
      </c>
      <c r="N26" s="837">
        <f t="shared" si="2"/>
        <v>0</v>
      </c>
      <c r="O26" s="837">
        <f t="shared" si="2"/>
        <v>0</v>
      </c>
      <c r="P26" s="837">
        <f t="shared" si="2"/>
        <v>0</v>
      </c>
      <c r="Q26" s="837">
        <f t="shared" si="2"/>
        <v>0</v>
      </c>
      <c r="R26" s="837">
        <f t="shared" si="2"/>
        <v>232886.76716594043</v>
      </c>
      <c r="S26" s="67"/>
    </row>
    <row r="27" spans="1:19" s="474" customFormat="1" ht="17.25" thickTop="1" thickBot="1">
      <c r="A27" s="721" t="s">
        <v>115</v>
      </c>
      <c r="B27" s="829"/>
      <c r="C27" s="722">
        <f ca="1">C22+C16+C26</f>
        <v>163401.20129253069</v>
      </c>
      <c r="D27" s="722">
        <f t="shared" ref="D27:R27" ca="1" si="3">D22+D16+D26</f>
        <v>132049.76785714284</v>
      </c>
      <c r="E27" s="722">
        <f t="shared" ca="1" si="3"/>
        <v>503085.59892513626</v>
      </c>
      <c r="F27" s="722">
        <f t="shared" si="3"/>
        <v>7039.0324709992501</v>
      </c>
      <c r="G27" s="722">
        <f t="shared" ca="1" si="3"/>
        <v>61557.247829928085</v>
      </c>
      <c r="H27" s="722">
        <f t="shared" si="3"/>
        <v>44125.634459511311</v>
      </c>
      <c r="I27" s="722">
        <f t="shared" si="3"/>
        <v>9933.67926581334</v>
      </c>
      <c r="J27" s="722">
        <f t="shared" si="3"/>
        <v>0</v>
      </c>
      <c r="K27" s="722">
        <f t="shared" si="3"/>
        <v>4061.7723456634822</v>
      </c>
      <c r="L27" s="722">
        <f t="shared" si="3"/>
        <v>0</v>
      </c>
      <c r="M27" s="722">
        <f t="shared" ca="1" si="3"/>
        <v>0</v>
      </c>
      <c r="N27" s="722">
        <f t="shared" si="3"/>
        <v>3194.658728054213</v>
      </c>
      <c r="O27" s="722">
        <f t="shared" ca="1" si="3"/>
        <v>20429.740689144917</v>
      </c>
      <c r="P27" s="722">
        <f t="shared" si="3"/>
        <v>378.81075033767024</v>
      </c>
      <c r="Q27" s="722">
        <f t="shared" si="3"/>
        <v>821.2568513036415</v>
      </c>
      <c r="R27" s="722">
        <f t="shared" ca="1" si="3"/>
        <v>950078.40146556566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7688.1670598649898</v>
      </c>
      <c r="D40" s="712">
        <f ca="1">tertiair!C20</f>
        <v>0</v>
      </c>
      <c r="E40" s="712">
        <f ca="1">tertiair!D20</f>
        <v>7734.4816494247289</v>
      </c>
      <c r="F40" s="712">
        <f>tertiair!E20</f>
        <v>52.295692052445133</v>
      </c>
      <c r="G40" s="712">
        <f ca="1">tertiair!F20</f>
        <v>1107.4306731042464</v>
      </c>
      <c r="H40" s="712">
        <f>tertiair!G20</f>
        <v>0</v>
      </c>
      <c r="I40" s="712">
        <f>tertiair!H20</f>
        <v>0</v>
      </c>
      <c r="J40" s="712">
        <f>tertiair!I20</f>
        <v>0</v>
      </c>
      <c r="K40" s="712">
        <f>tertiair!J20</f>
        <v>8.0788717265840734E-2</v>
      </c>
      <c r="L40" s="712">
        <f>tertiair!K20</f>
        <v>0</v>
      </c>
      <c r="M40" s="712">
        <f ca="1">tertiair!L20</f>
        <v>0</v>
      </c>
      <c r="N40" s="712">
        <f>tertiair!M20</f>
        <v>0</v>
      </c>
      <c r="O40" s="712">
        <f ca="1">tertiair!N20</f>
        <v>0</v>
      </c>
      <c r="P40" s="712">
        <f>tertiair!O20</f>
        <v>0</v>
      </c>
      <c r="Q40" s="795">
        <f>tertiair!P20</f>
        <v>0</v>
      </c>
      <c r="R40" s="875">
        <f t="shared" ca="1" si="4"/>
        <v>16582.455863163676</v>
      </c>
    </row>
    <row r="41" spans="1:18">
      <c r="A41" s="847" t="s">
        <v>224</v>
      </c>
      <c r="B41" s="854"/>
      <c r="C41" s="712">
        <f ca="1">huishoudens!B12</f>
        <v>6093.1159054446143</v>
      </c>
      <c r="D41" s="712">
        <f ca="1">huishoudens!C12</f>
        <v>0</v>
      </c>
      <c r="E41" s="712">
        <f>huishoudens!D12</f>
        <v>15476.656455705723</v>
      </c>
      <c r="F41" s="712">
        <f>huishoudens!E12</f>
        <v>547.38251180649308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22117.154872956831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19240.072301438235</v>
      </c>
      <c r="D43" s="712">
        <f ca="1">industrie!C22</f>
        <v>2383.2605042016817</v>
      </c>
      <c r="E43" s="712">
        <f>industrie!D22</f>
        <v>67977.578052896235</v>
      </c>
      <c r="F43" s="712">
        <f>industrie!E22</f>
        <v>888.93813384557791</v>
      </c>
      <c r="G43" s="712">
        <f>industrie!F22</f>
        <v>3905.3632566842471</v>
      </c>
      <c r="H43" s="712">
        <f>industrie!G22</f>
        <v>0</v>
      </c>
      <c r="I43" s="712">
        <f>industrie!H22</f>
        <v>0</v>
      </c>
      <c r="J43" s="712">
        <f>industrie!I22</f>
        <v>0</v>
      </c>
      <c r="K43" s="712">
        <f>industrie!J22</f>
        <v>257.12833060081829</v>
      </c>
      <c r="L43" s="712">
        <f>industrie!K22</f>
        <v>0</v>
      </c>
      <c r="M43" s="712">
        <f>industrie!L22</f>
        <v>0</v>
      </c>
      <c r="N43" s="712">
        <f>industrie!M22</f>
        <v>0</v>
      </c>
      <c r="O43" s="712">
        <f>industrie!N22</f>
        <v>0</v>
      </c>
      <c r="P43" s="712">
        <f>industrie!O22</f>
        <v>0</v>
      </c>
      <c r="Q43" s="795">
        <f>industrie!P22</f>
        <v>0</v>
      </c>
      <c r="R43" s="874">
        <f t="shared" ca="1" si="4"/>
        <v>94652.340579666779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33021.355266747836</v>
      </c>
      <c r="D46" s="748">
        <f t="shared" ref="D46:Q46" ca="1" si="5">SUM(D39:D45)</f>
        <v>2383.2605042016817</v>
      </c>
      <c r="E46" s="748">
        <f t="shared" ca="1" si="5"/>
        <v>91188.716158026684</v>
      </c>
      <c r="F46" s="748">
        <f t="shared" si="5"/>
        <v>1488.6163377045161</v>
      </c>
      <c r="G46" s="748">
        <f t="shared" ca="1" si="5"/>
        <v>5012.7939297884932</v>
      </c>
      <c r="H46" s="748">
        <f t="shared" si="5"/>
        <v>0</v>
      </c>
      <c r="I46" s="748">
        <f t="shared" si="5"/>
        <v>0</v>
      </c>
      <c r="J46" s="748">
        <f t="shared" si="5"/>
        <v>0</v>
      </c>
      <c r="K46" s="748">
        <f t="shared" si="5"/>
        <v>257.20911931808411</v>
      </c>
      <c r="L46" s="748">
        <f t="shared" si="5"/>
        <v>0</v>
      </c>
      <c r="M46" s="748">
        <f t="shared" ca="1" si="5"/>
        <v>0</v>
      </c>
      <c r="N46" s="748">
        <f t="shared" si="5"/>
        <v>0</v>
      </c>
      <c r="O46" s="748">
        <f t="shared" ca="1" si="5"/>
        <v>0</v>
      </c>
      <c r="P46" s="748">
        <f t="shared" si="5"/>
        <v>0</v>
      </c>
      <c r="Q46" s="748">
        <f t="shared" si="5"/>
        <v>0</v>
      </c>
      <c r="R46" s="748">
        <f ca="1">SUM(R39:R45)</f>
        <v>133351.95131578727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325.78420906906041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325.78420906906041</v>
      </c>
    </row>
    <row r="50" spans="1:18">
      <c r="A50" s="850" t="s">
        <v>306</v>
      </c>
      <c r="B50" s="860"/>
      <c r="C50" s="718">
        <f ca="1">transport!B18</f>
        <v>7.7896523061536973</v>
      </c>
      <c r="D50" s="718">
        <f>transport!C18</f>
        <v>0</v>
      </c>
      <c r="E50" s="718">
        <f>transport!D18</f>
        <v>26.839927192580554</v>
      </c>
      <c r="F50" s="718">
        <f>transport!E18</f>
        <v>23.480342654156637</v>
      </c>
      <c r="G50" s="718">
        <f>transport!F18</f>
        <v>0</v>
      </c>
      <c r="H50" s="718">
        <f>transport!G18</f>
        <v>11455.76019162046</v>
      </c>
      <c r="I50" s="718">
        <f>transport!H18</f>
        <v>2473.4861371875218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13987.356250960873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7.7896523061536973</v>
      </c>
      <c r="D52" s="748">
        <f t="shared" ref="D52:Q52" ca="1" si="6">SUM(D48:D51)</f>
        <v>0</v>
      </c>
      <c r="E52" s="748">
        <f t="shared" si="6"/>
        <v>26.839927192580554</v>
      </c>
      <c r="F52" s="748">
        <f t="shared" si="6"/>
        <v>23.480342654156637</v>
      </c>
      <c r="G52" s="748">
        <f t="shared" si="6"/>
        <v>0</v>
      </c>
      <c r="H52" s="748">
        <f t="shared" si="6"/>
        <v>11781.544400689521</v>
      </c>
      <c r="I52" s="748">
        <f t="shared" si="6"/>
        <v>2473.4861371875218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14313.140460029934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2655.7739239343605</v>
      </c>
      <c r="D54" s="718">
        <f ca="1">+landbouw!C12</f>
        <v>28997.978445378158</v>
      </c>
      <c r="E54" s="718">
        <f>+landbouw!D12</f>
        <v>9931.8827347042661</v>
      </c>
      <c r="F54" s="718">
        <f>+landbouw!E12</f>
        <v>85.763690558156981</v>
      </c>
      <c r="G54" s="718">
        <f>+landbouw!F12</f>
        <v>11422.991240802305</v>
      </c>
      <c r="H54" s="718">
        <f>+landbouw!G12</f>
        <v>0</v>
      </c>
      <c r="I54" s="718">
        <f>+landbouw!H12</f>
        <v>0</v>
      </c>
      <c r="J54" s="718">
        <f>+landbouw!I12</f>
        <v>0</v>
      </c>
      <c r="K54" s="718">
        <f>+landbouw!J12</f>
        <v>1180.6582910467885</v>
      </c>
      <c r="L54" s="718">
        <f>+landbouw!K12</f>
        <v>0</v>
      </c>
      <c r="M54" s="718">
        <f>+landbouw!L12</f>
        <v>0</v>
      </c>
      <c r="N54" s="718">
        <f>+landbouw!M12</f>
        <v>0</v>
      </c>
      <c r="O54" s="718">
        <f>+landbouw!N12</f>
        <v>0</v>
      </c>
      <c r="P54" s="718">
        <f>+landbouw!O12</f>
        <v>0</v>
      </c>
      <c r="Q54" s="719">
        <f>+landbouw!P12</f>
        <v>0</v>
      </c>
      <c r="R54" s="747">
        <f ca="1">SUM(C54:Q54)</f>
        <v>54275.048326424039</v>
      </c>
    </row>
    <row r="55" spans="1:18" ht="15" thickBot="1">
      <c r="A55" s="850" t="s">
        <v>734</v>
      </c>
      <c r="B55" s="860"/>
      <c r="C55" s="718">
        <f ca="1">C25*'EF ele_warmte'!B12</f>
        <v>162.50274357899053</v>
      </c>
      <c r="D55" s="718"/>
      <c r="E55" s="718">
        <f>E25*EF_CO2_aardgas</f>
        <v>475.85216295399999</v>
      </c>
      <c r="F55" s="718"/>
      <c r="G55" s="718"/>
      <c r="H55" s="718"/>
      <c r="I55" s="718"/>
      <c r="J55" s="718"/>
      <c r="K55" s="718"/>
      <c r="L55" s="718"/>
      <c r="M55" s="718"/>
      <c r="N55" s="718"/>
      <c r="O55" s="718"/>
      <c r="P55" s="718"/>
      <c r="Q55" s="719"/>
      <c r="R55" s="747">
        <f ca="1">SUM(C55:Q55)</f>
        <v>638.35490653299053</v>
      </c>
    </row>
    <row r="56" spans="1:18" ht="15.75" thickBot="1">
      <c r="A56" s="848" t="s">
        <v>735</v>
      </c>
      <c r="B56" s="861"/>
      <c r="C56" s="748">
        <f ca="1">SUM(C54:C55)</f>
        <v>2818.2766675133512</v>
      </c>
      <c r="D56" s="748">
        <f t="shared" ref="D56:Q56" ca="1" si="7">SUM(D54:D55)</f>
        <v>28997.978445378158</v>
      </c>
      <c r="E56" s="748">
        <f t="shared" si="7"/>
        <v>10407.734897658265</v>
      </c>
      <c r="F56" s="748">
        <f t="shared" si="7"/>
        <v>85.763690558156981</v>
      </c>
      <c r="G56" s="748">
        <f t="shared" si="7"/>
        <v>11422.991240802305</v>
      </c>
      <c r="H56" s="748">
        <f t="shared" si="7"/>
        <v>0</v>
      </c>
      <c r="I56" s="748">
        <f t="shared" si="7"/>
        <v>0</v>
      </c>
      <c r="J56" s="748">
        <f t="shared" si="7"/>
        <v>0</v>
      </c>
      <c r="K56" s="748">
        <f t="shared" si="7"/>
        <v>1180.6582910467885</v>
      </c>
      <c r="L56" s="748">
        <f t="shared" si="7"/>
        <v>0</v>
      </c>
      <c r="M56" s="748">
        <f t="shared" si="7"/>
        <v>0</v>
      </c>
      <c r="N56" s="748">
        <f t="shared" si="7"/>
        <v>0</v>
      </c>
      <c r="O56" s="748">
        <f t="shared" si="7"/>
        <v>0</v>
      </c>
      <c r="P56" s="748">
        <f t="shared" si="7"/>
        <v>0</v>
      </c>
      <c r="Q56" s="749">
        <f t="shared" si="7"/>
        <v>0</v>
      </c>
      <c r="R56" s="750">
        <f ca="1">SUM(R54:R55)</f>
        <v>54913.403232957033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35847.421586567347</v>
      </c>
      <c r="D61" s="756">
        <f t="shared" ref="D61:Q61" ca="1" si="8">D46+D52+D56</f>
        <v>31381.238949579838</v>
      </c>
      <c r="E61" s="756">
        <f t="shared" ca="1" si="8"/>
        <v>101623.29098287752</v>
      </c>
      <c r="F61" s="756">
        <f t="shared" si="8"/>
        <v>1597.8603709168297</v>
      </c>
      <c r="G61" s="756">
        <f t="shared" ca="1" si="8"/>
        <v>16435.785170590796</v>
      </c>
      <c r="H61" s="756">
        <f t="shared" si="8"/>
        <v>11781.544400689521</v>
      </c>
      <c r="I61" s="756">
        <f t="shared" si="8"/>
        <v>2473.4861371875218</v>
      </c>
      <c r="J61" s="756">
        <f t="shared" si="8"/>
        <v>0</v>
      </c>
      <c r="K61" s="756">
        <f t="shared" si="8"/>
        <v>1437.8674103648725</v>
      </c>
      <c r="L61" s="756">
        <f t="shared" si="8"/>
        <v>0</v>
      </c>
      <c r="M61" s="756">
        <f t="shared" ca="1" si="8"/>
        <v>0</v>
      </c>
      <c r="N61" s="756">
        <f t="shared" si="8"/>
        <v>0</v>
      </c>
      <c r="O61" s="756">
        <f t="shared" ca="1" si="8"/>
        <v>0</v>
      </c>
      <c r="P61" s="756">
        <f t="shared" si="8"/>
        <v>0</v>
      </c>
      <c r="Q61" s="756">
        <f t="shared" si="8"/>
        <v>0</v>
      </c>
      <c r="R61" s="756">
        <f ca="1">R46+R52+R56</f>
        <v>202578.49500877425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0.21938285216392706</v>
      </c>
      <c r="D63" s="802">
        <f t="shared" ca="1" si="9"/>
        <v>0.23764705882352949</v>
      </c>
      <c r="E63" s="1008">
        <f t="shared" ca="1" si="9"/>
        <v>0.20199999999999999</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8270.9373927050419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93928.5</v>
      </c>
      <c r="D76" s="991">
        <f>'lokale energieproductie'!C8</f>
        <v>110504.11764705883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22321.831764705883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8270.9373927050419</v>
      </c>
      <c r="C78" s="774">
        <f>SUM(C72:C77)</f>
        <v>93928.5</v>
      </c>
      <c r="D78" s="775">
        <f t="shared" ref="D78:H78" si="10">SUM(D76:D77)</f>
        <v>110504.11764705883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22321.831764705883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132049.76785714287</v>
      </c>
      <c r="D87" s="798">
        <f>'lokale energieproductie'!C17</f>
        <v>155352.66806722691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31381.238949579838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132049.76785714287</v>
      </c>
      <c r="D90" s="774">
        <f t="shared" ref="D90:H90" si="12">SUM(D87:D89)</f>
        <v>155352.66806722691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31381.238949579838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8270.9373927050419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93928.5</v>
      </c>
      <c r="C8" s="574">
        <f>B101</f>
        <v>110504.11764705883</v>
      </c>
      <c r="D8" s="575"/>
      <c r="E8" s="575">
        <f>E101</f>
        <v>0</v>
      </c>
      <c r="F8" s="576"/>
      <c r="G8" s="577"/>
      <c r="H8" s="575">
        <f>I101</f>
        <v>0</v>
      </c>
      <c r="I8" s="575">
        <f>G101+F101</f>
        <v>0</v>
      </c>
      <c r="J8" s="575">
        <f>H101+D101+C101</f>
        <v>0</v>
      </c>
      <c r="K8" s="575"/>
      <c r="L8" s="575"/>
      <c r="M8" s="575"/>
      <c r="N8" s="578"/>
      <c r="O8" s="579">
        <f>C8*$C$12+D8*$D$12+E8*$E$12+F8*$F$12+G8*$G$12+H8*$H$12+I8*$I$12+J8*$J$12</f>
        <v>22321.831764705883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102199.43739270505</v>
      </c>
      <c r="C10" s="589">
        <f t="shared" ref="C10:L10" si="0">SUM(C8:C9)</f>
        <v>110504.11764705883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22321.831764705883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132049.76785714287</v>
      </c>
      <c r="C17" s="605">
        <f>B102</f>
        <v>155352.66806722691</v>
      </c>
      <c r="D17" s="606"/>
      <c r="E17" s="606">
        <f>E102</f>
        <v>0</v>
      </c>
      <c r="F17" s="607"/>
      <c r="G17" s="608"/>
      <c r="H17" s="605">
        <f>I102</f>
        <v>0</v>
      </c>
      <c r="I17" s="606">
        <f>G102+F102</f>
        <v>0</v>
      </c>
      <c r="J17" s="606">
        <f>H102+D102+C102</f>
        <v>0</v>
      </c>
      <c r="K17" s="606"/>
      <c r="L17" s="606"/>
      <c r="M17" s="606"/>
      <c r="N17" s="1005"/>
      <c r="O17" s="609">
        <f>C17*$C$22+E17*$E$22+H17*$H$22+I17*$I$22+J17*$J$22+D17*$D$22+F17*$F$22+G17*$G$22+K17*$K$22+L17*$L$22</f>
        <v>31381.238949579838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132049.76785714287</v>
      </c>
      <c r="C20" s="588">
        <f>SUM(C17:C19)</f>
        <v>155352.66806722691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31381.238949579838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12009</v>
      </c>
      <c r="C28" s="817">
        <v>2570</v>
      </c>
      <c r="D28" s="666" t="s">
        <v>886</v>
      </c>
      <c r="E28" s="665" t="s">
        <v>887</v>
      </c>
      <c r="F28" s="665" t="s">
        <v>888</v>
      </c>
      <c r="G28" s="665" t="s">
        <v>889</v>
      </c>
      <c r="H28" s="665" t="s">
        <v>890</v>
      </c>
      <c r="I28" s="665" t="s">
        <v>887</v>
      </c>
      <c r="J28" s="816">
        <v>39142</v>
      </c>
      <c r="K28" s="816">
        <v>39150</v>
      </c>
      <c r="L28" s="665" t="s">
        <v>891</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25.5">
      <c r="A29" s="618"/>
      <c r="B29" s="817">
        <v>12009</v>
      </c>
      <c r="C29" s="817">
        <v>2570</v>
      </c>
      <c r="D29" s="666" t="s">
        <v>892</v>
      </c>
      <c r="E29" s="665" t="s">
        <v>893</v>
      </c>
      <c r="F29" s="665" t="s">
        <v>894</v>
      </c>
      <c r="G29" s="665" t="s">
        <v>889</v>
      </c>
      <c r="H29" s="665" t="s">
        <v>890</v>
      </c>
      <c r="I29" s="665" t="s">
        <v>893</v>
      </c>
      <c r="J29" s="816">
        <v>39241</v>
      </c>
      <c r="K29" s="816">
        <v>39253</v>
      </c>
      <c r="L29" s="665" t="s">
        <v>891</v>
      </c>
      <c r="M29" s="665">
        <v>1147</v>
      </c>
      <c r="N29" s="665">
        <v>5161.5</v>
      </c>
      <c r="O29" s="665">
        <v>7373.5714285714284</v>
      </c>
      <c r="P29" s="665">
        <v>14747.142857142859</v>
      </c>
      <c r="Q29" s="665">
        <v>0</v>
      </c>
      <c r="R29" s="665">
        <v>0</v>
      </c>
      <c r="S29" s="665">
        <v>0</v>
      </c>
      <c r="T29" s="665">
        <v>0</v>
      </c>
      <c r="U29" s="665">
        <v>0</v>
      </c>
      <c r="V29" s="665">
        <v>0</v>
      </c>
      <c r="W29" s="665">
        <v>0</v>
      </c>
      <c r="X29" s="665">
        <v>10</v>
      </c>
      <c r="Y29" s="665" t="s">
        <v>111</v>
      </c>
      <c r="Z29" s="667" t="s">
        <v>111</v>
      </c>
    </row>
    <row r="30" spans="1:26" s="619" customFormat="1" ht="25.5">
      <c r="A30" s="618"/>
      <c r="B30" s="817">
        <v>12009</v>
      </c>
      <c r="C30" s="817">
        <v>2570</v>
      </c>
      <c r="D30" s="666" t="s">
        <v>895</v>
      </c>
      <c r="E30" s="665" t="s">
        <v>896</v>
      </c>
      <c r="F30" s="665" t="s">
        <v>897</v>
      </c>
      <c r="G30" s="665" t="s">
        <v>889</v>
      </c>
      <c r="H30" s="665" t="s">
        <v>890</v>
      </c>
      <c r="I30" s="665" t="s">
        <v>896</v>
      </c>
      <c r="J30" s="816">
        <v>41995</v>
      </c>
      <c r="K30" s="816">
        <v>39261</v>
      </c>
      <c r="L30" s="665" t="s">
        <v>891</v>
      </c>
      <c r="M30" s="665">
        <v>1969</v>
      </c>
      <c r="N30" s="665">
        <v>8860.5</v>
      </c>
      <c r="O30" s="665">
        <v>12657.857142857143</v>
      </c>
      <c r="P30" s="665">
        <v>25315.714285714286</v>
      </c>
      <c r="Q30" s="665">
        <v>0</v>
      </c>
      <c r="R30" s="665">
        <v>0</v>
      </c>
      <c r="S30" s="665">
        <v>0</v>
      </c>
      <c r="T30" s="665">
        <v>0</v>
      </c>
      <c r="U30" s="665">
        <v>0</v>
      </c>
      <c r="V30" s="665">
        <v>0</v>
      </c>
      <c r="W30" s="665">
        <v>0</v>
      </c>
      <c r="X30" s="665">
        <v>10</v>
      </c>
      <c r="Y30" s="665" t="s">
        <v>111</v>
      </c>
      <c r="Z30" s="667" t="s">
        <v>111</v>
      </c>
    </row>
    <row r="31" spans="1:26" s="619" customFormat="1" ht="25.5">
      <c r="A31" s="618"/>
      <c r="B31" s="817">
        <v>12009</v>
      </c>
      <c r="C31" s="817">
        <v>2570</v>
      </c>
      <c r="D31" s="666" t="s">
        <v>898</v>
      </c>
      <c r="E31" s="665" t="s">
        <v>899</v>
      </c>
      <c r="F31" s="665" t="s">
        <v>900</v>
      </c>
      <c r="G31" s="665" t="s">
        <v>889</v>
      </c>
      <c r="H31" s="665" t="s">
        <v>890</v>
      </c>
      <c r="I31" s="665" t="s">
        <v>901</v>
      </c>
      <c r="J31" s="816">
        <v>41260</v>
      </c>
      <c r="K31" s="816">
        <v>39492</v>
      </c>
      <c r="L31" s="665" t="s">
        <v>891</v>
      </c>
      <c r="M31" s="665">
        <v>3538</v>
      </c>
      <c r="N31" s="665">
        <v>15921</v>
      </c>
      <c r="O31" s="665">
        <v>22744.285714285714</v>
      </c>
      <c r="P31" s="665">
        <v>45488.571428571435</v>
      </c>
      <c r="Q31" s="665">
        <v>0</v>
      </c>
      <c r="R31" s="665">
        <v>0</v>
      </c>
      <c r="S31" s="665">
        <v>0</v>
      </c>
      <c r="T31" s="665">
        <v>0</v>
      </c>
      <c r="U31" s="665">
        <v>0</v>
      </c>
      <c r="V31" s="665">
        <v>0</v>
      </c>
      <c r="W31" s="665">
        <v>0</v>
      </c>
      <c r="X31" s="665">
        <v>10</v>
      </c>
      <c r="Y31" s="665" t="s">
        <v>111</v>
      </c>
      <c r="Z31" s="667" t="s">
        <v>111</v>
      </c>
    </row>
    <row r="32" spans="1:26" s="619" customFormat="1" ht="25.5">
      <c r="A32" s="618"/>
      <c r="B32" s="817">
        <v>12009</v>
      </c>
      <c r="C32" s="817">
        <v>2570</v>
      </c>
      <c r="D32" s="666" t="s">
        <v>902</v>
      </c>
      <c r="E32" s="665" t="s">
        <v>903</v>
      </c>
      <c r="F32" s="665" t="s">
        <v>904</v>
      </c>
      <c r="G32" s="665" t="s">
        <v>889</v>
      </c>
      <c r="H32" s="665" t="s">
        <v>890</v>
      </c>
      <c r="I32" s="665" t="s">
        <v>903</v>
      </c>
      <c r="J32" s="816">
        <v>39573</v>
      </c>
      <c r="K32" s="816">
        <v>39573</v>
      </c>
      <c r="L32" s="665" t="s">
        <v>891</v>
      </c>
      <c r="M32" s="665">
        <v>2789</v>
      </c>
      <c r="N32" s="665">
        <v>12550.5</v>
      </c>
      <c r="O32" s="665">
        <v>17929.285714285714</v>
      </c>
      <c r="P32" s="665">
        <v>35858.571428571428</v>
      </c>
      <c r="Q32" s="665">
        <v>0</v>
      </c>
      <c r="R32" s="665">
        <v>0</v>
      </c>
      <c r="S32" s="665">
        <v>0</v>
      </c>
      <c r="T32" s="665">
        <v>0</v>
      </c>
      <c r="U32" s="665">
        <v>0</v>
      </c>
      <c r="V32" s="665">
        <v>0</v>
      </c>
      <c r="W32" s="665">
        <v>0</v>
      </c>
      <c r="X32" s="665">
        <v>10</v>
      </c>
      <c r="Y32" s="665" t="s">
        <v>111</v>
      </c>
      <c r="Z32" s="667" t="s">
        <v>111</v>
      </c>
    </row>
    <row r="33" spans="1:26" s="619" customFormat="1" ht="25.5">
      <c r="A33" s="618"/>
      <c r="B33" s="817">
        <v>12009</v>
      </c>
      <c r="C33" s="817">
        <v>2570</v>
      </c>
      <c r="D33" s="666" t="s">
        <v>905</v>
      </c>
      <c r="E33" s="665" t="s">
        <v>906</v>
      </c>
      <c r="F33" s="665" t="s">
        <v>907</v>
      </c>
      <c r="G33" s="665" t="s">
        <v>889</v>
      </c>
      <c r="H33" s="665" t="s">
        <v>890</v>
      </c>
      <c r="I33" s="665" t="s">
        <v>906</v>
      </c>
      <c r="J33" s="816">
        <v>39594</v>
      </c>
      <c r="K33" s="816">
        <v>39594</v>
      </c>
      <c r="L33" s="665" t="s">
        <v>891</v>
      </c>
      <c r="M33" s="665">
        <v>2000</v>
      </c>
      <c r="N33" s="665">
        <v>9000</v>
      </c>
      <c r="O33" s="665">
        <v>12857.142857142857</v>
      </c>
      <c r="P33" s="665">
        <v>25714.285714285717</v>
      </c>
      <c r="Q33" s="665">
        <v>0</v>
      </c>
      <c r="R33" s="665">
        <v>0</v>
      </c>
      <c r="S33" s="665">
        <v>0</v>
      </c>
      <c r="T33" s="665">
        <v>0</v>
      </c>
      <c r="U33" s="665">
        <v>0</v>
      </c>
      <c r="V33" s="665">
        <v>0</v>
      </c>
      <c r="W33" s="665">
        <v>0</v>
      </c>
      <c r="X33" s="665">
        <v>10</v>
      </c>
      <c r="Y33" s="665" t="s">
        <v>111</v>
      </c>
      <c r="Z33" s="667" t="s">
        <v>111</v>
      </c>
    </row>
    <row r="34" spans="1:26" s="619" customFormat="1" ht="25.5">
      <c r="A34" s="618"/>
      <c r="B34" s="817">
        <v>12009</v>
      </c>
      <c r="C34" s="817">
        <v>2570</v>
      </c>
      <c r="D34" s="666" t="s">
        <v>908</v>
      </c>
      <c r="E34" s="665" t="s">
        <v>909</v>
      </c>
      <c r="F34" s="665" t="s">
        <v>910</v>
      </c>
      <c r="G34" s="665" t="s">
        <v>889</v>
      </c>
      <c r="H34" s="665" t="s">
        <v>890</v>
      </c>
      <c r="I34" s="665" t="s">
        <v>911</v>
      </c>
      <c r="J34" s="816">
        <v>39843</v>
      </c>
      <c r="K34" s="816">
        <v>39848</v>
      </c>
      <c r="L34" s="665" t="s">
        <v>891</v>
      </c>
      <c r="M34" s="665">
        <v>2014</v>
      </c>
      <c r="N34" s="665">
        <v>9062.9999999999982</v>
      </c>
      <c r="O34" s="665">
        <v>12947.142857142855</v>
      </c>
      <c r="P34" s="665">
        <v>25894.28571428571</v>
      </c>
      <c r="Q34" s="665">
        <v>0</v>
      </c>
      <c r="R34" s="665">
        <v>0</v>
      </c>
      <c r="S34" s="665">
        <v>0</v>
      </c>
      <c r="T34" s="665">
        <v>0</v>
      </c>
      <c r="U34" s="665">
        <v>0</v>
      </c>
      <c r="V34" s="665">
        <v>0</v>
      </c>
      <c r="W34" s="665">
        <v>0</v>
      </c>
      <c r="X34" s="665">
        <v>10</v>
      </c>
      <c r="Y34" s="665" t="s">
        <v>111</v>
      </c>
      <c r="Z34" s="667" t="s">
        <v>111</v>
      </c>
    </row>
    <row r="35" spans="1:26" s="619" customFormat="1" ht="25.5">
      <c r="A35" s="618"/>
      <c r="B35" s="817">
        <v>12009</v>
      </c>
      <c r="C35" s="817">
        <v>2570</v>
      </c>
      <c r="D35" s="666" t="s">
        <v>912</v>
      </c>
      <c r="E35" s="665" t="s">
        <v>913</v>
      </c>
      <c r="F35" s="665" t="s">
        <v>914</v>
      </c>
      <c r="G35" s="665" t="s">
        <v>889</v>
      </c>
      <c r="H35" s="665" t="s">
        <v>890</v>
      </c>
      <c r="I35" s="665" t="s">
        <v>915</v>
      </c>
      <c r="J35" s="816">
        <v>40443</v>
      </c>
      <c r="K35" s="816">
        <v>40443</v>
      </c>
      <c r="L35" s="665" t="s">
        <v>891</v>
      </c>
      <c r="M35" s="665">
        <v>1008</v>
      </c>
      <c r="N35" s="665">
        <v>4536</v>
      </c>
      <c r="O35" s="665">
        <v>6480</v>
      </c>
      <c r="P35" s="665">
        <v>12960</v>
      </c>
      <c r="Q35" s="665">
        <v>0</v>
      </c>
      <c r="R35" s="665">
        <v>0</v>
      </c>
      <c r="S35" s="665">
        <v>0</v>
      </c>
      <c r="T35" s="665">
        <v>0</v>
      </c>
      <c r="U35" s="665">
        <v>0</v>
      </c>
      <c r="V35" s="665">
        <v>0</v>
      </c>
      <c r="W35" s="665">
        <v>0</v>
      </c>
      <c r="X35" s="665">
        <v>10</v>
      </c>
      <c r="Y35" s="665" t="s">
        <v>111</v>
      </c>
      <c r="Z35" s="667" t="s">
        <v>111</v>
      </c>
    </row>
    <row r="36" spans="1:26" s="619" customFormat="1" ht="25.5">
      <c r="A36" s="618"/>
      <c r="B36" s="817">
        <v>12009</v>
      </c>
      <c r="C36" s="817">
        <v>2570</v>
      </c>
      <c r="D36" s="666" t="s">
        <v>916</v>
      </c>
      <c r="E36" s="665" t="s">
        <v>917</v>
      </c>
      <c r="F36" s="665" t="s">
        <v>918</v>
      </c>
      <c r="G36" s="665" t="s">
        <v>889</v>
      </c>
      <c r="H36" s="665" t="s">
        <v>890</v>
      </c>
      <c r="I36" s="665" t="s">
        <v>917</v>
      </c>
      <c r="J36" s="816">
        <v>40763</v>
      </c>
      <c r="K36" s="816">
        <v>40763</v>
      </c>
      <c r="L36" s="665" t="s">
        <v>891</v>
      </c>
      <c r="M36" s="665">
        <v>1560</v>
      </c>
      <c r="N36" s="665">
        <v>7020</v>
      </c>
      <c r="O36" s="665">
        <v>10028.571428571429</v>
      </c>
      <c r="P36" s="665">
        <v>20057.142857142859</v>
      </c>
      <c r="Q36" s="665">
        <v>0</v>
      </c>
      <c r="R36" s="665">
        <v>0</v>
      </c>
      <c r="S36" s="665">
        <v>0</v>
      </c>
      <c r="T36" s="665">
        <v>0</v>
      </c>
      <c r="U36" s="665">
        <v>0</v>
      </c>
      <c r="V36" s="665">
        <v>0</v>
      </c>
      <c r="W36" s="665">
        <v>0</v>
      </c>
      <c r="X36" s="665">
        <v>16000</v>
      </c>
      <c r="Y36" s="665" t="s">
        <v>32</v>
      </c>
      <c r="Z36" s="667" t="s">
        <v>388</v>
      </c>
    </row>
    <row r="37" spans="1:26" s="619" customFormat="1" ht="38.25">
      <c r="A37" s="618"/>
      <c r="B37" s="817">
        <v>12009</v>
      </c>
      <c r="C37" s="817">
        <v>2570</v>
      </c>
      <c r="D37" s="666" t="s">
        <v>919</v>
      </c>
      <c r="E37" s="665" t="s">
        <v>920</v>
      </c>
      <c r="F37" s="665" t="s">
        <v>921</v>
      </c>
      <c r="G37" s="665" t="s">
        <v>889</v>
      </c>
      <c r="H37" s="665" t="s">
        <v>922</v>
      </c>
      <c r="I37" s="665" t="s">
        <v>920</v>
      </c>
      <c r="J37" s="816">
        <v>41313</v>
      </c>
      <c r="K37" s="816">
        <v>41316</v>
      </c>
      <c r="L37" s="665" t="s">
        <v>891</v>
      </c>
      <c r="M37" s="665">
        <v>1562</v>
      </c>
      <c r="N37" s="665">
        <v>7029</v>
      </c>
      <c r="O37" s="665">
        <v>7907.625</v>
      </c>
      <c r="P37" s="665">
        <v>17572.5</v>
      </c>
      <c r="Q37" s="665">
        <v>0</v>
      </c>
      <c r="R37" s="665">
        <v>0</v>
      </c>
      <c r="S37" s="665">
        <v>0</v>
      </c>
      <c r="T37" s="665">
        <v>0</v>
      </c>
      <c r="U37" s="665">
        <v>0</v>
      </c>
      <c r="V37" s="665">
        <v>0</v>
      </c>
      <c r="W37" s="665">
        <v>0</v>
      </c>
      <c r="X37" s="665">
        <v>10</v>
      </c>
      <c r="Y37" s="665" t="s">
        <v>111</v>
      </c>
      <c r="Z37" s="667" t="s">
        <v>111</v>
      </c>
    </row>
    <row r="38" spans="1:26" s="619" customFormat="1" ht="25.5">
      <c r="A38" s="618"/>
      <c r="B38" s="817">
        <v>12009</v>
      </c>
      <c r="C38" s="817">
        <v>2570</v>
      </c>
      <c r="D38" s="666" t="s">
        <v>923</v>
      </c>
      <c r="E38" s="665"/>
      <c r="F38" s="665" t="s">
        <v>924</v>
      </c>
      <c r="G38" s="665" t="s">
        <v>925</v>
      </c>
      <c r="H38" s="665" t="s">
        <v>890</v>
      </c>
      <c r="I38" s="665" t="s">
        <v>926</v>
      </c>
      <c r="J38" s="816">
        <v>42502</v>
      </c>
      <c r="K38" s="816">
        <v>42502</v>
      </c>
      <c r="L38" s="665" t="s">
        <v>927</v>
      </c>
      <c r="M38" s="665">
        <v>1286</v>
      </c>
      <c r="N38" s="665">
        <v>5787</v>
      </c>
      <c r="O38" s="665">
        <v>8267.1428571428569</v>
      </c>
      <c r="P38" s="665">
        <v>16534.285714285714</v>
      </c>
      <c r="Q38" s="665">
        <v>0</v>
      </c>
      <c r="R38" s="665">
        <v>0</v>
      </c>
      <c r="S38" s="665">
        <v>0</v>
      </c>
      <c r="T38" s="665">
        <v>0</v>
      </c>
      <c r="U38" s="665">
        <v>0</v>
      </c>
      <c r="V38" s="665">
        <v>0</v>
      </c>
      <c r="W38" s="665">
        <v>0</v>
      </c>
      <c r="X38" s="665">
        <v>10</v>
      </c>
      <c r="Y38" s="665" t="s">
        <v>111</v>
      </c>
      <c r="Z38" s="667" t="s">
        <v>111</v>
      </c>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20873</v>
      </c>
      <c r="N58" s="623">
        <f>SUM(N28:N57)</f>
        <v>93928.5</v>
      </c>
      <c r="O58" s="623">
        <f t="shared" ref="O58:W58" si="2">SUM(O28:O57)</f>
        <v>132049.76785714287</v>
      </c>
      <c r="P58" s="623">
        <f t="shared" si="2"/>
        <v>265856.78571428574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1560</v>
      </c>
      <c r="N59" s="623">
        <f t="shared" si="3"/>
        <v>7020</v>
      </c>
      <c r="O59" s="623">
        <f t="shared" si="3"/>
        <v>10028.571428571429</v>
      </c>
      <c r="P59" s="623">
        <f t="shared" si="3"/>
        <v>20057.142857142859</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19313</v>
      </c>
      <c r="N61" s="628">
        <f t="shared" si="4"/>
        <v>86908.5</v>
      </c>
      <c r="O61" s="628">
        <f t="shared" si="4"/>
        <v>122021.19642857142</v>
      </c>
      <c r="P61" s="628">
        <f t="shared" si="4"/>
        <v>245799.64285714287</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0.58434719899977738</v>
      </c>
      <c r="C98" s="648">
        <f>IF(ISERROR(N58/(O58+N58)),0,N58/(N58+O58))</f>
        <v>0.41565280100022256</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110504.11764705883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155352.66806722691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27773.893197868179</v>
      </c>
      <c r="C4" s="478">
        <f>huishoudens!C8</f>
        <v>0</v>
      </c>
      <c r="D4" s="478">
        <f>huishoudens!D8</f>
        <v>76617.111166860006</v>
      </c>
      <c r="E4" s="478">
        <f>huishoudens!E8</f>
        <v>2411.3767039933614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8345.9471134149826</v>
      </c>
      <c r="O4" s="478">
        <f>huishoudens!O8</f>
        <v>369.01622880598791</v>
      </c>
      <c r="P4" s="479">
        <f>huishoudens!P8</f>
        <v>663.6394363841564</v>
      </c>
      <c r="Q4" s="480">
        <f>SUM(B4:P4)</f>
        <v>116180.98384732667</v>
      </c>
    </row>
    <row r="5" spans="1:17">
      <c r="A5" s="477" t="s">
        <v>155</v>
      </c>
      <c r="B5" s="478">
        <f ca="1">tertiair!B16</f>
        <v>33788.379411000002</v>
      </c>
      <c r="C5" s="478">
        <f ca="1">tertiair!C16</f>
        <v>0</v>
      </c>
      <c r="D5" s="478">
        <f ca="1">tertiair!D16</f>
        <v>38289.513115964</v>
      </c>
      <c r="E5" s="478">
        <f>tertiair!E16</f>
        <v>230.37749802839267</v>
      </c>
      <c r="F5" s="478">
        <f ca="1">tertiair!F16</f>
        <v>4147.6804236114094</v>
      </c>
      <c r="G5" s="478">
        <f>tertiair!G16</f>
        <v>0</v>
      </c>
      <c r="H5" s="478">
        <f>tertiair!H16</f>
        <v>0</v>
      </c>
      <c r="I5" s="478">
        <f>tertiair!I16</f>
        <v>0</v>
      </c>
      <c r="J5" s="478">
        <f>tertiair!J16</f>
        <v>0.22821671544022806</v>
      </c>
      <c r="K5" s="478">
        <f>tertiair!K16</f>
        <v>0</v>
      </c>
      <c r="L5" s="478">
        <f ca="1">tertiair!L16</f>
        <v>0</v>
      </c>
      <c r="M5" s="478">
        <f>tertiair!M16</f>
        <v>0</v>
      </c>
      <c r="N5" s="478">
        <f ca="1">tertiair!N16</f>
        <v>8960.1510687174814</v>
      </c>
      <c r="O5" s="478">
        <f>tertiair!O16</f>
        <v>9.7945215316823084</v>
      </c>
      <c r="P5" s="479">
        <f>tertiair!P16</f>
        <v>157.61741491948504</v>
      </c>
      <c r="Q5" s="477">
        <f t="shared" ref="Q5:Q14" ca="1" si="0">SUM(B5:P5)</f>
        <v>85583.7416704879</v>
      </c>
    </row>
    <row r="6" spans="1:17">
      <c r="A6" s="477" t="s">
        <v>193</v>
      </c>
      <c r="B6" s="478">
        <f>'openbare verlichting'!B8</f>
        <v>1256.1420000000001</v>
      </c>
      <c r="C6" s="478"/>
      <c r="D6" s="478"/>
      <c r="E6" s="478"/>
      <c r="F6" s="478"/>
      <c r="G6" s="478"/>
      <c r="H6" s="478"/>
      <c r="I6" s="478"/>
      <c r="J6" s="478"/>
      <c r="K6" s="478"/>
      <c r="L6" s="478"/>
      <c r="M6" s="478"/>
      <c r="N6" s="478"/>
      <c r="O6" s="478"/>
      <c r="P6" s="479"/>
      <c r="Q6" s="477">
        <f t="shared" si="0"/>
        <v>1256.1420000000001</v>
      </c>
    </row>
    <row r="7" spans="1:17">
      <c r="A7" s="477" t="s">
        <v>111</v>
      </c>
      <c r="B7" s="478">
        <f>landbouw!B8</f>
        <v>12105.658659000001</v>
      </c>
      <c r="C7" s="478">
        <f>landbouw!C8</f>
        <v>122021.19642857142</v>
      </c>
      <c r="D7" s="478">
        <f>landbouw!D8</f>
        <v>49167.736310417153</v>
      </c>
      <c r="E7" s="478">
        <f>landbouw!E8</f>
        <v>377.81361479364307</v>
      </c>
      <c r="F7" s="478">
        <f>landbouw!F8</f>
        <v>42782.738729596647</v>
      </c>
      <c r="G7" s="478">
        <f>landbouw!G8</f>
        <v>0</v>
      </c>
      <c r="H7" s="478">
        <f>landbouw!H8</f>
        <v>0</v>
      </c>
      <c r="I7" s="478">
        <f>landbouw!I8</f>
        <v>0</v>
      </c>
      <c r="J7" s="478">
        <f>landbouw!J8</f>
        <v>3335.1929125615493</v>
      </c>
      <c r="K7" s="478">
        <f>landbouw!K8</f>
        <v>0</v>
      </c>
      <c r="L7" s="478">
        <f>landbouw!L8</f>
        <v>0</v>
      </c>
      <c r="M7" s="478">
        <f>landbouw!M8</f>
        <v>0</v>
      </c>
      <c r="N7" s="478">
        <f>landbouw!N8</f>
        <v>0</v>
      </c>
      <c r="O7" s="478">
        <f>landbouw!O8</f>
        <v>0</v>
      </c>
      <c r="P7" s="479">
        <f>landbouw!P8</f>
        <v>0</v>
      </c>
      <c r="Q7" s="477">
        <f t="shared" si="0"/>
        <v>229790.33665494042</v>
      </c>
    </row>
    <row r="8" spans="1:17">
      <c r="A8" s="477" t="s">
        <v>629</v>
      </c>
      <c r="B8" s="478">
        <f>industrie!B18</f>
        <v>87700.894174999994</v>
      </c>
      <c r="C8" s="478">
        <f>industrie!C18</f>
        <v>10028.571428571429</v>
      </c>
      <c r="D8" s="478">
        <f>industrie!D18</f>
        <v>336522.6636281992</v>
      </c>
      <c r="E8" s="478">
        <f>industrie!E18</f>
        <v>3916.0270213461581</v>
      </c>
      <c r="F8" s="478">
        <f>industrie!F18</f>
        <v>14626.828676720026</v>
      </c>
      <c r="G8" s="478">
        <f>industrie!G18</f>
        <v>0</v>
      </c>
      <c r="H8" s="478">
        <f>industrie!H18</f>
        <v>0</v>
      </c>
      <c r="I8" s="478">
        <f>industrie!I18</f>
        <v>0</v>
      </c>
      <c r="J8" s="478">
        <f>industrie!J18</f>
        <v>726.35121638649241</v>
      </c>
      <c r="K8" s="478">
        <f>industrie!K18</f>
        <v>0</v>
      </c>
      <c r="L8" s="478">
        <f>industrie!L18</f>
        <v>0</v>
      </c>
      <c r="M8" s="478">
        <f>industrie!M18</f>
        <v>0</v>
      </c>
      <c r="N8" s="478">
        <f>industrie!N18</f>
        <v>3123.6425070124546</v>
      </c>
      <c r="O8" s="478">
        <f>industrie!O18</f>
        <v>0</v>
      </c>
      <c r="P8" s="479">
        <f>industrie!P18</f>
        <v>0</v>
      </c>
      <c r="Q8" s="477">
        <f t="shared" si="0"/>
        <v>456644.97865323577</v>
      </c>
    </row>
    <row r="9" spans="1:17" s="483" customFormat="1">
      <c r="A9" s="481" t="s">
        <v>555</v>
      </c>
      <c r="B9" s="482">
        <f>transport!B14</f>
        <v>35.507115662500006</v>
      </c>
      <c r="C9" s="482">
        <f>transport!C14</f>
        <v>0</v>
      </c>
      <c r="D9" s="482">
        <f>transport!D14</f>
        <v>132.87092669594333</v>
      </c>
      <c r="E9" s="482">
        <f>transport!E14</f>
        <v>103.43763283769444</v>
      </c>
      <c r="F9" s="482">
        <f>transport!F14</f>
        <v>0</v>
      </c>
      <c r="G9" s="482">
        <f>transport!G14</f>
        <v>42905.468882473629</v>
      </c>
      <c r="H9" s="482">
        <f>transport!H14</f>
        <v>9933.67926581334</v>
      </c>
      <c r="I9" s="482">
        <f>transport!I14</f>
        <v>0</v>
      </c>
      <c r="J9" s="482">
        <f>transport!J14</f>
        <v>0</v>
      </c>
      <c r="K9" s="482">
        <f>transport!K14</f>
        <v>0</v>
      </c>
      <c r="L9" s="482">
        <f>transport!L14</f>
        <v>0</v>
      </c>
      <c r="M9" s="482">
        <f>transport!M14</f>
        <v>3126.8417902785541</v>
      </c>
      <c r="N9" s="482">
        <f>transport!N14</f>
        <v>0</v>
      </c>
      <c r="O9" s="482">
        <f>transport!O14</f>
        <v>0</v>
      </c>
      <c r="P9" s="482">
        <f>transport!P14</f>
        <v>0</v>
      </c>
      <c r="Q9" s="481">
        <f>SUM(B9:P9)</f>
        <v>56237.805613761659</v>
      </c>
    </row>
    <row r="10" spans="1:17">
      <c r="A10" s="477" t="s">
        <v>545</v>
      </c>
      <c r="B10" s="478">
        <f>transport!B54</f>
        <v>0</v>
      </c>
      <c r="C10" s="478">
        <f>transport!C54</f>
        <v>0</v>
      </c>
      <c r="D10" s="478">
        <f>transport!D54</f>
        <v>0</v>
      </c>
      <c r="E10" s="478">
        <f>transport!E54</f>
        <v>0</v>
      </c>
      <c r="F10" s="478">
        <f>transport!F54</f>
        <v>0</v>
      </c>
      <c r="G10" s="478">
        <f>transport!G54</f>
        <v>1220.1655770376794</v>
      </c>
      <c r="H10" s="478">
        <f>transport!H54</f>
        <v>0</v>
      </c>
      <c r="I10" s="478">
        <f>transport!I54</f>
        <v>0</v>
      </c>
      <c r="J10" s="478">
        <f>transport!J54</f>
        <v>0</v>
      </c>
      <c r="K10" s="478">
        <f>transport!K54</f>
        <v>0</v>
      </c>
      <c r="L10" s="478">
        <f>transport!L54</f>
        <v>0</v>
      </c>
      <c r="M10" s="478">
        <f>transport!M54</f>
        <v>67.816937775658886</v>
      </c>
      <c r="N10" s="478">
        <f>transport!N54</f>
        <v>0</v>
      </c>
      <c r="O10" s="478">
        <f>transport!O54</f>
        <v>0</v>
      </c>
      <c r="P10" s="479">
        <f>transport!P54</f>
        <v>0</v>
      </c>
      <c r="Q10" s="477">
        <f t="shared" si="0"/>
        <v>1287.9825148133384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740.72673400000008</v>
      </c>
      <c r="C14" s="485"/>
      <c r="D14" s="485">
        <f>'SEAP template'!E25</f>
        <v>2355.7037769999997</v>
      </c>
      <c r="E14" s="485"/>
      <c r="F14" s="485"/>
      <c r="G14" s="485"/>
      <c r="H14" s="485"/>
      <c r="I14" s="485"/>
      <c r="J14" s="485"/>
      <c r="K14" s="485"/>
      <c r="L14" s="485"/>
      <c r="M14" s="485"/>
      <c r="N14" s="485"/>
      <c r="O14" s="485"/>
      <c r="P14" s="486"/>
      <c r="Q14" s="477">
        <f t="shared" si="0"/>
        <v>3096.4305109999996</v>
      </c>
    </row>
    <row r="15" spans="1:17" s="489" customFormat="1">
      <c r="A15" s="487" t="s">
        <v>549</v>
      </c>
      <c r="B15" s="488">
        <f ca="1">SUM(B4:B14)</f>
        <v>163401.20129253066</v>
      </c>
      <c r="C15" s="488">
        <f t="shared" ref="C15:Q15" ca="1" si="1">SUM(C4:C14)</f>
        <v>132049.76785714284</v>
      </c>
      <c r="D15" s="488">
        <f t="shared" ca="1" si="1"/>
        <v>503085.59892513632</v>
      </c>
      <c r="E15" s="488">
        <f t="shared" si="1"/>
        <v>7039.0324709992501</v>
      </c>
      <c r="F15" s="488">
        <f t="shared" ca="1" si="1"/>
        <v>61557.247829928085</v>
      </c>
      <c r="G15" s="488">
        <f t="shared" si="1"/>
        <v>44125.634459511311</v>
      </c>
      <c r="H15" s="488">
        <f t="shared" si="1"/>
        <v>9933.67926581334</v>
      </c>
      <c r="I15" s="488">
        <f t="shared" si="1"/>
        <v>0</v>
      </c>
      <c r="J15" s="488">
        <f t="shared" si="1"/>
        <v>4061.7723456634822</v>
      </c>
      <c r="K15" s="488">
        <f t="shared" si="1"/>
        <v>0</v>
      </c>
      <c r="L15" s="488">
        <f t="shared" ca="1" si="1"/>
        <v>0</v>
      </c>
      <c r="M15" s="488">
        <f t="shared" si="1"/>
        <v>3194.658728054213</v>
      </c>
      <c r="N15" s="488">
        <f t="shared" ca="1" si="1"/>
        <v>20429.740689144917</v>
      </c>
      <c r="O15" s="488">
        <f t="shared" si="1"/>
        <v>378.81075033767024</v>
      </c>
      <c r="P15" s="488">
        <f t="shared" si="1"/>
        <v>821.2568513036415</v>
      </c>
      <c r="Q15" s="488">
        <f t="shared" ca="1" si="1"/>
        <v>950078.40146556566</v>
      </c>
    </row>
    <row r="17" spans="1:17">
      <c r="A17" s="490" t="s">
        <v>550</v>
      </c>
      <c r="B17" s="807">
        <f ca="1">huishoudens!B10</f>
        <v>0.21938285216392706</v>
      </c>
      <c r="C17" s="807">
        <f ca="1">huishoudens!C10</f>
        <v>0.23764705882352949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6093.1159054446143</v>
      </c>
      <c r="C22" s="478">
        <f t="shared" ref="C22:C32" ca="1" si="3">C4*$C$17</f>
        <v>0</v>
      </c>
      <c r="D22" s="478">
        <f t="shared" ref="D22:D32" si="4">D4*$D$17</f>
        <v>15476.656455705723</v>
      </c>
      <c r="E22" s="478">
        <f t="shared" ref="E22:E32" si="5">E4*$E$17</f>
        <v>547.38251180649308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22117.154872956831</v>
      </c>
    </row>
    <row r="23" spans="1:17">
      <c r="A23" s="477" t="s">
        <v>155</v>
      </c>
      <c r="B23" s="478">
        <f t="shared" ca="1" si="2"/>
        <v>7412.5910451820901</v>
      </c>
      <c r="C23" s="478">
        <f t="shared" ca="1" si="3"/>
        <v>0</v>
      </c>
      <c r="D23" s="478">
        <f t="shared" ca="1" si="4"/>
        <v>7734.4816494247289</v>
      </c>
      <c r="E23" s="478">
        <f t="shared" si="5"/>
        <v>52.295692052445133</v>
      </c>
      <c r="F23" s="478">
        <f t="shared" ca="1" si="6"/>
        <v>1107.4306731042464</v>
      </c>
      <c r="G23" s="478">
        <f t="shared" si="7"/>
        <v>0</v>
      </c>
      <c r="H23" s="478">
        <f t="shared" si="8"/>
        <v>0</v>
      </c>
      <c r="I23" s="478">
        <f t="shared" si="9"/>
        <v>0</v>
      </c>
      <c r="J23" s="478">
        <f t="shared" si="10"/>
        <v>8.0788717265840734E-2</v>
      </c>
      <c r="K23" s="478">
        <f t="shared" si="11"/>
        <v>0</v>
      </c>
      <c r="L23" s="478">
        <f t="shared" ca="1" si="12"/>
        <v>0</v>
      </c>
      <c r="M23" s="478">
        <f t="shared" si="13"/>
        <v>0</v>
      </c>
      <c r="N23" s="478">
        <f t="shared" ca="1" si="14"/>
        <v>0</v>
      </c>
      <c r="O23" s="478">
        <f t="shared" si="15"/>
        <v>0</v>
      </c>
      <c r="P23" s="479">
        <f t="shared" si="16"/>
        <v>0</v>
      </c>
      <c r="Q23" s="477">
        <f t="shared" ref="Q23:Q31" ca="1" si="17">SUM(B23:P23)</f>
        <v>16306.879848480776</v>
      </c>
    </row>
    <row r="24" spans="1:17">
      <c r="A24" s="477" t="s">
        <v>193</v>
      </c>
      <c r="B24" s="478">
        <f t="shared" ca="1" si="2"/>
        <v>275.57601468289965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275.57601468289965</v>
      </c>
    </row>
    <row r="25" spans="1:17">
      <c r="A25" s="477" t="s">
        <v>111</v>
      </c>
      <c r="B25" s="478">
        <f t="shared" ca="1" si="2"/>
        <v>2655.7739239343605</v>
      </c>
      <c r="C25" s="478">
        <f t="shared" ca="1" si="3"/>
        <v>28997.978445378158</v>
      </c>
      <c r="D25" s="478">
        <f t="shared" si="4"/>
        <v>9931.8827347042661</v>
      </c>
      <c r="E25" s="478">
        <f t="shared" si="5"/>
        <v>85.763690558156981</v>
      </c>
      <c r="F25" s="478">
        <f t="shared" si="6"/>
        <v>11422.991240802305</v>
      </c>
      <c r="G25" s="478">
        <f t="shared" si="7"/>
        <v>0</v>
      </c>
      <c r="H25" s="478">
        <f t="shared" si="8"/>
        <v>0</v>
      </c>
      <c r="I25" s="478">
        <f t="shared" si="9"/>
        <v>0</v>
      </c>
      <c r="J25" s="478">
        <f t="shared" si="10"/>
        <v>1180.6582910467885</v>
      </c>
      <c r="K25" s="478">
        <f t="shared" si="11"/>
        <v>0</v>
      </c>
      <c r="L25" s="478">
        <f t="shared" si="12"/>
        <v>0</v>
      </c>
      <c r="M25" s="478">
        <f t="shared" si="13"/>
        <v>0</v>
      </c>
      <c r="N25" s="478">
        <f t="shared" si="14"/>
        <v>0</v>
      </c>
      <c r="O25" s="478">
        <f t="shared" si="15"/>
        <v>0</v>
      </c>
      <c r="P25" s="479">
        <f t="shared" si="16"/>
        <v>0</v>
      </c>
      <c r="Q25" s="477">
        <f t="shared" ca="1" si="17"/>
        <v>54275.048326424039</v>
      </c>
    </row>
    <row r="26" spans="1:17">
      <c r="A26" s="477" t="s">
        <v>629</v>
      </c>
      <c r="B26" s="478">
        <f t="shared" ca="1" si="2"/>
        <v>19240.072301438235</v>
      </c>
      <c r="C26" s="478">
        <f t="shared" ca="1" si="3"/>
        <v>2383.2605042016817</v>
      </c>
      <c r="D26" s="478">
        <f t="shared" si="4"/>
        <v>67977.578052896235</v>
      </c>
      <c r="E26" s="478">
        <f t="shared" si="5"/>
        <v>888.93813384557791</v>
      </c>
      <c r="F26" s="478">
        <f t="shared" si="6"/>
        <v>3905.3632566842471</v>
      </c>
      <c r="G26" s="478">
        <f t="shared" si="7"/>
        <v>0</v>
      </c>
      <c r="H26" s="478">
        <f t="shared" si="8"/>
        <v>0</v>
      </c>
      <c r="I26" s="478">
        <f t="shared" si="9"/>
        <v>0</v>
      </c>
      <c r="J26" s="478">
        <f t="shared" si="10"/>
        <v>257.12833060081829</v>
      </c>
      <c r="K26" s="478">
        <f t="shared" si="11"/>
        <v>0</v>
      </c>
      <c r="L26" s="478">
        <f t="shared" si="12"/>
        <v>0</v>
      </c>
      <c r="M26" s="478">
        <f t="shared" si="13"/>
        <v>0</v>
      </c>
      <c r="N26" s="478">
        <f t="shared" si="14"/>
        <v>0</v>
      </c>
      <c r="O26" s="478">
        <f t="shared" si="15"/>
        <v>0</v>
      </c>
      <c r="P26" s="479">
        <f t="shared" si="16"/>
        <v>0</v>
      </c>
      <c r="Q26" s="477">
        <f t="shared" ca="1" si="17"/>
        <v>94652.340579666779</v>
      </c>
    </row>
    <row r="27" spans="1:17" s="483" customFormat="1">
      <c r="A27" s="481" t="s">
        <v>555</v>
      </c>
      <c r="B27" s="801">
        <f t="shared" ca="1" si="2"/>
        <v>7.7896523061536973</v>
      </c>
      <c r="C27" s="482">
        <f t="shared" ca="1" si="3"/>
        <v>0</v>
      </c>
      <c r="D27" s="482">
        <f t="shared" si="4"/>
        <v>26.839927192580554</v>
      </c>
      <c r="E27" s="482">
        <f t="shared" si="5"/>
        <v>23.480342654156637</v>
      </c>
      <c r="F27" s="482">
        <f t="shared" si="6"/>
        <v>0</v>
      </c>
      <c r="G27" s="482">
        <f t="shared" si="7"/>
        <v>11455.76019162046</v>
      </c>
      <c r="H27" s="482">
        <f t="shared" si="8"/>
        <v>2473.4861371875218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13987.356250960873</v>
      </c>
    </row>
    <row r="28" spans="1:17" ht="16.5" customHeight="1">
      <c r="A28" s="477" t="s">
        <v>545</v>
      </c>
      <c r="B28" s="478">
        <f t="shared" ca="1" si="2"/>
        <v>0</v>
      </c>
      <c r="C28" s="478">
        <f t="shared" ca="1" si="3"/>
        <v>0</v>
      </c>
      <c r="D28" s="478">
        <f t="shared" si="4"/>
        <v>0</v>
      </c>
      <c r="E28" s="478">
        <f t="shared" si="5"/>
        <v>0</v>
      </c>
      <c r="F28" s="478">
        <f t="shared" si="6"/>
        <v>0</v>
      </c>
      <c r="G28" s="478">
        <f t="shared" si="7"/>
        <v>325.78420906906041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325.78420906906041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162.50274357899053</v>
      </c>
      <c r="C32" s="478">
        <f t="shared" ca="1" si="3"/>
        <v>0</v>
      </c>
      <c r="D32" s="478">
        <f t="shared" si="4"/>
        <v>475.85216295399999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638.35490653299053</v>
      </c>
    </row>
    <row r="33" spans="1:17" s="489" customFormat="1">
      <c r="A33" s="487" t="s">
        <v>549</v>
      </c>
      <c r="B33" s="488">
        <f ca="1">SUM(B22:B32)</f>
        <v>35847.421586567347</v>
      </c>
      <c r="C33" s="488">
        <f t="shared" ref="C33:Q33" ca="1" si="19">SUM(C22:C32)</f>
        <v>31381.238949579838</v>
      </c>
      <c r="D33" s="488">
        <f t="shared" ca="1" si="19"/>
        <v>101623.29098287753</v>
      </c>
      <c r="E33" s="488">
        <f t="shared" si="19"/>
        <v>1597.8603709168297</v>
      </c>
      <c r="F33" s="488">
        <f t="shared" ca="1" si="19"/>
        <v>16435.7851705908</v>
      </c>
      <c r="G33" s="488">
        <f t="shared" si="19"/>
        <v>11781.544400689521</v>
      </c>
      <c r="H33" s="488">
        <f t="shared" si="19"/>
        <v>2473.4861371875218</v>
      </c>
      <c r="I33" s="488">
        <f t="shared" si="19"/>
        <v>0</v>
      </c>
      <c r="J33" s="488">
        <f t="shared" si="19"/>
        <v>1437.8674103648727</v>
      </c>
      <c r="K33" s="488">
        <f t="shared" si="19"/>
        <v>0</v>
      </c>
      <c r="L33" s="488">
        <f t="shared" ca="1" si="19"/>
        <v>0</v>
      </c>
      <c r="M33" s="488">
        <f t="shared" si="19"/>
        <v>0</v>
      </c>
      <c r="N33" s="488">
        <f t="shared" ca="1" si="19"/>
        <v>0</v>
      </c>
      <c r="O33" s="488">
        <f t="shared" si="19"/>
        <v>0</v>
      </c>
      <c r="P33" s="488">
        <f t="shared" si="19"/>
        <v>0</v>
      </c>
      <c r="Q33" s="488">
        <f t="shared" ca="1" si="19"/>
        <v>202578.49500877428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8270.9373927050419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93928.5</v>
      </c>
      <c r="D8" s="1062">
        <f>'SEAP template'!D76</f>
        <v>110504.11764705883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22321.831764705883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8270.9373927050419</v>
      </c>
      <c r="C10" s="1064">
        <f>SUM(C4:C9)</f>
        <v>93928.5</v>
      </c>
      <c r="D10" s="1064">
        <f t="shared" ref="D10:H10" si="0">SUM(D8:D9)</f>
        <v>110504.11764705883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22321.831764705883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0.21938285216392706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132049.76785714287</v>
      </c>
      <c r="D17" s="1063">
        <f>'SEAP template'!D87</f>
        <v>155352.66806722691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31381.238949579838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132049.76785714287</v>
      </c>
      <c r="D20" s="1064">
        <f t="shared" ref="D20:H20" si="2">SUM(D17:D19)</f>
        <v>155352.66806722691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31381.238949579838</v>
      </c>
    </row>
    <row r="21" spans="1:16">
      <c r="B21" s="913"/>
    </row>
    <row r="22" spans="1:16">
      <c r="A22" s="490" t="s">
        <v>814</v>
      </c>
      <c r="B22" s="807" t="s">
        <v>812</v>
      </c>
      <c r="C22" s="807">
        <f ca="1">'EF ele_warmte'!B22</f>
        <v>0.23764705882352949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0.21938285216392706</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2019-08-12T08:38:00Z</dcterms:modified>
</cp:coreProperties>
</file>