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<sst xmlns="http://schemas.openxmlformats.org/spreadsheetml/2006/main" count="2402" uniqueCount="895">
  <si>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</si>
  <si>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</si>
  <si>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</si>
  <si>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</si>
  <si>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</si>
  <si>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</si>
  <si>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</si>
  <si>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</si>
  <si>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</si>
  <si>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</si>
  <si>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</si>
  <si>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</si>
  <si>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</si>
  <si>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</si>
  <si>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</si>
  <si>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</si>
  <si>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</si>
  <si>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</si>
  <si>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</si>
  <si>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</si>
  <si>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</si>
  <si>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</si>
  <si>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</si>
  <si>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</si>
  <si>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</si>
  <si>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</si>
  <si>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</si>
  <si>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</si>
  <si>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</si>
  <si>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</si>
  <si>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</si>
  <si>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</si>
  <si>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</si>
  <si>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</si>
  <si>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</si>
  <si>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</si>
  <si>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</si>
  <si>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</si>
  <si>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</si>
  <si>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</si>
  <si>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</si>
  <si>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</si>
  <si>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</si>
  <si>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</si>
  <si>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</si>
  <si>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</si>
  <si>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</si>
  <si>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</si>
  <si>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</si>
  <si>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</si>
  <si>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</si>
  <si>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</si>
  <si>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</si>
  <si>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</si>
  <si>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</si>
  <si>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</si>
  <si>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</si>
  <si>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</si>
  <si>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</si>
  <si>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</si>
  <si>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</si>
  <si>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</si>
  <si>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</si>
  <si>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</si>
  <si>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</si>
  <si>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</si>
  <si>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</si>
  <si>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</si>
  <si>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</si>
  <si>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</si>
  <si>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</si>
  <si>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</si>
  <si>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</si>
  <si>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</si>
  <si>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</si>
  <si>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</si>
  <si>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</si>
  <si>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</si>
  <si>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</si>
  <si>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</si>
  <si>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</si>
  <si>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</si>
  <si>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</si>
  <si>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</si>
  <si>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</si>
  <si>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</si>
  <si>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</si>
  <si>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</si>
  <si>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</si>
  <si>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</si>
  <si>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</si>
  <si>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</si>
  <si>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</si>
  <si>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</si>
  <si>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</si>
  <si>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</si>
  <si>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</si>
  <si>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</si>
  <si>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</si>
  <si>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</si>
  <si>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</si>
  <si>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</si>
  <si>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</si>
  <si>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</si>
  <si>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</si>
  <si>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</si>
  <si>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</si>
  <si>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</si>
  <si>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</si>
  <si>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</si>
  <si>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</si>
  <si>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</si>
  <si>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</si>
  <si>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</si>
  <si>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</si>
  <si>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</si>
  <si>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</si>
  <si>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</si>
  <si>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</si>
  <si>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</si>
  <si>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</si>
  <si>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</si>
  <si>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</si>
  <si>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</si>
  <si>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</si>
  <si>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</si>
  <si>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</si>
  <si>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</si>
  <si>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</si>
  <si>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</si>
  <si>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</si>
  <si>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</si>
  <si>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</si>
  <si>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</si>
  <si>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</si>
  <si>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</si>
  <si>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</si>
  <si>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</si>
  <si>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</si>
  <si>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</si>
  <si>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</si>
  <si>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</si>
  <si>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</si>
  <si>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</si>
  <si>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</si>
  <si>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</si>
  <si>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</si>
  <si>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</si>
  <si>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</si>
  <si>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</si>
  <si>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</si>
  <si>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</si>
  <si>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</si>
  <si>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</si>
  <si>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</si>
  <si>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</si>
  <si>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</si>
  <si>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</si>
  <si>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</si>
  <si>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</si>
  <si>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</si>
  <si>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</si>
  <si>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</si>
  <si>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</si>
  <si>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</si>
  <si>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</si>
  <si>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</si>
  <si>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</si>
  <si>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</si>
  <si>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</si>
  <si>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</si>
  <si>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</si>
  <si>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</si>
  <si>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</si>
  <si>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</si>
  <si>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</si>
  <si>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</si>
  <si>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</si>
  <si>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</si>
  <si>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</si>
  <si>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</si>
  <si>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</si>
  <si>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</si>
  <si>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</si>
  <si>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</si>
  <si>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</si>
  <si>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</si>
  <si>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</si>
  <si>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</si>
  <si>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</si>
  <si>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</si>
  <si>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</si>
  <si>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</si>
  <si>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</si>
  <si>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</si>
  <si>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</si>
  <si>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</si>
  <si>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</si>
  <si>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</si>
  <si>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</si>
  <si>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</si>
  <si>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</si>
  <si>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</si>
  <si>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</si>
  <si>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</si>
  <si>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</si>
  <si>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</si>
  <si>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</si>
  <si>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</si>
  <si>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</si>
  <si>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</si>
  <si>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</si>
  <si>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</si>
  <si>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</si>
  <si>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</si>
  <si>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</si>
  <si>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</si>
  <si>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</si>
  <si>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</si>
  <si>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</si>
  <si>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</si>
  <si>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</si>
  <si>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</si>
  <si>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</si>
  <si>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</si>
  <si>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</si>
  <si>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</si>
  <si>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</si>
  <si>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</si>
  <si>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</si>
  <si>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</si>
  <si>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</si>
  <si>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</si>
  <si>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</si>
  <si>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</si>
  <si>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</si>
  <si>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</si>
  <si>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</si>
  <si>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</si>
  <si>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</si>
  <si>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</si>
  <si>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</si>
  <si>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</si>
  <si>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</si>
  <si>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</si>
  <si>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</si>
  <si>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</si>
  <si>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</si>
  <si>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</si>
  <si>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</si>
  <si>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</si>
  <si>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</si>
  <si>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</si>
  <si>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</si>
  <si>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</si>
  <si>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</si>
  <si>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</si>
  <si>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</si>
  <si>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</si>
  <si>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</si>
  <si>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</si>
  <si>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</si>
  <si>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</si>
  <si>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</si>
  <si>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</si>
  <si>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</si>
  <si>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</si>
  <si>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</si>
  <si>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</si>
  <si>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</si>
  <si>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</si>
  <si>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</si>
  <si>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</si>
  <si>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</si>
  <si>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</si>
  <si>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</si>
  <si>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</si>
  <si>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</si>
  <si>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</si>
  <si>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</si>
  <si>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</si>
  <si>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</si>
  <si>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</si>
  <si>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</si>
  <si>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</si>
  <si>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</si>
  <si>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</si>
  <si>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</si>
  <si>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</si>
  <si>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</si>
  <si>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</si>
  <si>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</si>
  <si>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</si>
  <si>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</si>
  <si>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</si>
  <si>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</si>
  <si>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</si>
  <si>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</si>
  <si>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</si>
  <si>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</si>
  <si>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</si>
  <si>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</si>
  <si>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</si>
  <si>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</si>
  <si>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</si>
  <si>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</si>
  <si>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</si>
  <si>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</si>
  <si>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</si>
  <si>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</si>
  <si>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</si>
  <si>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</si>
  <si>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</si>
  <si>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</si>
  <si>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</si>
  <si>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</si>
  <si>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</si>
  <si>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</si>
  <si>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</si>
  <si>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</si>
  <si>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</si>
  <si>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</si>
  <si>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</si>
  <si>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</si>
  <si>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</si>
  <si>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</si>
  <si>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</si>
  <si>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</si>
  <si>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</si>
  <si>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</si>
  <si>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</si>
  <si>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</si>
  <si>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</si>
  <si>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</si>
  <si>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</si>
  <si>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</si>
  <si>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</si>
  <si>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</si>
  <si>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</si>
  <si>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</si>
  <si>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</si>
  <si>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</si>
  <si>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</si>
  <si>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</si>
  <si>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</si>
  <si>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</si>
  <si>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</si>
  <si>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</si>
  <si>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</si>
  <si>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</si>
  <si>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</si>
  <si>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</si>
  <si>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</si>
  <si>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</si>
  <si>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</si>
  <si>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</si>
  <si>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</si>
  <si>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</si>
  <si>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</si>
  <si>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</si>
  <si>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</si>
  <si>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</si>
  <si>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</si>
  <si>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</si>
  <si>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</si>
  <si>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</si>
  <si>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</si>
  <si>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</si>
  <si>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</si>
  <si>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</si>
  <si>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</si>
  <si>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</si>
  <si>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</si>
  <si>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</si>
  <si>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</si>
  <si>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</si>
  <si>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</si>
  <si>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</si>
  <si>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</si>
  <si>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</si>
  <si>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</si>
  <si>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</si>
  <si>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</si>
  <si>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</si>
  <si>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</si>
  <si>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</si>
  <si>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</si>
  <si>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</si>
  <si>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</si>
  <si>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</si>
  <si>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</si>
  <si>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</si>
  <si>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</si>
  <si>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</si>
  <si>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</si>
  <si>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</si>
  <si>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</si>
  <si>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</si>
  <si>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</si>
  <si>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</si>
  <si>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</si>
  <si>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</si>
  <si>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</si>
  <si>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</si>
  <si>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</si>
  <si>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</si>
  <si>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</si>
  <si>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</si>
  <si>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</si>
  <si>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</si>
  <si>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</si>
  <si>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</si>
  <si>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</si>
  <si>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</si>
  <si>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</si>
  <si>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</si>
  <si>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</si>
  <si>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</si>
  <si>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</si>
  <si>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</si>
  <si>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</si>
  <si>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</si>
  <si>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</si>
  <si>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</si>
  <si>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</si>
  <si>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</si>
  <si>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</si>
  <si>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</si>
  <si>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</si>
  <si>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</si>
  <si>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</si>
  <si>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</si>
  <si>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</si>
  <si>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</si>
  <si>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</si>
  <si>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</si>
  <si>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</si>
  <si>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</si>
  <si>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</si>
  <si>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</si>
  <si>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</si>
  <si>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</si>
  <si>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</si>
  <si>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</si>
  <si>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</si>
  <si>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</si>
  <si>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</si>
  <si>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</si>
  <si>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</si>
  <si>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</si>
  <si>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</si>
  <si>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</si>
  <si>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</si>
  <si>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</si>
  <si>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</si>
  <si>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</si>
  <si>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</si>
  <si>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</si>
  <si>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</si>
  <si>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</si>
  <si>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</si>
  <si>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</si>
  <si>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</si>
  <si>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</si>
  <si>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</si>
  <si>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</si>
  <si>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</si>
  <si>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</si>
  <si>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</si>
  <si>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</si>
  <si>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</si>
  <si>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</si>
  <si>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</si>
  <si>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</si>
  <si>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</si>
  <si>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</si>
  <si>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</si>
  <si>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</si>
  <si>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</si>
  <si>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</si>
  <si>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</si>
  <si>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</si>
  <si>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</si>
  <si>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</si>
  <si>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</si>
  <si>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</si>
  <si>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</si>
  <si>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</si>
  <si>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</si>
  <si>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</si>
  <si>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</si>
  <si>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</si>
  <si>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</si>
  <si>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</si>
  <si>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</si>
  <si>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</si>
  <si>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</si>
  <si>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</si>
  <si>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</si>
  <si>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</si>
  <si>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</si>
  <si>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</si>
  <si>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</si>
  <si>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</si>
  <si>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</si>
  <si>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</si>
  <si>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</si>
  <si>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</si>
  <si>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</si>
  <si>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</si>
  <si>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</si>
  <si>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</si>
  <si>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</si>
  <si>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</si>
  <si>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</si>
  <si>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</si>
  <si>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</si>
  <si>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</si>
  <si>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</si>
  <si>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</si>
  <si>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</si>
  <si>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</si>
  <si>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</si>
  <si>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</si>
  <si>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</si>
  <si>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</si>
  <si>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</si>
  <si>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</si>
  <si>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</si>
  <si>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</si>
  <si>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</si>
  <si>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</si>
  <si>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</si>
  <si>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</si>
  <si>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</si>
  <si>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</si>
  <si>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</si>
  <si>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</si>
  <si>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</si>
  <si>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</si>
  <si>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</si>
  <si>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</si>
  <si>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</si>
  <si>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</si>
  <si>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</si>
  <si>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</si>
  <si>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</si>
  <si>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</si>
  <si>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</si>
  <si>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</si>
  <si>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</si>
  <si>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</si>
  <si>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</si>
  <si>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</si>
  <si>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</si>
  <si>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</si>
  <si>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</si>
  <si>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</si>
  <si>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</si>
  <si>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</si>
  <si>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</si>
  <si>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</si>
  <si>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</si>
  <si>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</si>
  <si>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</si>
  <si>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</si>
  <si>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</si>
  <si>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</si>
  <si>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</si>
  <si>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</si>
  <si>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</si>
  <si>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</si>
  <si>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</si>
  <si>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</si>
  <si>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</si>
  <si>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</si>
  <si>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</si>
  <si>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</si>
  <si>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</si>
  <si>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</si>
  <si>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</si>
  <si>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</si>
  <si>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</si>
  <si>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</si>
  <si>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</si>
  <si>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</si>
  <si>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</si>
  <si>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</si>
  <si>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</si>
  <si>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</si>
  <si>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</si>
  <si>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</si>
  <si>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</si>
  <si>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</si>
  <si>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</si>
  <si>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</si>
  <si>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</si>
  <si>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</si>
  <si>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</si>
  <si>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</si>
  <si>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</si>
  <si>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</si>
  <si>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</si>
  <si>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</si>
  <si>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</si>
  <si>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</si>
  <si>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</si>
  <si>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</si>
  <si>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</si>
  <si>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</si>
  <si>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</si>
  <si>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</si>
  <si>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</si>
  <si>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</si>
  <si>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</si>
  <si>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</si>
  <si>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</si>
  <si>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</si>
  <si>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</si>
  <si>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</si>
  <si>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</si>
  <si>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</si>
  <si>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</si>
  <si>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</si>
  <si>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</si>
  <si>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</si>
  <si>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</si>
  <si>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</si>
  <si>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</si>
  <si>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</si>
  <si>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</si>
  <si>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</si>
  <si>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</si>
  <si>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</si>
  <si>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</si>
  <si>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</si>
  <si>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</si>
  <si>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</si>
  <si>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</si>
  <si>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</si>
  <si>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</si>
  <si>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</si>
  <si>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</si>
  <si>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</si>
  <si>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</si>
  <si>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</si>
  <si>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</si>
  <si>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</si>
  <si>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</si>
  <si>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</si>
  <si>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</si>
  <si>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</si>
  <si>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</si>
  <si>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</si>
  <si>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</si>
  <si>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</si>
  <si>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</si>
  <si>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</si>
  <si>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</si>
  <si>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</si>
  <si>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</si>
  <si>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</si>
  <si>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</si>
  <si>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</si>
  <si>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</si>
  <si>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</si>
  <si>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</si>
  <si>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</si>
  <si>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</si>
  <si>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</si>
  <si>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</si>
  <si>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</si>
  <si>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</si>
  <si>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</si>
  <si>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</si>
  <si>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</si>
  <si>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</si>
  <si>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</si>
  <si>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</si>
  <si>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</si>
  <si>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</si>
  <si>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</si>
  <si>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</si>
  <si>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</si>
  <si>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</si>
  <si>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</si>
  <si>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</si>
  <si>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</si>
  <si>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</si>
  <si>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</si>
  <si>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</si>
  <si>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</si>
  <si>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</si>
  <si>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</si>
  <si>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</si>
  <si>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</si>
  <si>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</si>
  <si>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</si>
  <si>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</si>
  <si>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</si>
  <si>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</si>
  <si>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</si>
  <si>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</si>
  <si>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</si>
  <si>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</si>
  <si>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</si>
  <si>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</si>
  <si>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</si>
  <si>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</si>
  <si>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</si>
  <si>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</si>
  <si>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</si>
  <si>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</si>
  <si>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</si>
  <si>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</si>
  <si>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</si>
  <si>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</si>
  <si>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</si>
  <si>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</si>
  <si>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</si>
  <si>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</si>
  <si>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</si>
  <si>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</si>
  <si>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</si>
  <si>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</si>
  <si>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</si>
  <si>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</si>
  <si>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</si>
  <si>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</si>
  <si>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</si>
  <si>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</si>
  <si>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</si>
  <si>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</si>
  <si>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</si>
  <si>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</si>
  <si>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</si>
  <si>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</si>
  <si>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</si>
  <si>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</si>
  <si>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</si>
  <si>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</si>
  <si>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</si>
  <si>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</si>
  <si>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</si>
  <si>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</si>
  <si>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</si>
  <si>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</si>
  <si>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</si>
  <si>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</si>
  <si>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</si>
  <si>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</si>
  <si>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</si>
  <si>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</si>
  <si>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</si>
  <si>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</si>
  <si>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</si>
  <si>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</si>
  <si>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</si>
  <si>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</si>
  <si>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</si>
  <si>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</si>
  <si>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</si>
  <si>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</si>
  <si>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</si>
  <si>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</si>
  <si>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</si>
  <si>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</si>
  <si>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</si>
  <si>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</si>
  <si>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</si>
  <si>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</si>
  <si>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</si>
  <si>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</si>
  <si>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</si>
  <si>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</si>
  <si>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</si>
  <si>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</si>
  <si>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</si>
  <si>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</si>
  <si>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</si>
  <si>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</si>
  <si>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</si>
  <si>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</si>
  <si>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</si>
  <si>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</si>
  <si>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</si>
  <si>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</si>
  <si>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</si>
  <si>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</si>
  <si>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</si>
  <si>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</si>
  <si>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</si>
  <si>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</si>
  <si>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</si>
  <si>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</si>
  <si>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</si>
  <si>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</si>
  <si>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</si>
  <si>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</si>
  <si>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</si>
  <si>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</si>
  <si>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</si>
  <si>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</si>
  <si>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</si>
  <si>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</si>
  <si>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</si>
  <si>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</si>
  <si>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</si>
  <si>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</si>
  <si>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</si>
  <si>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</si>
  <si>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</si>
  <si>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</si>
  <si>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</si>
  <si>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</si>
  <si>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</si>
  <si>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</si>
  <si>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</si>
  <si>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</si>
  <si>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</si>
  <si>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</si>
  <si>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</si>
  <si>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</si>
  <si>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</si>
  <si>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</si>
  <si>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</si>
  <si>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</si>
  <si>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</si>
  <si>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</si>
  <si>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</si>
  <si>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</si>
  <si>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</si>
  <si>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</si>
  <si>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</si>
  <si>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</si>
  <si>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</si>
  <si>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</si>
  <si>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</si>
  <si>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</si>
  <si>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</si>
  <si>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</si>
  <si>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</si>
  <si>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</si>
  <si>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</si>
  <si>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</si>
  <si>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</si>
  <si>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</si>
  <si>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</si>
  <si>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</si>
  <si>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</si>
  <si>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</si>
  <si>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</si>
  <si>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</si>
  <si>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</si>
  <si>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</si>
  <si>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</si>
  <si>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</si>
  <si>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</si>
  <si>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</si>
  <si>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</si>
  <si>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</si>
  <si>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</si>
  <si>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</si>
  <si>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</si>
  <si>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</si>
  <si>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</si>
  <si>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</si>
  <si>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</si>
  <si>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</si>
  <si>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</si>
  <si>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</si>
  <si>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</si>
  <si>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</si>
  <si>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</si>
  <si>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</si>
  <si>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</si>
  <si>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</si>
  <si>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</si>
  <si>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12005</t>
  </si>
  <si>
    <t>BONHEIDEN</t>
  </si>
  <si>
    <t>Mestbank (maart 2019)</t>
  </si>
  <si>
    <t>Fluvius (februari 2019)</t>
  </si>
  <si>
    <t>referentietaak LNE (2017); Jaarverslag De Lijn (2018)</t>
  </si>
  <si>
    <t>VEA (30 april 2019)</t>
  </si>
  <si>
    <t>VEA (mei 2018)</t>
  </si>
  <si>
    <t>VEA (mei 2019)</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</si>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</sst>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130667.4074881931</c:v>
                </c:pt>
                <c:pt idx="1">
                  <c:v>53235.910398274435</c:v>
                </c:pt>
                <c:pt idx="2">
                  <c:v>1402.288</c:v>
                </c:pt>
                <c:pt idx="3">
                  <c:v>509.39243733643161</c:v>
                </c:pt>
                <c:pt idx="4">
                  <c:v>6753.2302348695302</c:v>
                </c:pt>
                <c:pt idx="5">
                  <c:v>77084.453019162465</c:v>
                </c:pt>
                <c:pt idx="6">
                  <c:v>1637.1925145188202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130667.4074881931</c:v>
                </c:pt>
                <c:pt idx="1">
                  <c:v>53235.910398274435</c:v>
                </c:pt>
                <c:pt idx="2">
                  <c:v>1402.288</c:v>
                </c:pt>
                <c:pt idx="3">
                  <c:v>509.39243733643161</c:v>
                </c:pt>
                <c:pt idx="4">
                  <c:v>6753.2302348695302</c:v>
                </c:pt>
                <c:pt idx="5">
                  <c:v>77084.453019162465</c:v>
                </c:pt>
                <c:pt idx="6">
                  <c:v>1637.1925145188202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25849.995623244205</c:v>
                </c:pt>
                <c:pt idx="1">
                  <c:v>10749.004399019605</c:v>
                </c:pt>
                <c:pt idx="2">
                  <c:v>290.8129091605793</c:v>
                </c:pt>
                <c:pt idx="3">
                  <c:v>129.57899095779004</c:v>
                </c:pt>
                <c:pt idx="4">
                  <c:v>1412.7579656875625</c:v>
                </c:pt>
                <c:pt idx="5">
                  <c:v>19127.160695570874</c:v>
                </c:pt>
                <c:pt idx="6">
                  <c:v>414.11390473231637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25849.995623244205</c:v>
                </c:pt>
                <c:pt idx="1">
                  <c:v>10749.004399019605</c:v>
                </c:pt>
                <c:pt idx="2">
                  <c:v>290.8129091605793</c:v>
                </c:pt>
                <c:pt idx="3">
                  <c:v>129.57899095779004</c:v>
                </c:pt>
                <c:pt idx="4">
                  <c:v>1412.7579656875625</c:v>
                </c:pt>
                <c:pt idx="5">
                  <c:v>19127.160695570874</c:v>
                </c:pt>
                <c:pt idx="6">
                  <c:v>414.11390473231637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12005</v>
      </c>
      <c r="B6" s="415"/>
      <c r="C6" s="416"/>
    </row>
    <row r="7" spans="1:7" s="413" customFormat="1" ht="15.75" customHeight="1">
      <c r="A7" s="417" t="str">
        <f>txtMunicipality</f>
        <v>BONHEIDEN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0.20738458088536685</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0.20738458088536685</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5917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828.79</v>
      </c>
    </row>
    <row r="15" spans="1:6">
      <c r="A15" s="348" t="s">
        <v>183</v>
      </c>
      <c r="B15" s="334">
        <v>3</v>
      </c>
    </row>
    <row r="16" spans="1:6">
      <c r="A16" s="348" t="s">
        <v>6</v>
      </c>
      <c r="B16" s="334">
        <v>91</v>
      </c>
    </row>
    <row r="17" spans="1:6">
      <c r="A17" s="348" t="s">
        <v>7</v>
      </c>
      <c r="B17" s="334">
        <v>140</v>
      </c>
    </row>
    <row r="18" spans="1:6">
      <c r="A18" s="348" t="s">
        <v>8</v>
      </c>
      <c r="B18" s="334">
        <v>174</v>
      </c>
    </row>
    <row r="19" spans="1:6">
      <c r="A19" s="348" t="s">
        <v>9</v>
      </c>
      <c r="B19" s="334">
        <v>144</v>
      </c>
    </row>
    <row r="20" spans="1:6">
      <c r="A20" s="348" t="s">
        <v>10</v>
      </c>
      <c r="B20" s="334">
        <v>126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56</v>
      </c>
    </row>
    <row r="27" spans="1:6">
      <c r="A27" s="348" t="s">
        <v>17</v>
      </c>
      <c r="B27" s="334">
        <v>0</v>
      </c>
    </row>
    <row r="28" spans="1:6" s="356" customFormat="1">
      <c r="A28" s="355" t="s">
        <v>18</v>
      </c>
      <c r="B28" s="355">
        <v>5</v>
      </c>
    </row>
    <row r="29" spans="1:6">
      <c r="A29" s="355" t="s">
        <v>713</v>
      </c>
      <c r="B29" s="355">
        <v>218</v>
      </c>
      <c r="C29" s="356"/>
      <c r="D29" s="356"/>
      <c r="E29" s="356"/>
      <c r="F29" s="356"/>
    </row>
    <row r="30" spans="1:6">
      <c r="A30" s="341" t="s">
        <v>714</v>
      </c>
      <c r="B30" s="341">
        <v>64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143882.96</v>
      </c>
      <c r="E38" s="334">
        <v>1</v>
      </c>
      <c r="F38" s="334">
        <v>1193</v>
      </c>
    </row>
    <row r="39" spans="1:6">
      <c r="A39" s="348" t="s">
        <v>29</v>
      </c>
      <c r="B39" s="348" t="s">
        <v>30</v>
      </c>
      <c r="C39" s="334">
        <v>3582</v>
      </c>
      <c r="D39" s="334">
        <v>67136909.980000004</v>
      </c>
      <c r="E39" s="334">
        <v>5753</v>
      </c>
      <c r="F39" s="334">
        <v>24457869.91</v>
      </c>
    </row>
    <row r="40" spans="1:6">
      <c r="A40" s="348" t="s">
        <v>29</v>
      </c>
      <c r="B40" s="348" t="s">
        <v>28</v>
      </c>
      <c r="C40" s="334">
        <v>0</v>
      </c>
      <c r="D40" s="334">
        <v>0</v>
      </c>
      <c r="E40" s="334">
        <v>0</v>
      </c>
      <c r="F40" s="334">
        <v>0</v>
      </c>
    </row>
    <row r="41" spans="1:6">
      <c r="A41" s="348" t="s">
        <v>31</v>
      </c>
      <c r="B41" s="348" t="s">
        <v>32</v>
      </c>
      <c r="C41" s="334">
        <v>36</v>
      </c>
      <c r="D41" s="334">
        <v>976738.44799999997</v>
      </c>
      <c r="E41" s="334">
        <v>108</v>
      </c>
      <c r="F41" s="334">
        <v>908003.58200000005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76058.618000000002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25582.508999999998</v>
      </c>
    </row>
    <row r="48" spans="1:6">
      <c r="A48" s="348" t="s">
        <v>31</v>
      </c>
      <c r="B48" s="348" t="s">
        <v>28</v>
      </c>
      <c r="C48" s="334">
        <v>22</v>
      </c>
      <c r="D48" s="334">
        <v>625819.75899999996</v>
      </c>
      <c r="E48" s="334">
        <v>23</v>
      </c>
      <c r="F48" s="334">
        <v>313025.71500000003</v>
      </c>
    </row>
    <row r="49" spans="1:6">
      <c r="A49" s="348" t="s">
        <v>31</v>
      </c>
      <c r="B49" s="348" t="s">
        <v>39</v>
      </c>
      <c r="C49" s="334">
        <v>0</v>
      </c>
      <c r="D49" s="334">
        <v>0</v>
      </c>
      <c r="E49" s="334">
        <v>0</v>
      </c>
      <c r="F49" s="334">
        <v>0</v>
      </c>
    </row>
    <row r="50" spans="1:6">
      <c r="A50" s="348" t="s">
        <v>31</v>
      </c>
      <c r="B50" s="348" t="s">
        <v>40</v>
      </c>
      <c r="C50" s="334">
        <v>7</v>
      </c>
      <c r="D50" s="334">
        <v>1748074.1939999999</v>
      </c>
      <c r="E50" s="334">
        <v>9</v>
      </c>
      <c r="F50" s="334">
        <v>1114412.9539999999</v>
      </c>
    </row>
    <row r="51" spans="1:6">
      <c r="A51" s="348" t="s">
        <v>41</v>
      </c>
      <c r="B51" s="348" t="s">
        <v>42</v>
      </c>
      <c r="C51" s="334">
        <v>0</v>
      </c>
      <c r="D51" s="334">
        <v>0</v>
      </c>
      <c r="E51" s="334">
        <v>7</v>
      </c>
      <c r="F51" s="334">
        <v>55939.546999999999</v>
      </c>
    </row>
    <row r="52" spans="1:6">
      <c r="A52" s="348" t="s">
        <v>41</v>
      </c>
      <c r="B52" s="348" t="s">
        <v>28</v>
      </c>
      <c r="C52" s="334">
        <v>2</v>
      </c>
      <c r="D52" s="334">
        <v>49201.101000000002</v>
      </c>
      <c r="E52" s="334">
        <v>4</v>
      </c>
      <c r="F52" s="334">
        <v>40121.107000000004</v>
      </c>
    </row>
    <row r="53" spans="1:6">
      <c r="A53" s="348" t="s">
        <v>43</v>
      </c>
      <c r="B53" s="348" t="s">
        <v>44</v>
      </c>
      <c r="C53" s="334">
        <v>93</v>
      </c>
      <c r="D53" s="334">
        <v>2004790.6159999999</v>
      </c>
      <c r="E53" s="334">
        <v>206</v>
      </c>
      <c r="F53" s="334">
        <v>829857.576</v>
      </c>
    </row>
    <row r="54" spans="1:6">
      <c r="A54" s="348" t="s">
        <v>45</v>
      </c>
      <c r="B54" s="348" t="s">
        <v>46</v>
      </c>
      <c r="C54" s="334">
        <v>0</v>
      </c>
      <c r="D54" s="334">
        <v>0</v>
      </c>
      <c r="E54" s="334">
        <v>1</v>
      </c>
      <c r="F54" s="334">
        <v>1402288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46</v>
      </c>
      <c r="D57" s="334">
        <v>3161971.821</v>
      </c>
      <c r="E57" s="334">
        <v>109</v>
      </c>
      <c r="F57" s="334">
        <v>2045884.3829999999</v>
      </c>
    </row>
    <row r="58" spans="1:6">
      <c r="A58" s="348" t="s">
        <v>48</v>
      </c>
      <c r="B58" s="348" t="s">
        <v>50</v>
      </c>
      <c r="C58" s="334">
        <v>51</v>
      </c>
      <c r="D58" s="334">
        <v>20338370.800000001</v>
      </c>
      <c r="E58" s="334">
        <v>65</v>
      </c>
      <c r="F58" s="334">
        <v>9274054.8340000007</v>
      </c>
    </row>
    <row r="59" spans="1:6">
      <c r="A59" s="348" t="s">
        <v>48</v>
      </c>
      <c r="B59" s="348" t="s">
        <v>51</v>
      </c>
      <c r="C59" s="334">
        <v>45</v>
      </c>
      <c r="D59" s="334">
        <v>1213845.027</v>
      </c>
      <c r="E59" s="334">
        <v>113</v>
      </c>
      <c r="F59" s="334">
        <v>2115080.4019999998</v>
      </c>
    </row>
    <row r="60" spans="1:6">
      <c r="A60" s="348" t="s">
        <v>48</v>
      </c>
      <c r="B60" s="348" t="s">
        <v>52</v>
      </c>
      <c r="C60" s="334">
        <v>35</v>
      </c>
      <c r="D60" s="334">
        <v>1778903.1640000001</v>
      </c>
      <c r="E60" s="334">
        <v>46</v>
      </c>
      <c r="F60" s="334">
        <v>1041327.973</v>
      </c>
    </row>
    <row r="61" spans="1:6">
      <c r="A61" s="348" t="s">
        <v>48</v>
      </c>
      <c r="B61" s="348" t="s">
        <v>53</v>
      </c>
      <c r="C61" s="334">
        <v>154</v>
      </c>
      <c r="D61" s="334">
        <v>4055910.5440000002</v>
      </c>
      <c r="E61" s="334">
        <v>271</v>
      </c>
      <c r="F61" s="334">
        <v>2218598.29</v>
      </c>
    </row>
    <row r="62" spans="1:6">
      <c r="A62" s="348" t="s">
        <v>48</v>
      </c>
      <c r="B62" s="348" t="s">
        <v>54</v>
      </c>
      <c r="C62" s="334">
        <v>0</v>
      </c>
      <c r="D62" s="334">
        <v>0</v>
      </c>
      <c r="E62" s="334">
        <v>3</v>
      </c>
      <c r="F62" s="334">
        <v>30253.556</v>
      </c>
    </row>
    <row r="63" spans="1:6">
      <c r="A63" s="348" t="s">
        <v>48</v>
      </c>
      <c r="B63" s="348" t="s">
        <v>28</v>
      </c>
      <c r="C63" s="334">
        <v>77</v>
      </c>
      <c r="D63" s="334">
        <v>4559336.8660000004</v>
      </c>
      <c r="E63" s="334">
        <v>111</v>
      </c>
      <c r="F63" s="334">
        <v>1992693.6869999999</v>
      </c>
    </row>
    <row r="64" spans="1:6">
      <c r="A64" s="348" t="s">
        <v>55</v>
      </c>
      <c r="B64" s="348" t="s">
        <v>56</v>
      </c>
      <c r="C64" s="334">
        <v>0</v>
      </c>
      <c r="D64" s="334">
        <v>0</v>
      </c>
      <c r="E64" s="334">
        <v>0</v>
      </c>
      <c r="F64" s="334">
        <v>0</v>
      </c>
    </row>
    <row r="65" spans="1:6">
      <c r="A65" s="348" t="s">
        <v>55</v>
      </c>
      <c r="B65" s="348" t="s">
        <v>28</v>
      </c>
      <c r="C65" s="334">
        <v>0</v>
      </c>
      <c r="D65" s="334">
        <v>0</v>
      </c>
      <c r="E65" s="334">
        <v>1</v>
      </c>
      <c r="F65" s="334">
        <v>7771.933</v>
      </c>
    </row>
    <row r="66" spans="1:6">
      <c r="A66" s="348" t="s">
        <v>55</v>
      </c>
      <c r="B66" s="348" t="s">
        <v>57</v>
      </c>
      <c r="C66" s="334">
        <v>0</v>
      </c>
      <c r="D66" s="334">
        <v>0</v>
      </c>
      <c r="E66" s="334">
        <v>4</v>
      </c>
      <c r="F66" s="334">
        <v>35289.728000000003</v>
      </c>
    </row>
    <row r="67" spans="1:6">
      <c r="A67" s="355" t="s">
        <v>55</v>
      </c>
      <c r="B67" s="355" t="s">
        <v>58</v>
      </c>
      <c r="C67" s="334">
        <v>0</v>
      </c>
      <c r="D67" s="334">
        <v>0</v>
      </c>
      <c r="E67" s="334">
        <v>0</v>
      </c>
      <c r="F67" s="334">
        <v>0</v>
      </c>
    </row>
    <row r="68" spans="1:6">
      <c r="A68" s="341" t="s">
        <v>55</v>
      </c>
      <c r="B68" s="341" t="s">
        <v>59</v>
      </c>
      <c r="C68" s="334">
        <v>3</v>
      </c>
      <c r="D68" s="334">
        <v>64410.021999999997</v>
      </c>
      <c r="E68" s="334">
        <v>5</v>
      </c>
      <c r="F68" s="334">
        <v>23880.858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94957938</v>
      </c>
      <c r="E73" s="476"/>
    </row>
    <row r="74" spans="1:6">
      <c r="A74" s="348" t="s">
        <v>63</v>
      </c>
      <c r="B74" s="348" t="s">
        <v>651</v>
      </c>
      <c r="C74" s="1307" t="s">
        <v>653</v>
      </c>
      <c r="D74" s="476">
        <v>4729062.5</v>
      </c>
      <c r="E74" s="476"/>
    </row>
    <row r="75" spans="1:6">
      <c r="A75" s="348" t="s">
        <v>64</v>
      </c>
      <c r="B75" s="348" t="s">
        <v>650</v>
      </c>
      <c r="C75" s="1307" t="s">
        <v>654</v>
      </c>
      <c r="D75" s="476">
        <v>9253467</v>
      </c>
      <c r="E75" s="476"/>
    </row>
    <row r="76" spans="1:6">
      <c r="A76" s="348" t="s">
        <v>64</v>
      </c>
      <c r="B76" s="348" t="s">
        <v>651</v>
      </c>
      <c r="C76" s="1307" t="s">
        <v>655</v>
      </c>
      <c r="D76" s="476">
        <v>14132.2</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454833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3164.1119818885968</v>
      </c>
    </row>
    <row r="92" spans="1:6">
      <c r="A92" s="341" t="s">
        <v>68</v>
      </c>
      <c r="B92" s="342">
        <v>304.91050256922648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1988</v>
      </c>
    </row>
    <row r="98" spans="1:6">
      <c r="A98" s="348" t="s">
        <v>71</v>
      </c>
      <c r="B98" s="334">
        <v>3</v>
      </c>
    </row>
    <row r="99" spans="1:6">
      <c r="A99" s="348" t="s">
        <v>72</v>
      </c>
      <c r="B99" s="334">
        <v>88</v>
      </c>
    </row>
    <row r="100" spans="1:6">
      <c r="A100" s="348" t="s">
        <v>73</v>
      </c>
      <c r="B100" s="334">
        <v>366</v>
      </c>
    </row>
    <row r="101" spans="1:6">
      <c r="A101" s="348" t="s">
        <v>74</v>
      </c>
      <c r="B101" s="334">
        <v>72</v>
      </c>
    </row>
    <row r="102" spans="1:6">
      <c r="A102" s="348" t="s">
        <v>75</v>
      </c>
      <c r="B102" s="334">
        <v>70</v>
      </c>
    </row>
    <row r="103" spans="1:6">
      <c r="A103" s="348" t="s">
        <v>76</v>
      </c>
      <c r="B103" s="334">
        <v>123</v>
      </c>
    </row>
    <row r="104" spans="1:6">
      <c r="A104" s="348" t="s">
        <v>77</v>
      </c>
      <c r="B104" s="334">
        <v>2550</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40</v>
      </c>
      <c r="C123" s="334">
        <v>22</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181</v>
      </c>
    </row>
    <row r="130" spans="1:6">
      <c r="A130" s="348" t="s">
        <v>294</v>
      </c>
      <c r="B130" s="334">
        <v>2</v>
      </c>
    </row>
    <row r="131" spans="1:6">
      <c r="A131" s="348" t="s">
        <v>295</v>
      </c>
      <c r="B131" s="334">
        <v>2</v>
      </c>
    </row>
    <row r="132" spans="1:6">
      <c r="A132" s="341" t="s">
        <v>296</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53477.007207326104</v>
      </c>
      <c r="C3" s="43" t="s">
        <v>169</v>
      </c>
      <c r="D3" s="43"/>
      <c r="E3" s="154"/>
      <c r="F3" s="43"/>
      <c r="G3" s="43"/>
      <c r="H3" s="43"/>
      <c r="I3" s="43"/>
      <c r="J3" s="43"/>
      <c r="K3" s="96"/>
    </row>
    <row r="4" spans="1:11">
      <c r="A4" s="383" t="s">
        <v>170</v>
      </c>
      <c r="B4" s="49">
        <f>IF(ISERROR('SEAP template'!B78+'SEAP template'!C78),0,'SEAP template'!B78+'SEAP template'!C78)</f>
        <v>5784.2724844578233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550.21235294117639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0.20738458088536685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786.01764705882363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3307.5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1402.288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1402.288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0.20738458088536685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290.8129091605793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24457.869910000001</v>
      </c>
      <c r="C5" s="17">
        <f>IF(ISERROR('Eigen informatie GS &amp; warmtenet'!B59),0,'Eigen informatie GS &amp; warmtenet'!B59)</f>
        <v>0</v>
      </c>
      <c r="D5" s="30">
        <f>(SUM(HH_hh_gas_kWh,HH_rest_gas_kWh)/1000)*0.902</f>
        <v>60557.492801960012</v>
      </c>
      <c r="E5" s="17">
        <f>B46*B57</f>
        <v>7475.3341312874018</v>
      </c>
      <c r="F5" s="17">
        <f>B51*B62</f>
        <v>23191.416073309108</v>
      </c>
      <c r="G5" s="18"/>
      <c r="H5" s="17"/>
      <c r="I5" s="17"/>
      <c r="J5" s="17">
        <f>B50*B61+C50*C61</f>
        <v>0</v>
      </c>
      <c r="K5" s="17"/>
      <c r="L5" s="17"/>
      <c r="M5" s="17"/>
      <c r="N5" s="17">
        <f>B48*B59+C48*C59</f>
        <v>10584.272327685921</v>
      </c>
      <c r="O5" s="17">
        <f>B69*B70*B71</f>
        <v>404.72747675495452</v>
      </c>
      <c r="P5" s="17">
        <f>B77*B78*B79/1000-B77*B78*B79/1000/B80</f>
        <v>832.18278530711677</v>
      </c>
    </row>
    <row r="6" spans="1:16">
      <c r="A6" s="16" t="s">
        <v>615</v>
      </c>
      <c r="B6" s="809">
        <f>kWh_PV_kleiner_dan_10kW</f>
        <v>3164.1119818885968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27621.981891888598</v>
      </c>
      <c r="C8" s="21">
        <f>C5</f>
        <v>0</v>
      </c>
      <c r="D8" s="21">
        <f>D5</f>
        <v>60557.492801960012</v>
      </c>
      <c r="E8" s="21">
        <f>E5</f>
        <v>7475.3341312874018</v>
      </c>
      <c r="F8" s="21">
        <f>F5</f>
        <v>23191.416073309108</v>
      </c>
      <c r="G8" s="21"/>
      <c r="H8" s="21"/>
      <c r="I8" s="21"/>
      <c r="J8" s="21">
        <f>J5</f>
        <v>0</v>
      </c>
      <c r="K8" s="21"/>
      <c r="L8" s="21">
        <f>L5</f>
        <v>0</v>
      </c>
      <c r="M8" s="21">
        <f>M5</f>
        <v>0</v>
      </c>
      <c r="N8" s="21">
        <f>N5</f>
        <v>10584.272327685921</v>
      </c>
      <c r="O8" s="21">
        <f>O5</f>
        <v>404.72747675495452</v>
      </c>
      <c r="P8" s="21">
        <f>P5</f>
        <v>832.18278530711677</v>
      </c>
    </row>
    <row r="9" spans="1:16">
      <c r="B9" s="19"/>
      <c r="C9" s="19"/>
      <c r="D9" s="258"/>
      <c r="E9" s="19"/>
      <c r="F9" s="19"/>
      <c r="G9" s="19"/>
      <c r="H9" s="19"/>
      <c r="I9" s="19"/>
      <c r="J9" s="19"/>
      <c r="K9" s="19"/>
      <c r="L9" s="19"/>
      <c r="M9" s="19"/>
      <c r="N9" s="19"/>
      <c r="O9" s="19"/>
      <c r="P9" s="19"/>
    </row>
    <row r="10" spans="1:16">
      <c r="A10" s="24" t="s">
        <v>213</v>
      </c>
      <c r="B10" s="25">
        <f ca="1">'EF ele_warmte'!B12</f>
        <v>0.20738458088536685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5728.3731378725097</v>
      </c>
      <c r="C12" s="23">
        <f ca="1">C10*C8</f>
        <v>0</v>
      </c>
      <c r="D12" s="23">
        <f>D8*D10</f>
        <v>12232.613545995922</v>
      </c>
      <c r="E12" s="23">
        <f>E10*E8</f>
        <v>1696.9008478022402</v>
      </c>
      <c r="F12" s="23">
        <f>F10*F8</f>
        <v>6192.108091573532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1988</v>
      </c>
      <c r="C18" s="166" t="s">
        <v>110</v>
      </c>
      <c r="D18" s="228"/>
      <c r="E18" s="15"/>
    </row>
    <row r="19" spans="1:7">
      <c r="A19" s="171" t="s">
        <v>71</v>
      </c>
      <c r="B19" s="37">
        <f>aantalw2001_ander</f>
        <v>3</v>
      </c>
      <c r="C19" s="166" t="s">
        <v>110</v>
      </c>
      <c r="D19" s="229"/>
      <c r="E19" s="15"/>
    </row>
    <row r="20" spans="1:7">
      <c r="A20" s="171" t="s">
        <v>72</v>
      </c>
      <c r="B20" s="37">
        <f>aantalw2001_propaan</f>
        <v>88</v>
      </c>
      <c r="C20" s="167">
        <f>IF(ISERROR(B20/SUM($B$20,$B$21,$B$22)*100),0,B20/SUM($B$20,$B$21,$B$22)*100)</f>
        <v>16.730038022813687</v>
      </c>
      <c r="D20" s="229"/>
      <c r="E20" s="15"/>
    </row>
    <row r="21" spans="1:7">
      <c r="A21" s="171" t="s">
        <v>73</v>
      </c>
      <c r="B21" s="37">
        <f>aantalw2001_elektriciteit</f>
        <v>366</v>
      </c>
      <c r="C21" s="167">
        <f>IF(ISERROR(B21/SUM($B$20,$B$21,$B$22)*100),0,B21/SUM($B$20,$B$21,$B$22)*100)</f>
        <v>69.581749049429646</v>
      </c>
      <c r="D21" s="229"/>
      <c r="E21" s="15"/>
    </row>
    <row r="22" spans="1:7">
      <c r="A22" s="171" t="s">
        <v>74</v>
      </c>
      <c r="B22" s="37">
        <f>aantalw2001_hout</f>
        <v>72</v>
      </c>
      <c r="C22" s="167">
        <f>IF(ISERROR(B22/SUM($B$20,$B$21,$B$22)*100),0,B22/SUM($B$20,$B$21,$B$22)*100)</f>
        <v>13.688212927756654</v>
      </c>
      <c r="D22" s="229"/>
      <c r="E22" s="15"/>
    </row>
    <row r="23" spans="1:7">
      <c r="A23" s="171" t="s">
        <v>75</v>
      </c>
      <c r="B23" s="37">
        <f>aantalw2001_niet_gespec</f>
        <v>70</v>
      </c>
      <c r="C23" s="166" t="s">
        <v>110</v>
      </c>
      <c r="D23" s="228"/>
      <c r="E23" s="15"/>
    </row>
    <row r="24" spans="1:7">
      <c r="A24" s="171" t="s">
        <v>76</v>
      </c>
      <c r="B24" s="37">
        <f>aantalw2001_steenkool</f>
        <v>123</v>
      </c>
      <c r="C24" s="166" t="s">
        <v>110</v>
      </c>
      <c r="D24" s="229"/>
      <c r="E24" s="15"/>
    </row>
    <row r="25" spans="1:7">
      <c r="A25" s="171" t="s">
        <v>77</v>
      </c>
      <c r="B25" s="37">
        <f>aantalw2001_stookolie</f>
        <v>2550</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836</v>
      </c>
      <c r="B28" s="37">
        <f>aantalHuishoudens2011</f>
        <v>5917</v>
      </c>
      <c r="C28" s="36"/>
      <c r="D28" s="228"/>
    </row>
    <row r="29" spans="1:7" s="15" customFormat="1">
      <c r="A29" s="230" t="s">
        <v>837</v>
      </c>
      <c r="B29" s="37">
        <f>SUM(HH_hh_gas_aantal,HH_rest_gas_aantal)</f>
        <v>3582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3582</v>
      </c>
      <c r="C32" s="167">
        <f>IF(ISERROR(B32/SUM($B$32,$B$34,$B$35,$B$36,$B$38,$B$39)*100),0,B32/SUM($B$32,$B$34,$B$35,$B$36,$B$38,$B$39)*100)</f>
        <v>61.356628982528271</v>
      </c>
      <c r="D32" s="233"/>
      <c r="G32" s="15"/>
    </row>
    <row r="33" spans="1:7">
      <c r="A33" s="171" t="s">
        <v>71</v>
      </c>
      <c r="B33" s="34" t="s">
        <v>110</v>
      </c>
      <c r="C33" s="167"/>
      <c r="D33" s="233"/>
      <c r="G33" s="15"/>
    </row>
    <row r="34" spans="1:7">
      <c r="A34" s="171" t="s">
        <v>72</v>
      </c>
      <c r="B34" s="33">
        <f>IF((($B$28-$B$32-$B$39-$B$77-$B$38)*C20/100)&lt;0,0,($B$28-$B$32-$B$39-$B$77-$B$38)*C20/100)</f>
        <v>190.82281368821296</v>
      </c>
      <c r="C34" s="167">
        <f>IF(ISERROR(B34/SUM($B$32,$B$34,$B$35,$B$36,$B$38,$B$39)*100),0,B34/SUM($B$32,$B$34,$B$35,$B$36,$B$38,$B$39)*100)</f>
        <v>3.2686333279926858</v>
      </c>
      <c r="D34" s="233"/>
      <c r="G34" s="15"/>
    </row>
    <row r="35" spans="1:7">
      <c r="A35" s="171" t="s">
        <v>73</v>
      </c>
      <c r="B35" s="33">
        <f>IF((($B$28-$B$32-$B$39-$B$77-$B$38)*C21/100)&lt;0,0,($B$28-$B$32-$B$39-$B$77-$B$38)*C21/100)</f>
        <v>793.64942965779471</v>
      </c>
      <c r="C35" s="167">
        <f>IF(ISERROR(B35/SUM($B$32,$B$34,$B$35,$B$36,$B$38,$B$39)*100),0,B35/SUM($B$32,$B$34,$B$35,$B$36,$B$38,$B$39)*100)</f>
        <v>13.594543159605941</v>
      </c>
      <c r="D35" s="233"/>
      <c r="G35" s="15"/>
    </row>
    <row r="36" spans="1:7">
      <c r="A36" s="171" t="s">
        <v>74</v>
      </c>
      <c r="B36" s="33">
        <f>IF((($B$28-$B$32-$B$39-$B$77-$B$38)*C22/100)&lt;0,0,($B$28-$B$32-$B$39-$B$77-$B$38)*C22/100)</f>
        <v>156.12775665399241</v>
      </c>
      <c r="C36" s="167">
        <f>IF(ISERROR(B36/SUM($B$32,$B$34,$B$35,$B$36,$B$38,$B$39)*100),0,B36/SUM($B$32,$B$34,$B$35,$B$36,$B$38,$B$39)*100)</f>
        <v>2.6743363592667424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1115.3999999999999</v>
      </c>
      <c r="C39" s="167">
        <f>IF(ISERROR(B39/SUM($B$32,$B$34,$B$35,$B$36,$B$38,$B$39)*100),0,B39/SUM($B$32,$B$34,$B$35,$B$36,$B$38,$B$39)*100)</f>
        <v>19.105858170606375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3582</v>
      </c>
      <c r="C44" s="34" t="s">
        <v>110</v>
      </c>
      <c r="D44" s="174"/>
    </row>
    <row r="45" spans="1:7">
      <c r="A45" s="171" t="s">
        <v>71</v>
      </c>
      <c r="B45" s="33" t="str">
        <f t="shared" si="0"/>
        <v>-</v>
      </c>
      <c r="C45" s="34" t="s">
        <v>110</v>
      </c>
      <c r="D45" s="174"/>
    </row>
    <row r="46" spans="1:7">
      <c r="A46" s="171" t="s">
        <v>72</v>
      </c>
      <c r="B46" s="33">
        <f t="shared" si="0"/>
        <v>190.82281368821296</v>
      </c>
      <c r="C46" s="34" t="s">
        <v>110</v>
      </c>
      <c r="D46" s="174"/>
    </row>
    <row r="47" spans="1:7">
      <c r="A47" s="171" t="s">
        <v>73</v>
      </c>
      <c r="B47" s="33">
        <f t="shared" si="0"/>
        <v>793.64942965779471</v>
      </c>
      <c r="C47" s="34" t="s">
        <v>110</v>
      </c>
      <c r="D47" s="174"/>
    </row>
    <row r="48" spans="1:7">
      <c r="A48" s="171" t="s">
        <v>74</v>
      </c>
      <c r="B48" s="33">
        <f t="shared" si="0"/>
        <v>156.12775665399241</v>
      </c>
      <c r="C48" s="33">
        <f>B48*10</f>
        <v>1561.277566539924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1115.3999999999999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18717.893124999999</v>
      </c>
      <c r="C5" s="17">
        <f>IF(ISERROR('Eigen informatie GS &amp; warmtenet'!B60),0,'Eigen informatie GS &amp; warmtenet'!B60)</f>
        <v>0</v>
      </c>
      <c r="D5" s="30">
        <f>SUM(D6:D12)</f>
        <v>31667.721076244001</v>
      </c>
      <c r="E5" s="17">
        <f>SUM(E6:E12)</f>
        <v>132.82642239152676</v>
      </c>
      <c r="F5" s="17">
        <f>SUM(F6:F12)</f>
        <v>1910.9448626173626</v>
      </c>
      <c r="G5" s="18"/>
      <c r="H5" s="17"/>
      <c r="I5" s="17"/>
      <c r="J5" s="17">
        <f>SUM(J6:J12)</f>
        <v>3.8549937062683483E-2</v>
      </c>
      <c r="K5" s="17"/>
      <c r="L5" s="17"/>
      <c r="M5" s="17"/>
      <c r="N5" s="17">
        <f>SUM(N6:N12)</f>
        <v>1578.7852873268373</v>
      </c>
      <c r="O5" s="17">
        <f>B38*B39*B40</f>
        <v>9.7945215316823084</v>
      </c>
      <c r="P5" s="17">
        <f>B46*B47*B48/1000-B46*B47*B48/1000/B49</f>
        <v>210.15655322598008</v>
      </c>
      <c r="R5" s="32"/>
    </row>
    <row r="6" spans="1:18">
      <c r="A6" s="32" t="s">
        <v>53</v>
      </c>
      <c r="B6" s="37">
        <f>B26</f>
        <v>2218.5982899999999</v>
      </c>
      <c r="C6" s="33"/>
      <c r="D6" s="37">
        <f>IF(ISERROR(TER_kantoor_gas_kWh/1000),0,TER_kantoor_gas_kWh/1000)*0.902</f>
        <v>3658.4313106880004</v>
      </c>
      <c r="E6" s="33">
        <f>$C$26*'E Balans VL '!I12/100/3.6*1000000</f>
        <v>17.852349100977264</v>
      </c>
      <c r="F6" s="33">
        <f>$C$26*('E Balans VL '!L12+'E Balans VL '!N12)/100/3.6*1000000</f>
        <v>271.24697985930032</v>
      </c>
      <c r="G6" s="34"/>
      <c r="H6" s="33"/>
      <c r="I6" s="33"/>
      <c r="J6" s="33">
        <f>$C$26*('E Balans VL '!D12+'E Balans VL '!E12)/100/3.6*1000000</f>
        <v>0</v>
      </c>
      <c r="K6" s="33"/>
      <c r="L6" s="33"/>
      <c r="M6" s="33"/>
      <c r="N6" s="33">
        <f>$C$26*'E Balans VL '!Y12/100/3.6*1000000</f>
        <v>1.1923873267342844</v>
      </c>
      <c r="O6" s="33"/>
      <c r="P6" s="33"/>
      <c r="R6" s="32"/>
    </row>
    <row r="7" spans="1:18">
      <c r="A7" s="32" t="s">
        <v>52</v>
      </c>
      <c r="B7" s="37">
        <f t="shared" ref="B7:B12" si="0">B27</f>
        <v>1041.3279729999999</v>
      </c>
      <c r="C7" s="33"/>
      <c r="D7" s="37">
        <f>IF(ISERROR(TER_horeca_gas_kWh/1000),0,TER_horeca_gas_kWh/1000)*0.902</f>
        <v>1604.5706539280002</v>
      </c>
      <c r="E7" s="33">
        <f>$C$27*'E Balans VL '!I9/100/3.6*1000000</f>
        <v>11.181305375563714</v>
      </c>
      <c r="F7" s="33">
        <f>$C$27*('E Balans VL '!L9+'E Balans VL '!N9)/100/3.6*1000000</f>
        <v>125.24650430987714</v>
      </c>
      <c r="G7" s="34"/>
      <c r="H7" s="33"/>
      <c r="I7" s="33"/>
      <c r="J7" s="33">
        <f>$C$27*('E Balans VL '!D9+'E Balans VL '!E9)/100/3.6*1000000</f>
        <v>0</v>
      </c>
      <c r="K7" s="33"/>
      <c r="L7" s="33"/>
      <c r="M7" s="33"/>
      <c r="N7" s="33">
        <f>$C$27*'E Balans VL '!Y9/100/3.6*1000000</f>
        <v>0.15611616842042206</v>
      </c>
      <c r="O7" s="33"/>
      <c r="P7" s="33"/>
      <c r="R7" s="32"/>
    </row>
    <row r="8" spans="1:18">
      <c r="A8" s="6" t="s">
        <v>51</v>
      </c>
      <c r="B8" s="37">
        <f t="shared" si="0"/>
        <v>2115.0804019999996</v>
      </c>
      <c r="C8" s="33"/>
      <c r="D8" s="37">
        <f>IF(ISERROR(TER_handel_gas_kWh/1000),0,TER_handel_gas_kWh/1000)*0.902</f>
        <v>1094.8882143540002</v>
      </c>
      <c r="E8" s="33">
        <f>$C$28*'E Balans VL '!I13/100/3.6*1000000</f>
        <v>56.762282733844387</v>
      </c>
      <c r="F8" s="33">
        <f>$C$28*('E Balans VL '!L13+'E Balans VL '!N13)/100/3.6*1000000</f>
        <v>201.84385880965797</v>
      </c>
      <c r="G8" s="34"/>
      <c r="H8" s="33"/>
      <c r="I8" s="33"/>
      <c r="J8" s="33">
        <f>$C$28*('E Balans VL '!D13+'E Balans VL '!E13)/100/3.6*1000000</f>
        <v>0</v>
      </c>
      <c r="K8" s="33"/>
      <c r="L8" s="33"/>
      <c r="M8" s="33"/>
      <c r="N8" s="33">
        <f>$C$28*'E Balans VL '!Y13/100/3.6*1000000</f>
        <v>0.83844192063229328</v>
      </c>
      <c r="O8" s="33"/>
      <c r="P8" s="33"/>
      <c r="R8" s="32"/>
    </row>
    <row r="9" spans="1:18">
      <c r="A9" s="32" t="s">
        <v>50</v>
      </c>
      <c r="B9" s="37">
        <f t="shared" si="0"/>
        <v>9274.0548340000005</v>
      </c>
      <c r="C9" s="33"/>
      <c r="D9" s="37">
        <f>IF(ISERROR(TER_gezond_gas_kWh/1000),0,TER_gezond_gas_kWh/1000)*0.902</f>
        <v>18345.2104616</v>
      </c>
      <c r="E9" s="33">
        <f>$C$29*'E Balans VL '!I10/100/3.6*1000000</f>
        <v>17.382598522299542</v>
      </c>
      <c r="F9" s="33">
        <f>$C$29*('E Balans VL '!L10+'E Balans VL '!N10)/100/3.6*1000000</f>
        <v>762.411926584968</v>
      </c>
      <c r="G9" s="34"/>
      <c r="H9" s="33"/>
      <c r="I9" s="33"/>
      <c r="J9" s="33">
        <f>$C$29*('E Balans VL '!D10+'E Balans VL '!E10)/100/3.6*1000000</f>
        <v>0</v>
      </c>
      <c r="K9" s="33"/>
      <c r="L9" s="33"/>
      <c r="M9" s="33"/>
      <c r="N9" s="33">
        <f>$C$29*'E Balans VL '!Y10/100/3.6*1000000</f>
        <v>72.159066047659294</v>
      </c>
      <c r="O9" s="33"/>
      <c r="P9" s="33"/>
      <c r="R9" s="32"/>
    </row>
    <row r="10" spans="1:18">
      <c r="A10" s="32" t="s">
        <v>49</v>
      </c>
      <c r="B10" s="37">
        <f t="shared" si="0"/>
        <v>2045.8843829999998</v>
      </c>
      <c r="C10" s="33"/>
      <c r="D10" s="37">
        <f>IF(ISERROR(TER_ander_gas_kWh/1000),0,TER_ander_gas_kWh/1000)*0.902</f>
        <v>2852.0985825420003</v>
      </c>
      <c r="E10" s="33">
        <f>$C$30*'E Balans VL '!I14/100/3.6*1000000</f>
        <v>3.1537515070206377</v>
      </c>
      <c r="F10" s="33">
        <f>$C$30*('E Balans VL '!L14+'E Balans VL '!N14)/100/3.6*1000000</f>
        <v>317.62411525818578</v>
      </c>
      <c r="G10" s="34"/>
      <c r="H10" s="33"/>
      <c r="I10" s="33"/>
      <c r="J10" s="33">
        <f>$C$30*('E Balans VL '!D14+'E Balans VL '!E14)/100/3.6*1000000</f>
        <v>3.4731045041832893E-2</v>
      </c>
      <c r="K10" s="33"/>
      <c r="L10" s="33"/>
      <c r="M10" s="33"/>
      <c r="N10" s="33">
        <f>$C$30*'E Balans VL '!Y14/100/3.6*1000000</f>
        <v>1353.4915376905185</v>
      </c>
      <c r="O10" s="33"/>
      <c r="P10" s="33"/>
      <c r="R10" s="32"/>
    </row>
    <row r="11" spans="1:18">
      <c r="A11" s="32" t="s">
        <v>54</v>
      </c>
      <c r="B11" s="37">
        <f t="shared" si="0"/>
        <v>30.253556</v>
      </c>
      <c r="C11" s="33"/>
      <c r="D11" s="37">
        <f>IF(ISERROR(TER_onderwijs_gas_kWh/1000),0,TER_onderwijs_gas_kWh/1000)*0.902</f>
        <v>0</v>
      </c>
      <c r="E11" s="33">
        <f>$C$31*'E Balans VL '!I11/100/3.6*1000000</f>
        <v>0.77167231149478921</v>
      </c>
      <c r="F11" s="33">
        <f>$C$31*('E Balans VL '!L11+'E Balans VL '!N11)/100/3.6*1000000</f>
        <v>3.6382748663130098</v>
      </c>
      <c r="G11" s="34"/>
      <c r="H11" s="33"/>
      <c r="I11" s="33"/>
      <c r="J11" s="33">
        <f>$C$31*('E Balans VL '!D11+'E Balans VL '!E11)/100/3.6*1000000</f>
        <v>0</v>
      </c>
      <c r="K11" s="33"/>
      <c r="L11" s="33"/>
      <c r="M11" s="33"/>
      <c r="N11" s="33">
        <f>$C$31*'E Balans VL '!Y11/100/3.6*1000000</f>
        <v>6.7283170350872806E-2</v>
      </c>
      <c r="O11" s="33"/>
      <c r="P11" s="33"/>
      <c r="R11" s="32"/>
    </row>
    <row r="12" spans="1:18">
      <c r="A12" s="32" t="s">
        <v>259</v>
      </c>
      <c r="B12" s="37">
        <f t="shared" si="0"/>
        <v>1992.693687</v>
      </c>
      <c r="C12" s="33"/>
      <c r="D12" s="37">
        <f>IF(ISERROR(TER_rest_gas_kWh/1000),0,TER_rest_gas_kWh/1000)*0.902</f>
        <v>4112.5218531320006</v>
      </c>
      <c r="E12" s="33">
        <f>$C$32*'E Balans VL '!I8/100/3.6*1000000</f>
        <v>25.722462840326429</v>
      </c>
      <c r="F12" s="33">
        <f>$C$32*('E Balans VL '!L8+'E Balans VL '!N8)/100/3.6*1000000</f>
        <v>228.9332029290604</v>
      </c>
      <c r="G12" s="34"/>
      <c r="H12" s="33"/>
      <c r="I12" s="33"/>
      <c r="J12" s="33">
        <f>$C$32*('E Balans VL '!D8+'E Balans VL '!E8)/100/3.6*1000000</f>
        <v>3.8188920208505881E-3</v>
      </c>
      <c r="K12" s="33"/>
      <c r="L12" s="33"/>
      <c r="M12" s="33"/>
      <c r="N12" s="33">
        <f>$C$32*'E Balans VL '!Y8/100/3.6*1000000</f>
        <v>150.88045500252156</v>
      </c>
      <c r="O12" s="33"/>
      <c r="P12" s="33"/>
      <c r="R12" s="32"/>
    </row>
    <row r="13" spans="1:18">
      <c r="A13" s="16" t="s">
        <v>482</v>
      </c>
      <c r="B13" s="247">
        <f ca="1">'lokale energieproductie'!N91+'lokale energieproductie'!N60</f>
        <v>2315.25</v>
      </c>
      <c r="C13" s="247">
        <f ca="1">'lokale energieproductie'!O91+'lokale energieproductie'!O60</f>
        <v>3307.5</v>
      </c>
      <c r="D13" s="310">
        <f ca="1">('lokale energieproductie'!P60+'lokale energieproductie'!P91)*(-1)</f>
        <v>-6615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21033.143124999999</v>
      </c>
      <c r="C16" s="21">
        <f t="shared" ca="1" si="1"/>
        <v>3307.5</v>
      </c>
      <c r="D16" s="21">
        <f t="shared" ca="1" si="1"/>
        <v>25052.721076244001</v>
      </c>
      <c r="E16" s="21">
        <f t="shared" si="1"/>
        <v>132.82642239152676</v>
      </c>
      <c r="F16" s="21">
        <f t="shared" ca="1" si="1"/>
        <v>1910.9448626173626</v>
      </c>
      <c r="G16" s="21">
        <f t="shared" si="1"/>
        <v>0</v>
      </c>
      <c r="H16" s="21">
        <f t="shared" si="1"/>
        <v>0</v>
      </c>
      <c r="I16" s="21">
        <f t="shared" si="1"/>
        <v>0</v>
      </c>
      <c r="J16" s="21">
        <f t="shared" si="1"/>
        <v>3.8549937062683483E-2</v>
      </c>
      <c r="K16" s="21">
        <f t="shared" si="1"/>
        <v>0</v>
      </c>
      <c r="L16" s="21">
        <f t="shared" ca="1" si="1"/>
        <v>0</v>
      </c>
      <c r="M16" s="21">
        <f t="shared" si="1"/>
        <v>0</v>
      </c>
      <c r="N16" s="21">
        <f t="shared" ca="1" si="1"/>
        <v>1578.7852873268373</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0.20738458088536685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4361.9495716800602</v>
      </c>
      <c r="C20" s="23">
        <f t="shared" ref="C20:P20" ca="1" si="2">C16*C18</f>
        <v>786.01764705882363</v>
      </c>
      <c r="D20" s="23">
        <f t="shared" ca="1" si="2"/>
        <v>5060.6496574012881</v>
      </c>
      <c r="E20" s="23">
        <f t="shared" si="2"/>
        <v>30.151597882876576</v>
      </c>
      <c r="F20" s="23">
        <f t="shared" ca="1" si="2"/>
        <v>510.22227831883583</v>
      </c>
      <c r="G20" s="23">
        <f t="shared" si="2"/>
        <v>0</v>
      </c>
      <c r="H20" s="23">
        <f t="shared" si="2"/>
        <v>0</v>
      </c>
      <c r="I20" s="23">
        <f t="shared" si="2"/>
        <v>0</v>
      </c>
      <c r="J20" s="23">
        <f t="shared" si="2"/>
        <v>1.3646677720189952E-2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2218.5982899999999</v>
      </c>
      <c r="C26" s="39">
        <f>IF(ISERROR(B26*3.6/1000000/'E Balans VL '!Z12*100),0,B26*3.6/1000000/'E Balans VL '!Z12*100)</f>
        <v>4.7065532938002225E-2</v>
      </c>
      <c r="D26" s="237" t="s">
        <v>716</v>
      </c>
      <c r="F26" s="6"/>
    </row>
    <row r="27" spans="1:18">
      <c r="A27" s="231" t="s">
        <v>52</v>
      </c>
      <c r="B27" s="33">
        <f>IF(ISERROR(TER_horeca_ele_kWh/1000),0,TER_horeca_ele_kWh/1000)</f>
        <v>1041.3279729999999</v>
      </c>
      <c r="C27" s="39">
        <f>IF(ISERROR(B27*3.6/1000000/'E Balans VL '!Z9*100),0,B27*3.6/1000000/'E Balans VL '!Z9*100)</f>
        <v>7.8421220977577422E-2</v>
      </c>
      <c r="D27" s="237" t="s">
        <v>716</v>
      </c>
      <c r="F27" s="6"/>
    </row>
    <row r="28" spans="1:18">
      <c r="A28" s="171" t="s">
        <v>51</v>
      </c>
      <c r="B28" s="33">
        <f>IF(ISERROR(TER_handel_ele_kWh/1000),0,TER_handel_ele_kWh/1000)</f>
        <v>2115.0804019999996</v>
      </c>
      <c r="C28" s="39">
        <f>IF(ISERROR(B28*3.6/1000000/'E Balans VL '!Z13*100),0,B28*3.6/1000000/'E Balans VL '!Z13*100)</f>
        <v>6.1393289755475769E-2</v>
      </c>
      <c r="D28" s="237" t="s">
        <v>716</v>
      </c>
      <c r="F28" s="6"/>
    </row>
    <row r="29" spans="1:18">
      <c r="A29" s="231" t="s">
        <v>50</v>
      </c>
      <c r="B29" s="33">
        <f>IF(ISERROR(TER_gezond_ele_kWh/1000),0,TER_gezond_ele_kWh/1000)</f>
        <v>9274.0548340000005</v>
      </c>
      <c r="C29" s="39">
        <f>IF(ISERROR(B29*3.6/1000000/'E Balans VL '!Z10*100),0,B29*3.6/1000000/'E Balans VL '!Z10*100)</f>
        <v>0.93529948976974375</v>
      </c>
      <c r="D29" s="237" t="s">
        <v>716</v>
      </c>
      <c r="F29" s="6"/>
    </row>
    <row r="30" spans="1:18">
      <c r="A30" s="231" t="s">
        <v>49</v>
      </c>
      <c r="B30" s="33">
        <f>IF(ISERROR(TER_ander_ele_kWh/1000),0,TER_ander_ele_kWh/1000)</f>
        <v>2045.8843829999998</v>
      </c>
      <c r="C30" s="39">
        <f>IF(ISERROR(B30*3.6/1000000/'E Balans VL '!Z14*100),0,B30*3.6/1000000/'E Balans VL '!Z14*100)</f>
        <v>0.14845682296725429</v>
      </c>
      <c r="D30" s="237" t="s">
        <v>716</v>
      </c>
      <c r="F30" s="6"/>
    </row>
    <row r="31" spans="1:18">
      <c r="A31" s="231" t="s">
        <v>54</v>
      </c>
      <c r="B31" s="33">
        <f>IF(ISERROR(TER_onderwijs_ele_kWh/1000),0,TER_onderwijs_ele_kWh/1000)</f>
        <v>30.253556</v>
      </c>
      <c r="C31" s="39">
        <f>IF(ISERROR(B31*3.6/1000000/'E Balans VL '!Z11*100),0,B31*3.6/1000000/'E Balans VL '!Z11*100)</f>
        <v>8.6234954421658752E-3</v>
      </c>
      <c r="D31" s="237" t="s">
        <v>716</v>
      </c>
    </row>
    <row r="32" spans="1:18">
      <c r="A32" s="231" t="s">
        <v>259</v>
      </c>
      <c r="B32" s="33">
        <f>IF(ISERROR(TER_rest_ele_kWh/1000),0,TER_rest_ele_kWh/1000)</f>
        <v>1992.693687</v>
      </c>
      <c r="C32" s="39">
        <f>IF(ISERROR(B32*3.6/1000000/'E Balans VL '!Z8*100),0,B32*3.6/1000000/'E Balans VL '!Z8*100)</f>
        <v>1.6323740791202985E-2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2437.0833779999998</v>
      </c>
      <c r="C5" s="17">
        <f>IF(ISERROR('Eigen informatie GS &amp; warmtenet'!B61),0,'Eigen informatie GS &amp; warmtenet'!B61)</f>
        <v>0</v>
      </c>
      <c r="D5" s="30">
        <f>SUM(D6:D15)</f>
        <v>3022.270425702</v>
      </c>
      <c r="E5" s="17">
        <f>SUM(E6:E15)</f>
        <v>268.97294967931521</v>
      </c>
      <c r="F5" s="17">
        <f>SUM(F6:F15)</f>
        <v>875.86385759185293</v>
      </c>
      <c r="G5" s="18"/>
      <c r="H5" s="17"/>
      <c r="I5" s="17"/>
      <c r="J5" s="17">
        <f>SUM(J6:J15)</f>
        <v>5.4613424076416699</v>
      </c>
      <c r="K5" s="17"/>
      <c r="L5" s="17"/>
      <c r="M5" s="17"/>
      <c r="N5" s="17">
        <f>SUM(N6:N15)</f>
        <v>143.57828148872034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76.058617999999996</v>
      </c>
      <c r="C8" s="33"/>
      <c r="D8" s="37">
        <f>IF( ISERROR(IND_metaal_Gas_kWH/1000),0,IND_metaal_Gas_kWH/1000)*0.902</f>
        <v>0</v>
      </c>
      <c r="E8" s="33">
        <f>C30*'E Balans VL '!I18/100/3.6*1000000</f>
        <v>0.54870954594274257</v>
      </c>
      <c r="F8" s="33">
        <f>C30*'E Balans VL '!L18/100/3.6*1000000+C30*'E Balans VL '!N18/100/3.6*1000000</f>
        <v>7.1937428401240862</v>
      </c>
      <c r="G8" s="34"/>
      <c r="H8" s="33"/>
      <c r="I8" s="33"/>
      <c r="J8" s="40">
        <f>C30*'E Balans VL '!D18/100/3.6*1000000+C30*'E Balans VL '!E18/100/3.6*1000000</f>
        <v>7.6500199976097694E-2</v>
      </c>
      <c r="K8" s="33"/>
      <c r="L8" s="33"/>
      <c r="M8" s="33"/>
      <c r="N8" s="33">
        <f>C30*'E Balans VL '!Y18/100/3.6*1000000</f>
        <v>0.96158216275638186</v>
      </c>
      <c r="O8" s="33"/>
      <c r="P8" s="33"/>
      <c r="R8" s="32"/>
    </row>
    <row r="9" spans="1:18">
      <c r="A9" s="6" t="s">
        <v>32</v>
      </c>
      <c r="B9" s="37">
        <f t="shared" si="0"/>
        <v>908.00358200000005</v>
      </c>
      <c r="C9" s="33"/>
      <c r="D9" s="37">
        <f>IF( ISERROR(IND_andere_gas_kWh/1000),0,IND_andere_gas_kWh/1000)*0.902</f>
        <v>881.01808009599995</v>
      </c>
      <c r="E9" s="33">
        <f>C31*'E Balans VL '!I19/100/3.6*1000000</f>
        <v>251.61993410120917</v>
      </c>
      <c r="F9" s="33">
        <f>C31*'E Balans VL '!L19/100/3.6*1000000+C31*'E Balans VL '!N19/100/3.6*1000000</f>
        <v>752.55533097246359</v>
      </c>
      <c r="G9" s="34"/>
      <c r="H9" s="33"/>
      <c r="I9" s="33"/>
      <c r="J9" s="40">
        <f>C31*'E Balans VL '!D19/100/3.6*1000000+C31*'E Balans VL '!E19/100/3.6*1000000</f>
        <v>0</v>
      </c>
      <c r="K9" s="33"/>
      <c r="L9" s="33"/>
      <c r="M9" s="33"/>
      <c r="N9" s="33">
        <f>C31*'E Balans VL '!Y19/100/3.6*1000000</f>
        <v>65.909953967066556</v>
      </c>
      <c r="O9" s="33"/>
      <c r="P9" s="33"/>
      <c r="R9" s="32"/>
    </row>
    <row r="10" spans="1:18">
      <c r="A10" s="6" t="s">
        <v>40</v>
      </c>
      <c r="B10" s="37">
        <f t="shared" si="0"/>
        <v>1114.4129539999999</v>
      </c>
      <c r="C10" s="33"/>
      <c r="D10" s="37">
        <f>IF( ISERROR(IND_voed_gas_kWh/1000),0,IND_voed_gas_kWh/1000)*0.902</f>
        <v>1576.7629229879999</v>
      </c>
      <c r="E10" s="33">
        <f>C32*'E Balans VL '!I20/100/3.6*1000000</f>
        <v>1.9728884044485786</v>
      </c>
      <c r="F10" s="33">
        <f>C32*'E Balans VL '!L20/100/3.6*1000000+C32*'E Balans VL '!N20/100/3.6*1000000</f>
        <v>60.188176469413563</v>
      </c>
      <c r="G10" s="34"/>
      <c r="H10" s="33"/>
      <c r="I10" s="33"/>
      <c r="J10" s="40">
        <f>C32*'E Balans VL '!D20/100/3.6*1000000+C32*'E Balans VL '!E20/100/3.6*1000000</f>
        <v>0</v>
      </c>
      <c r="K10" s="33"/>
      <c r="L10" s="33"/>
      <c r="M10" s="33"/>
      <c r="N10" s="33">
        <f>C32*'E Balans VL '!Y20/100/3.6*1000000</f>
        <v>64.755903505182786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25.582508999999998</v>
      </c>
      <c r="C13" s="33"/>
      <c r="D13" s="37">
        <f>IF( ISERROR(IND_papier_gas_kWh/1000),0,IND_papier_gas_kWh/1000)*0.902</f>
        <v>0</v>
      </c>
      <c r="E13" s="33">
        <f>C35*'E Balans VL '!I23/100/3.6*1000000</f>
        <v>3.7640655265445098E-2</v>
      </c>
      <c r="F13" s="33">
        <f>C35*'E Balans VL '!L23/100/3.6*1000000+C35*'E Balans VL '!N23/100/3.6*1000000</f>
        <v>0.27391976560687775</v>
      </c>
      <c r="G13" s="34"/>
      <c r="H13" s="33"/>
      <c r="I13" s="33"/>
      <c r="J13" s="40">
        <f>C35*'E Balans VL '!D23/100/3.6*1000000+C35*'E Balans VL '!E23/100/3.6*1000000</f>
        <v>2.7988699438033726</v>
      </c>
      <c r="K13" s="33"/>
      <c r="L13" s="33"/>
      <c r="M13" s="33"/>
      <c r="N13" s="33">
        <f>C35*'E Balans VL '!Y23/100/3.6*1000000</f>
        <v>-0.23175561071482487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313.02571500000005</v>
      </c>
      <c r="C15" s="33"/>
      <c r="D15" s="37">
        <f>IF( ISERROR(IND_rest_gas_kWh/1000),0,IND_rest_gas_kWh/1000)*0.902</f>
        <v>564.48942261800005</v>
      </c>
      <c r="E15" s="33">
        <f>C37*'E Balans VL '!I15/100/3.6*1000000</f>
        <v>14.793776972449265</v>
      </c>
      <c r="F15" s="33">
        <f>C37*'E Balans VL '!L15/100/3.6*1000000+C37*'E Balans VL '!N15/100/3.6*1000000</f>
        <v>55.652687544244856</v>
      </c>
      <c r="G15" s="34"/>
      <c r="H15" s="33"/>
      <c r="I15" s="33"/>
      <c r="J15" s="40">
        <f>C37*'E Balans VL '!D15/100/3.6*1000000+C37*'E Balans VL '!E15/100/3.6*1000000</f>
        <v>2.5859722638621996</v>
      </c>
      <c r="K15" s="33"/>
      <c r="L15" s="33"/>
      <c r="M15" s="33"/>
      <c r="N15" s="33">
        <f>C37*'E Balans VL '!Y15/100/3.6*1000000</f>
        <v>12.182597464429461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2437.0833779999998</v>
      </c>
      <c r="C18" s="21">
        <f>C5+C16</f>
        <v>0</v>
      </c>
      <c r="D18" s="21">
        <f>MAX((D5+D16),0)</f>
        <v>3022.270425702</v>
      </c>
      <c r="E18" s="21">
        <f>MAX((E5+E16),0)</f>
        <v>268.97294967931521</v>
      </c>
      <c r="F18" s="21">
        <f>MAX((F5+F16),0)</f>
        <v>875.86385759185293</v>
      </c>
      <c r="G18" s="21"/>
      <c r="H18" s="21"/>
      <c r="I18" s="21"/>
      <c r="J18" s="21">
        <f>MAX((J5+J16),0)</f>
        <v>5.4613424076416699</v>
      </c>
      <c r="K18" s="21"/>
      <c r="L18" s="21">
        <f>MAX((L5+L16),0)</f>
        <v>0</v>
      </c>
      <c r="M18" s="21"/>
      <c r="N18" s="21">
        <f>MAX((N5+N16),0)</f>
        <v>143.57828148872034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0.20738458088536685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505.41351492922405</v>
      </c>
      <c r="C22" s="23">
        <f ca="1">C18*C20</f>
        <v>0</v>
      </c>
      <c r="D22" s="23">
        <f>D18*D20</f>
        <v>610.49862599180403</v>
      </c>
      <c r="E22" s="23">
        <f>E18*E20</f>
        <v>61.056859577204555</v>
      </c>
      <c r="F22" s="23">
        <f>F18*F20</f>
        <v>233.85564997702474</v>
      </c>
      <c r="G22" s="23"/>
      <c r="H22" s="23"/>
      <c r="I22" s="23"/>
      <c r="J22" s="23">
        <f>J18*J20</f>
        <v>1.9333152123051511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76.058617999999996</v>
      </c>
      <c r="C30" s="39">
        <f>IF(ISERROR(B30*3.6/1000000/'E Balans VL '!Z18*100),0,B30*3.6/1000000/'E Balans VL '!Z18*100)</f>
        <v>4.390745339252787E-3</v>
      </c>
      <c r="D30" s="237" t="s">
        <v>716</v>
      </c>
    </row>
    <row r="31" spans="1:18">
      <c r="A31" s="6" t="s">
        <v>32</v>
      </c>
      <c r="B31" s="37">
        <f>IF( ISERROR(IND_ander_ele_kWh/1000),0,IND_ander_ele_kWh/1000)</f>
        <v>908.00358200000005</v>
      </c>
      <c r="C31" s="39">
        <f>IF(ISERROR(B31*3.6/1000000/'E Balans VL '!Z19*100),0,B31*3.6/1000000/'E Balans VL '!Z19*100)</f>
        <v>4.5669636994951739E-2</v>
      </c>
      <c r="D31" s="237" t="s">
        <v>716</v>
      </c>
    </row>
    <row r="32" spans="1:18">
      <c r="A32" s="171" t="s">
        <v>40</v>
      </c>
      <c r="B32" s="37">
        <f>IF( ISERROR(IND_voed_ele_kWh/1000),0,IND_voed_ele_kWh/1000)</f>
        <v>1114.4129539999999</v>
      </c>
      <c r="C32" s="39">
        <f>IF(ISERROR(B32*3.6/1000000/'E Balans VL '!Z20*100),0,B32*3.6/1000000/'E Balans VL '!Z20*100)</f>
        <v>3.7116569028790396E-2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25.582508999999998</v>
      </c>
      <c r="C35" s="39">
        <f>IF(ISERROR(B35*3.6/1000000/'E Balans VL '!Z22*100),0,B35*3.6/1000000/'E Balans VL '!Z22*100)</f>
        <v>4.7720020124895051E-3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313.02571500000005</v>
      </c>
      <c r="C37" s="39">
        <f>IF(ISERROR(B37*3.6/1000000/'E Balans VL '!Z15*100),0,B37*3.6/1000000/'E Balans VL '!Z15*100)</f>
        <v>2.4424565868844846E-3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96.060654000000014</v>
      </c>
      <c r="C5" s="17">
        <f>'Eigen informatie GS &amp; warmtenet'!B62</f>
        <v>0</v>
      </c>
      <c r="D5" s="30">
        <f>IF(ISERROR(SUM(LB_lb_gas_kWh,LB_rest_gas_kWh)/1000),0,SUM(LB_lb_gas_kWh,LB_rest_gas_kWh)/1000)*0.902</f>
        <v>44.379393102000002</v>
      </c>
      <c r="E5" s="17">
        <f>B17*'E Balans VL '!I25/3.6*1000000/100</f>
        <v>2.9980213344442235</v>
      </c>
      <c r="F5" s="17">
        <f>B17*('E Balans VL '!L25/3.6*1000000+'E Balans VL '!N25/3.6*1000000)/100</f>
        <v>339.48899254819014</v>
      </c>
      <c r="G5" s="18"/>
      <c r="H5" s="17"/>
      <c r="I5" s="17"/>
      <c r="J5" s="17">
        <f>('E Balans VL '!D25+'E Balans VL '!E25)/3.6*1000000*landbouw!B17/100</f>
        <v>26.465376351797183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96.060654000000014</v>
      </c>
      <c r="C8" s="21">
        <f>C5+C6</f>
        <v>0</v>
      </c>
      <c r="D8" s="21">
        <f>MAX((D5+D6),0)</f>
        <v>44.379393102000002</v>
      </c>
      <c r="E8" s="21">
        <f>MAX((E5+E6),0)</f>
        <v>2.9980213344442235</v>
      </c>
      <c r="F8" s="21">
        <f>MAX((F5+F6),0)</f>
        <v>339.48899254819014</v>
      </c>
      <c r="G8" s="21"/>
      <c r="H8" s="21"/>
      <c r="I8" s="21"/>
      <c r="J8" s="21">
        <f>MAX((J5+J6),0)</f>
        <v>26.465376351797183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0.20738458088536685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19.921498469364241</v>
      </c>
      <c r="C12" s="23">
        <f ca="1">C8*C10</f>
        <v>0</v>
      </c>
      <c r="D12" s="23">
        <f>D8*D10</f>
        <v>8.9646374066040018</v>
      </c>
      <c r="E12" s="23">
        <f>E8*E10</f>
        <v>0.68055084291883872</v>
      </c>
      <c r="F12" s="23">
        <f>F8*F10</f>
        <v>90.643561010366767</v>
      </c>
      <c r="G12" s="23"/>
      <c r="H12" s="23"/>
      <c r="I12" s="23"/>
      <c r="J12" s="23">
        <f>J8*J10</f>
        <v>9.3687432285362018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1.4280104845096217E-2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50.790457798417975</v>
      </c>
      <c r="C26" s="247">
        <f>B26*'GWP N2O_CH4'!B5</f>
        <v>1066.5996137667776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5.7139844621294777</v>
      </c>
      <c r="C27" s="247">
        <f>B27*'GWP N2O_CH4'!B5</f>
        <v>119.99367370471903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0.6357029145319617</v>
      </c>
      <c r="C28" s="247">
        <f>B28*'GWP N2O_CH4'!B4</f>
        <v>197.06790350490812</v>
      </c>
      <c r="D28" s="50"/>
    </row>
    <row r="29" spans="1:4">
      <c r="A29" s="41" t="s">
        <v>276</v>
      </c>
      <c r="B29" s="247">
        <f>B34*'ha_N2O bodem landbouw'!B4</f>
        <v>5.5958729141849863</v>
      </c>
      <c r="C29" s="247">
        <f>B29*'GWP N2O_CH4'!B4</f>
        <v>1734.7206033973457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1.2270741786543249E-3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2.03733296775E-4</v>
      </c>
      <c r="C5" s="463" t="s">
        <v>210</v>
      </c>
      <c r="D5" s="448">
        <f>SUM(D6:D11)</f>
        <v>7.5683517775034404E-4</v>
      </c>
      <c r="E5" s="448">
        <f>SUM(E6:E11)</f>
        <v>5.8986440257837488E-4</v>
      </c>
      <c r="F5" s="461" t="s">
        <v>210</v>
      </c>
      <c r="G5" s="448">
        <f>SUM(G6:G11)</f>
        <v>0.20388238973564482</v>
      </c>
      <c r="H5" s="448">
        <f>SUM(H6:H11)</f>
        <v>5.6594977409570424E-2</v>
      </c>
      <c r="I5" s="463" t="s">
        <v>210</v>
      </c>
      <c r="J5" s="463" t="s">
        <v>210</v>
      </c>
      <c r="K5" s="463" t="s">
        <v>210</v>
      </c>
      <c r="L5" s="463" t="s">
        <v>210</v>
      </c>
      <c r="M5" s="448">
        <f>SUM(M6:M11)</f>
        <v>1.5476230846665932E-2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1.8564276879E-4</v>
      </c>
      <c r="C6" s="449"/>
      <c r="D6" s="917">
        <f>vkm_2011_GW_PW*SUMIFS(TableVerdeelsleutelVkm[CNG],TableVerdeelsleutelVkm[Voertuigtype],"Lichte voertuigen")*SUMIFS(TableECFTransport[EnergieConsumptieFactor (PJ per km)],TableECFTransport[Index],CONCATENATE($A6,"_CNG_CNG"))</f>
        <v>6.45511528076184E-4</v>
      </c>
      <c r="E6" s="917">
        <f>vkm_2011_GW_PW*SUMIFS(TableVerdeelsleutelVkm[LPG],TableVerdeelsleutelVkm[Voertuigtype],"Lichte voertuigen")*SUMIFS(TableECFTransport[EnergieConsumptieFactor (PJ per km)],TableECFTransport[Index],CONCATENATE($A6,"_LPG_LPG"))</f>
        <v>5.0855673275279991E-4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0.13843505586860635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4.8443074913690473E-2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1.1167142908347482E-2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4.4737645896677822E-2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1.1270854665659266E-5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2.5797124325415209E-3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1.8090527984999997E-5</v>
      </c>
      <c r="C8" s="449"/>
      <c r="D8" s="451">
        <f>vkm_2011_NGW_PW*SUMIFS(TableVerdeelsleutelVkm[CNG],TableVerdeelsleutelVkm[Voertuigtype],"Lichte voertuigen")*SUMIFS(TableECFTransport[EnergieConsumptieFactor (PJ per km)],TableECFTransport[Index],CONCATENATE($A8,"_CNG_CNG"))</f>
        <v>1.1132364967416001E-4</v>
      </c>
      <c r="E8" s="451">
        <f>vkm_2011_NGW_PW*SUMIFS(TableVerdeelsleutelVkm[LPG],TableVerdeelsleutelVkm[Voertuigtype],"Lichte voertuigen")*SUMIFS(TableECFTransport[EnergieConsumptieFactor (PJ per km)],TableECFTransport[Index],CONCATENATE($A8,"_LPG_LPG"))</f>
        <v>8.1307669825574997E-5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2.0538650208256518E-2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8.14059098351326E-3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1.7195130940591973E-3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1.7103776210414818E-4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4.0657701035002584E-8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9.8624117177320269E-6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56.592582437499999</v>
      </c>
      <c r="C14" s="21"/>
      <c r="D14" s="21">
        <f t="shared" ref="D14:M14" si="0">((D5)*10^9/3600)+D12</f>
        <v>210.23199381954001</v>
      </c>
      <c r="E14" s="21">
        <f t="shared" si="0"/>
        <v>163.85122293843745</v>
      </c>
      <c r="F14" s="21"/>
      <c r="G14" s="21">
        <f t="shared" si="0"/>
        <v>56633.997148790229</v>
      </c>
      <c r="H14" s="21">
        <f t="shared" si="0"/>
        <v>15720.827058214007</v>
      </c>
      <c r="I14" s="21"/>
      <c r="J14" s="21"/>
      <c r="K14" s="21"/>
      <c r="L14" s="21"/>
      <c r="M14" s="21">
        <f t="shared" si="0"/>
        <v>4298.9530129627592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0.20738458088536685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11.73642899002151</v>
      </c>
      <c r="C18" s="23"/>
      <c r="D18" s="23">
        <f t="shared" ref="D18:M18" si="1">D14*D16</f>
        <v>42.466862751547083</v>
      </c>
      <c r="E18" s="23">
        <f t="shared" si="1"/>
        <v>37.194227607025304</v>
      </c>
      <c r="F18" s="23"/>
      <c r="G18" s="23">
        <f t="shared" si="1"/>
        <v>15121.277238726992</v>
      </c>
      <c r="H18" s="23">
        <f t="shared" si="1"/>
        <v>3914.4859374952875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5.583558266053704E-3</v>
      </c>
      <c r="H50" s="321">
        <f t="shared" si="2"/>
        <v>0</v>
      </c>
      <c r="I50" s="321">
        <f t="shared" si="2"/>
        <v>0</v>
      </c>
      <c r="J50" s="321">
        <f t="shared" si="2"/>
        <v>0</v>
      </c>
      <c r="K50" s="321">
        <f t="shared" si="2"/>
        <v>0</v>
      </c>
      <c r="L50" s="321">
        <f t="shared" si="2"/>
        <v>0</v>
      </c>
      <c r="M50" s="321">
        <f t="shared" si="2"/>
        <v>3.1033478621404883E-4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5.583558266053704E-3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3.1033478621404883E-4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1550.9884072371399</v>
      </c>
      <c r="H54" s="21">
        <f t="shared" si="3"/>
        <v>0</v>
      </c>
      <c r="I54" s="21">
        <f t="shared" si="3"/>
        <v>0</v>
      </c>
      <c r="J54" s="21">
        <f t="shared" si="3"/>
        <v>0</v>
      </c>
      <c r="K54" s="21">
        <f t="shared" si="3"/>
        <v>0</v>
      </c>
      <c r="L54" s="21">
        <f t="shared" si="3"/>
        <v>0</v>
      </c>
      <c r="M54" s="21">
        <f t="shared" si="3"/>
        <v>86.204107281680237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0.20738458088536685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414.11390473231637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22435.431124999999</v>
      </c>
      <c r="D10" s="712">
        <f ca="1">tertiair!C16</f>
        <v>3307.5</v>
      </c>
      <c r="E10" s="712">
        <f ca="1">tertiair!D16</f>
        <v>25052.721076244001</v>
      </c>
      <c r="F10" s="712">
        <f>tertiair!E16</f>
        <v>132.82642239152676</v>
      </c>
      <c r="G10" s="712">
        <f ca="1">tertiair!F16</f>
        <v>1910.9448626173626</v>
      </c>
      <c r="H10" s="712">
        <f>tertiair!G16</f>
        <v>0</v>
      </c>
      <c r="I10" s="712">
        <f>tertiair!H16</f>
        <v>0</v>
      </c>
      <c r="J10" s="712">
        <f>tertiair!I16</f>
        <v>0</v>
      </c>
      <c r="K10" s="712">
        <f>tertiair!J16</f>
        <v>3.8549937062683483E-2</v>
      </c>
      <c r="L10" s="712">
        <f>tertiair!K16</f>
        <v>0</v>
      </c>
      <c r="M10" s="712">
        <f ca="1">tertiair!L16</f>
        <v>0</v>
      </c>
      <c r="N10" s="712">
        <f>tertiair!M16</f>
        <v>0</v>
      </c>
      <c r="O10" s="712">
        <f ca="1">tertiair!N16</f>
        <v>1578.7852873268373</v>
      </c>
      <c r="P10" s="712">
        <f>tertiair!O16</f>
        <v>9.7945215316823084</v>
      </c>
      <c r="Q10" s="713">
        <f>tertiair!P16</f>
        <v>210.15655322598008</v>
      </c>
      <c r="R10" s="715">
        <f ca="1">SUM(C10:Q10)</f>
        <v>54638.198398274435</v>
      </c>
      <c r="S10" s="67"/>
    </row>
    <row r="11" spans="1:19" s="474" customFormat="1">
      <c r="A11" s="834" t="s">
        <v>224</v>
      </c>
      <c r="B11" s="839"/>
      <c r="C11" s="712">
        <f>huishoudens!B8</f>
        <v>27621.981891888598</v>
      </c>
      <c r="D11" s="712">
        <f>huishoudens!C8</f>
        <v>0</v>
      </c>
      <c r="E11" s="712">
        <f>huishoudens!D8</f>
        <v>60557.492801960012</v>
      </c>
      <c r="F11" s="712">
        <f>huishoudens!E8</f>
        <v>7475.3341312874018</v>
      </c>
      <c r="G11" s="712">
        <f>huishoudens!F8</f>
        <v>23191.416073309108</v>
      </c>
      <c r="H11" s="712">
        <f>huishoudens!G8</f>
        <v>0</v>
      </c>
      <c r="I11" s="712">
        <f>huishoudens!H8</f>
        <v>0</v>
      </c>
      <c r="J11" s="712">
        <f>huishoudens!I8</f>
        <v>0</v>
      </c>
      <c r="K11" s="712">
        <f>huishoudens!J8</f>
        <v>0</v>
      </c>
      <c r="L11" s="712">
        <f>huishoudens!K8</f>
        <v>0</v>
      </c>
      <c r="M11" s="712">
        <f>huishoudens!L8</f>
        <v>0</v>
      </c>
      <c r="N11" s="712">
        <f>huishoudens!M8</f>
        <v>0</v>
      </c>
      <c r="O11" s="712">
        <f>huishoudens!N8</f>
        <v>10584.272327685921</v>
      </c>
      <c r="P11" s="712">
        <f>huishoudens!O8</f>
        <v>404.72747675495452</v>
      </c>
      <c r="Q11" s="713">
        <f>huishoudens!P8</f>
        <v>832.18278530711677</v>
      </c>
      <c r="R11" s="715">
        <f>SUM(C11:Q11)</f>
        <v>130667.4074881931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2437.0833779999998</v>
      </c>
      <c r="D13" s="712">
        <f>industrie!C18</f>
        <v>0</v>
      </c>
      <c r="E13" s="712">
        <f>industrie!D18</f>
        <v>3022.270425702</v>
      </c>
      <c r="F13" s="712">
        <f>industrie!E18</f>
        <v>268.97294967931521</v>
      </c>
      <c r="G13" s="712">
        <f>industrie!F18</f>
        <v>875.86385759185293</v>
      </c>
      <c r="H13" s="712">
        <f>industrie!G18</f>
        <v>0</v>
      </c>
      <c r="I13" s="712">
        <f>industrie!H18</f>
        <v>0</v>
      </c>
      <c r="J13" s="712">
        <f>industrie!I18</f>
        <v>0</v>
      </c>
      <c r="K13" s="712">
        <f>industrie!J18</f>
        <v>5.4613424076416699</v>
      </c>
      <c r="L13" s="712">
        <f>industrie!K18</f>
        <v>0</v>
      </c>
      <c r="M13" s="712">
        <f>industrie!L18</f>
        <v>0</v>
      </c>
      <c r="N13" s="712">
        <f>industrie!M18</f>
        <v>0</v>
      </c>
      <c r="O13" s="712">
        <f>industrie!N18</f>
        <v>143.57828148872034</v>
      </c>
      <c r="P13" s="712">
        <f>industrie!O18</f>
        <v>0</v>
      </c>
      <c r="Q13" s="713">
        <f>industrie!P18</f>
        <v>0</v>
      </c>
      <c r="R13" s="715">
        <f>SUM(C13:Q13)</f>
        <v>6753.2302348695302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52494.4963948886</v>
      </c>
      <c r="D16" s="748">
        <f t="shared" ref="D16:R16" ca="1" si="0">SUM(D9:D15)</f>
        <v>3307.5</v>
      </c>
      <c r="E16" s="748">
        <f t="shared" ca="1" si="0"/>
        <v>88632.484303906007</v>
      </c>
      <c r="F16" s="748">
        <f t="shared" si="0"/>
        <v>7877.1335033582436</v>
      </c>
      <c r="G16" s="748">
        <f t="shared" ca="1" si="0"/>
        <v>25978.224793518322</v>
      </c>
      <c r="H16" s="748">
        <f t="shared" si="0"/>
        <v>0</v>
      </c>
      <c r="I16" s="748">
        <f t="shared" si="0"/>
        <v>0</v>
      </c>
      <c r="J16" s="748">
        <f t="shared" si="0"/>
        <v>0</v>
      </c>
      <c r="K16" s="748">
        <f t="shared" si="0"/>
        <v>5.4998923447043531</v>
      </c>
      <c r="L16" s="748">
        <f t="shared" si="0"/>
        <v>0</v>
      </c>
      <c r="M16" s="748">
        <f t="shared" ca="1" si="0"/>
        <v>0</v>
      </c>
      <c r="N16" s="748">
        <f t="shared" si="0"/>
        <v>0</v>
      </c>
      <c r="O16" s="748">
        <f t="shared" ca="1" si="0"/>
        <v>12306.635896501479</v>
      </c>
      <c r="P16" s="748">
        <f t="shared" si="0"/>
        <v>414.52199828663686</v>
      </c>
      <c r="Q16" s="748">
        <f t="shared" si="0"/>
        <v>1042.3393385330969</v>
      </c>
      <c r="R16" s="748">
        <f t="shared" ca="1" si="0"/>
        <v>192058.83612133705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1550.9884072371399</v>
      </c>
      <c r="I19" s="712">
        <f>transport!H54</f>
        <v>0</v>
      </c>
      <c r="J19" s="712">
        <f>transport!I54</f>
        <v>0</v>
      </c>
      <c r="K19" s="712">
        <f>transport!J54</f>
        <v>0</v>
      </c>
      <c r="L19" s="712">
        <f>transport!K54</f>
        <v>0</v>
      </c>
      <c r="M19" s="712">
        <f>transport!L54</f>
        <v>0</v>
      </c>
      <c r="N19" s="712">
        <f>transport!M54</f>
        <v>86.204107281680237</v>
      </c>
      <c r="O19" s="712">
        <f>transport!N54</f>
        <v>0</v>
      </c>
      <c r="P19" s="712">
        <f>transport!O54</f>
        <v>0</v>
      </c>
      <c r="Q19" s="713">
        <f>transport!P54</f>
        <v>0</v>
      </c>
      <c r="R19" s="715">
        <f>SUM(C19:Q19)</f>
        <v>1637.1925145188202</v>
      </c>
      <c r="S19" s="67"/>
    </row>
    <row r="20" spans="1:19" s="474" customFormat="1">
      <c r="A20" s="834" t="s">
        <v>306</v>
      </c>
      <c r="B20" s="839"/>
      <c r="C20" s="712">
        <f>transport!B14</f>
        <v>56.592582437499999</v>
      </c>
      <c r="D20" s="712">
        <f>transport!C14</f>
        <v>0</v>
      </c>
      <c r="E20" s="712">
        <f>transport!D14</f>
        <v>210.23199381954001</v>
      </c>
      <c r="F20" s="712">
        <f>transport!E14</f>
        <v>163.85122293843745</v>
      </c>
      <c r="G20" s="712">
        <f>transport!F14</f>
        <v>0</v>
      </c>
      <c r="H20" s="712">
        <f>transport!G14</f>
        <v>56633.997148790229</v>
      </c>
      <c r="I20" s="712">
        <f>transport!H14</f>
        <v>15720.827058214007</v>
      </c>
      <c r="J20" s="712">
        <f>transport!I14</f>
        <v>0</v>
      </c>
      <c r="K20" s="712">
        <f>transport!J14</f>
        <v>0</v>
      </c>
      <c r="L20" s="712">
        <f>transport!K14</f>
        <v>0</v>
      </c>
      <c r="M20" s="712">
        <f>transport!L14</f>
        <v>0</v>
      </c>
      <c r="N20" s="712">
        <f>transport!M14</f>
        <v>4298.9530129627592</v>
      </c>
      <c r="O20" s="712">
        <f>transport!N14</f>
        <v>0</v>
      </c>
      <c r="P20" s="712">
        <f>transport!O14</f>
        <v>0</v>
      </c>
      <c r="Q20" s="713">
        <f>transport!P14</f>
        <v>0</v>
      </c>
      <c r="R20" s="715">
        <f>SUM(C20:Q20)</f>
        <v>77084.453019162465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56.592582437499999</v>
      </c>
      <c r="D22" s="837">
        <f t="shared" ref="D22:R22" si="1">SUM(D18:D21)</f>
        <v>0</v>
      </c>
      <c r="E22" s="837">
        <f t="shared" si="1"/>
        <v>210.23199381954001</v>
      </c>
      <c r="F22" s="837">
        <f t="shared" si="1"/>
        <v>163.85122293843745</v>
      </c>
      <c r="G22" s="837">
        <f t="shared" si="1"/>
        <v>0</v>
      </c>
      <c r="H22" s="837">
        <f t="shared" si="1"/>
        <v>58184.985556027372</v>
      </c>
      <c r="I22" s="837">
        <f t="shared" si="1"/>
        <v>15720.827058214007</v>
      </c>
      <c r="J22" s="837">
        <f t="shared" si="1"/>
        <v>0</v>
      </c>
      <c r="K22" s="837">
        <f t="shared" si="1"/>
        <v>0</v>
      </c>
      <c r="L22" s="837">
        <f t="shared" si="1"/>
        <v>0</v>
      </c>
      <c r="M22" s="837">
        <f t="shared" si="1"/>
        <v>0</v>
      </c>
      <c r="N22" s="837">
        <f t="shared" si="1"/>
        <v>4385.1571202444393</v>
      </c>
      <c r="O22" s="837">
        <f t="shared" si="1"/>
        <v>0</v>
      </c>
      <c r="P22" s="837">
        <f t="shared" si="1"/>
        <v>0</v>
      </c>
      <c r="Q22" s="837">
        <f t="shared" si="1"/>
        <v>0</v>
      </c>
      <c r="R22" s="837">
        <f t="shared" si="1"/>
        <v>78721.64553368128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96.060654000000014</v>
      </c>
      <c r="D24" s="712">
        <f>+landbouw!C8</f>
        <v>0</v>
      </c>
      <c r="E24" s="712">
        <f>+landbouw!D8</f>
        <v>44.379393102000002</v>
      </c>
      <c r="F24" s="712">
        <f>+landbouw!E8</f>
        <v>2.9980213344442235</v>
      </c>
      <c r="G24" s="712">
        <f>+landbouw!F8</f>
        <v>339.48899254819014</v>
      </c>
      <c r="H24" s="712">
        <f>+landbouw!G8</f>
        <v>0</v>
      </c>
      <c r="I24" s="712">
        <f>+landbouw!H8</f>
        <v>0</v>
      </c>
      <c r="J24" s="712">
        <f>+landbouw!I8</f>
        <v>0</v>
      </c>
      <c r="K24" s="712">
        <f>+landbouw!J8</f>
        <v>26.465376351797183</v>
      </c>
      <c r="L24" s="712">
        <f>+landbouw!K8</f>
        <v>0</v>
      </c>
      <c r="M24" s="712">
        <f>+landbouw!L8</f>
        <v>0</v>
      </c>
      <c r="N24" s="712">
        <f>+landbouw!M8</f>
        <v>0</v>
      </c>
      <c r="O24" s="712">
        <f>+landbouw!N8</f>
        <v>0</v>
      </c>
      <c r="P24" s="712">
        <f>+landbouw!O8</f>
        <v>0</v>
      </c>
      <c r="Q24" s="713">
        <f>+landbouw!P8</f>
        <v>0</v>
      </c>
      <c r="R24" s="715">
        <f>SUM(C24:Q24)</f>
        <v>509.39243733643161</v>
      </c>
      <c r="S24" s="67"/>
    </row>
    <row r="25" spans="1:19" s="474" customFormat="1" ht="15" thickBot="1">
      <c r="A25" s="856" t="s">
        <v>734</v>
      </c>
      <c r="B25" s="982"/>
      <c r="C25" s="983">
        <f>IF(Onbekend_ele_kWh="---",0,Onbekend_ele_kWh)/1000+IF(REST_rest_ele_kWh="---",0,REST_rest_ele_kWh)/1000</f>
        <v>829.85757599999999</v>
      </c>
      <c r="D25" s="983"/>
      <c r="E25" s="983">
        <f>IF(onbekend_gas_kWh="---",0,onbekend_gas_kWh)/1000+IF(REST_rest_gas_kWh="---",0,REST_rest_gas_kWh)/1000</f>
        <v>2004.790616</v>
      </c>
      <c r="F25" s="983"/>
      <c r="G25" s="983"/>
      <c r="H25" s="983"/>
      <c r="I25" s="983"/>
      <c r="J25" s="983"/>
      <c r="K25" s="983"/>
      <c r="L25" s="983"/>
      <c r="M25" s="983"/>
      <c r="N25" s="983"/>
      <c r="O25" s="983"/>
      <c r="P25" s="983"/>
      <c r="Q25" s="984"/>
      <c r="R25" s="715">
        <f>SUM(C25:Q25)</f>
        <v>2834.6481920000001</v>
      </c>
      <c r="S25" s="67"/>
    </row>
    <row r="26" spans="1:19" s="474" customFormat="1" ht="15.75" thickBot="1">
      <c r="A26" s="720" t="s">
        <v>735</v>
      </c>
      <c r="B26" s="842"/>
      <c r="C26" s="837">
        <f>SUM(C24:C25)</f>
        <v>925.91822999999999</v>
      </c>
      <c r="D26" s="837">
        <f t="shared" ref="D26:R26" si="2">SUM(D24:D25)</f>
        <v>0</v>
      </c>
      <c r="E26" s="837">
        <f t="shared" si="2"/>
        <v>2049.1700091020002</v>
      </c>
      <c r="F26" s="837">
        <f t="shared" si="2"/>
        <v>2.9980213344442235</v>
      </c>
      <c r="G26" s="837">
        <f t="shared" si="2"/>
        <v>339.48899254819014</v>
      </c>
      <c r="H26" s="837">
        <f t="shared" si="2"/>
        <v>0</v>
      </c>
      <c r="I26" s="837">
        <f t="shared" si="2"/>
        <v>0</v>
      </c>
      <c r="J26" s="837">
        <f t="shared" si="2"/>
        <v>0</v>
      </c>
      <c r="K26" s="837">
        <f t="shared" si="2"/>
        <v>26.465376351797183</v>
      </c>
      <c r="L26" s="837">
        <f t="shared" si="2"/>
        <v>0</v>
      </c>
      <c r="M26" s="837">
        <f t="shared" si="2"/>
        <v>0</v>
      </c>
      <c r="N26" s="837">
        <f t="shared" si="2"/>
        <v>0</v>
      </c>
      <c r="O26" s="837">
        <f t="shared" si="2"/>
        <v>0</v>
      </c>
      <c r="P26" s="837">
        <f t="shared" si="2"/>
        <v>0</v>
      </c>
      <c r="Q26" s="837">
        <f t="shared" si="2"/>
        <v>0</v>
      </c>
      <c r="R26" s="837">
        <f t="shared" si="2"/>
        <v>3344.0406293364317</v>
      </c>
      <c r="S26" s="67"/>
    </row>
    <row r="27" spans="1:19" s="474" customFormat="1" ht="17.25" thickTop="1" thickBot="1">
      <c r="A27" s="721" t="s">
        <v>115</v>
      </c>
      <c r="B27" s="829"/>
      <c r="C27" s="722">
        <f ca="1">C22+C16+C26</f>
        <v>53477.007207326104</v>
      </c>
      <c r="D27" s="722">
        <f t="shared" ref="D27:R27" ca="1" si="3">D22+D16+D26</f>
        <v>3307.5</v>
      </c>
      <c r="E27" s="722">
        <f t="shared" ca="1" si="3"/>
        <v>90891.886306827553</v>
      </c>
      <c r="F27" s="722">
        <f t="shared" si="3"/>
        <v>8043.9827476311257</v>
      </c>
      <c r="G27" s="722">
        <f t="shared" ca="1" si="3"/>
        <v>26317.713786066513</v>
      </c>
      <c r="H27" s="722">
        <f t="shared" si="3"/>
        <v>58184.985556027372</v>
      </c>
      <c r="I27" s="722">
        <f t="shared" si="3"/>
        <v>15720.827058214007</v>
      </c>
      <c r="J27" s="722">
        <f t="shared" si="3"/>
        <v>0</v>
      </c>
      <c r="K27" s="722">
        <f t="shared" si="3"/>
        <v>31.965268696501536</v>
      </c>
      <c r="L27" s="722">
        <f t="shared" si="3"/>
        <v>0</v>
      </c>
      <c r="M27" s="722">
        <f t="shared" ca="1" si="3"/>
        <v>0</v>
      </c>
      <c r="N27" s="722">
        <f t="shared" si="3"/>
        <v>4385.1571202444393</v>
      </c>
      <c r="O27" s="722">
        <f t="shared" ca="1" si="3"/>
        <v>12306.635896501479</v>
      </c>
      <c r="P27" s="722">
        <f t="shared" si="3"/>
        <v>414.52199828663686</v>
      </c>
      <c r="Q27" s="722">
        <f t="shared" si="3"/>
        <v>1042.3393385330969</v>
      </c>
      <c r="R27" s="722">
        <f t="shared" ca="1" si="3"/>
        <v>274124.52228435478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4652.7624808406399</v>
      </c>
      <c r="D40" s="712">
        <f ca="1">tertiair!C20</f>
        <v>786.01764705882363</v>
      </c>
      <c r="E40" s="712">
        <f ca="1">tertiair!D20</f>
        <v>5060.6496574012881</v>
      </c>
      <c r="F40" s="712">
        <f>tertiair!E20</f>
        <v>30.151597882876576</v>
      </c>
      <c r="G40" s="712">
        <f ca="1">tertiair!F20</f>
        <v>510.22227831883583</v>
      </c>
      <c r="H40" s="712">
        <f>tertiair!G20</f>
        <v>0</v>
      </c>
      <c r="I40" s="712">
        <f>tertiair!H20</f>
        <v>0</v>
      </c>
      <c r="J40" s="712">
        <f>tertiair!I20</f>
        <v>0</v>
      </c>
      <c r="K40" s="712">
        <f>tertiair!J20</f>
        <v>1.3646677720189952E-2</v>
      </c>
      <c r="L40" s="712">
        <f>tertiair!K20</f>
        <v>0</v>
      </c>
      <c r="M40" s="712">
        <f ca="1">tertiair!L20</f>
        <v>0</v>
      </c>
      <c r="N40" s="712">
        <f>tertiair!M20</f>
        <v>0</v>
      </c>
      <c r="O40" s="712">
        <f ca="1">tertiair!N20</f>
        <v>0</v>
      </c>
      <c r="P40" s="712">
        <f>tertiair!O20</f>
        <v>0</v>
      </c>
      <c r="Q40" s="795">
        <f>tertiair!P20</f>
        <v>0</v>
      </c>
      <c r="R40" s="875">
        <f t="shared" ca="1" si="4"/>
        <v>11039.817308180185</v>
      </c>
    </row>
    <row r="41" spans="1:18">
      <c r="A41" s="847" t="s">
        <v>224</v>
      </c>
      <c r="B41" s="854"/>
      <c r="C41" s="712">
        <f ca="1">huishoudens!B12</f>
        <v>5728.3731378725097</v>
      </c>
      <c r="D41" s="712">
        <f ca="1">huishoudens!C12</f>
        <v>0</v>
      </c>
      <c r="E41" s="712">
        <f>huishoudens!D12</f>
        <v>12232.613545995922</v>
      </c>
      <c r="F41" s="712">
        <f>huishoudens!E12</f>
        <v>1696.9008478022402</v>
      </c>
      <c r="G41" s="712">
        <f>huishoudens!F12</f>
        <v>6192.108091573532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25849.995623244205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505.41351492922405</v>
      </c>
      <c r="D43" s="712">
        <f ca="1">industrie!C22</f>
        <v>0</v>
      </c>
      <c r="E43" s="712">
        <f>industrie!D22</f>
        <v>610.49862599180403</v>
      </c>
      <c r="F43" s="712">
        <f>industrie!E22</f>
        <v>61.056859577204555</v>
      </c>
      <c r="G43" s="712">
        <f>industrie!F22</f>
        <v>233.85564997702474</v>
      </c>
      <c r="H43" s="712">
        <f>industrie!G22</f>
        <v>0</v>
      </c>
      <c r="I43" s="712">
        <f>industrie!H22</f>
        <v>0</v>
      </c>
      <c r="J43" s="712">
        <f>industrie!I22</f>
        <v>0</v>
      </c>
      <c r="K43" s="712">
        <f>industrie!J22</f>
        <v>1.9333152123051511</v>
      </c>
      <c r="L43" s="712">
        <f>industrie!K22</f>
        <v>0</v>
      </c>
      <c r="M43" s="712">
        <f>industrie!L22</f>
        <v>0</v>
      </c>
      <c r="N43" s="712">
        <f>industrie!M22</f>
        <v>0</v>
      </c>
      <c r="O43" s="712">
        <f>industrie!N22</f>
        <v>0</v>
      </c>
      <c r="P43" s="712">
        <f>industrie!O22</f>
        <v>0</v>
      </c>
      <c r="Q43" s="795">
        <f>industrie!P22</f>
        <v>0</v>
      </c>
      <c r="R43" s="874">
        <f t="shared" ca="1" si="4"/>
        <v>1412.7579656875625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10886.549133642373</v>
      </c>
      <c r="D46" s="748">
        <f t="shared" ref="D46:Q46" ca="1" si="5">SUM(D39:D45)</f>
        <v>786.01764705882363</v>
      </c>
      <c r="E46" s="748">
        <f t="shared" ca="1" si="5"/>
        <v>17903.761829389015</v>
      </c>
      <c r="F46" s="748">
        <f t="shared" si="5"/>
        <v>1788.1093052623212</v>
      </c>
      <c r="G46" s="748">
        <f t="shared" ca="1" si="5"/>
        <v>6936.186019869393</v>
      </c>
      <c r="H46" s="748">
        <f t="shared" si="5"/>
        <v>0</v>
      </c>
      <c r="I46" s="748">
        <f t="shared" si="5"/>
        <v>0</v>
      </c>
      <c r="J46" s="748">
        <f t="shared" si="5"/>
        <v>0</v>
      </c>
      <c r="K46" s="748">
        <f t="shared" si="5"/>
        <v>1.9469618900253411</v>
      </c>
      <c r="L46" s="748">
        <f t="shared" si="5"/>
        <v>0</v>
      </c>
      <c r="M46" s="748">
        <f t="shared" ca="1" si="5"/>
        <v>0</v>
      </c>
      <c r="N46" s="748">
        <f t="shared" si="5"/>
        <v>0</v>
      </c>
      <c r="O46" s="748">
        <f t="shared" ca="1" si="5"/>
        <v>0</v>
      </c>
      <c r="P46" s="748">
        <f t="shared" si="5"/>
        <v>0</v>
      </c>
      <c r="Q46" s="748">
        <f t="shared" si="5"/>
        <v>0</v>
      </c>
      <c r="R46" s="748">
        <f ca="1">SUM(R39:R45)</f>
        <v>38302.570897111953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414.11390473231637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414.11390473231637</v>
      </c>
    </row>
    <row r="50" spans="1:18">
      <c r="A50" s="850" t="s">
        <v>306</v>
      </c>
      <c r="B50" s="860"/>
      <c r="C50" s="718">
        <f ca="1">transport!B18</f>
        <v>11.73642899002151</v>
      </c>
      <c r="D50" s="718">
        <f>transport!C18</f>
        <v>0</v>
      </c>
      <c r="E50" s="718">
        <f>transport!D18</f>
        <v>42.466862751547083</v>
      </c>
      <c r="F50" s="718">
        <f>transport!E18</f>
        <v>37.194227607025304</v>
      </c>
      <c r="G50" s="718">
        <f>transport!F18</f>
        <v>0</v>
      </c>
      <c r="H50" s="718">
        <f>transport!G18</f>
        <v>15121.277238726992</v>
      </c>
      <c r="I50" s="718">
        <f>transport!H18</f>
        <v>3914.4859374952875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19127.160695570874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11.73642899002151</v>
      </c>
      <c r="D52" s="748">
        <f t="shared" ref="D52:Q52" ca="1" si="6">SUM(D48:D51)</f>
        <v>0</v>
      </c>
      <c r="E52" s="748">
        <f t="shared" si="6"/>
        <v>42.466862751547083</v>
      </c>
      <c r="F52" s="748">
        <f t="shared" si="6"/>
        <v>37.194227607025304</v>
      </c>
      <c r="G52" s="748">
        <f t="shared" si="6"/>
        <v>0</v>
      </c>
      <c r="H52" s="748">
        <f t="shared" si="6"/>
        <v>15535.391143459308</v>
      </c>
      <c r="I52" s="748">
        <f t="shared" si="6"/>
        <v>3914.4859374952875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19541.27460030319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19.921498469364241</v>
      </c>
      <c r="D54" s="718">
        <f ca="1">+landbouw!C12</f>
        <v>0</v>
      </c>
      <c r="E54" s="718">
        <f>+landbouw!D12</f>
        <v>8.9646374066040018</v>
      </c>
      <c r="F54" s="718">
        <f>+landbouw!E12</f>
        <v>0.68055084291883872</v>
      </c>
      <c r="G54" s="718">
        <f>+landbouw!F12</f>
        <v>90.643561010366767</v>
      </c>
      <c r="H54" s="718">
        <f>+landbouw!G12</f>
        <v>0</v>
      </c>
      <c r="I54" s="718">
        <f>+landbouw!H12</f>
        <v>0</v>
      </c>
      <c r="J54" s="718">
        <f>+landbouw!I12</f>
        <v>0</v>
      </c>
      <c r="K54" s="718">
        <f>+landbouw!J12</f>
        <v>9.3687432285362018</v>
      </c>
      <c r="L54" s="718">
        <f>+landbouw!K12</f>
        <v>0</v>
      </c>
      <c r="M54" s="718">
        <f>+landbouw!L12</f>
        <v>0</v>
      </c>
      <c r="N54" s="718">
        <f>+landbouw!M12</f>
        <v>0</v>
      </c>
      <c r="O54" s="718">
        <f>+landbouw!N12</f>
        <v>0</v>
      </c>
      <c r="P54" s="718">
        <f>+landbouw!O12</f>
        <v>0</v>
      </c>
      <c r="Q54" s="719">
        <f>+landbouw!P12</f>
        <v>0</v>
      </c>
      <c r="R54" s="747">
        <f ca="1">SUM(C54:Q54)</f>
        <v>129.57899095779004</v>
      </c>
    </row>
    <row r="55" spans="1:18" ht="15" thickBot="1">
      <c r="A55" s="850" t="s">
        <v>734</v>
      </c>
      <c r="B55" s="860"/>
      <c r="C55" s="718">
        <f ca="1">C25*'EF ele_warmte'!B12</f>
        <v>172.09966559330647</v>
      </c>
      <c r="D55" s="718"/>
      <c r="E55" s="718">
        <f>E25*EF_CO2_aardgas</f>
        <v>404.967704432</v>
      </c>
      <c r="F55" s="718"/>
      <c r="G55" s="718"/>
      <c r="H55" s="718"/>
      <c r="I55" s="718"/>
      <c r="J55" s="718"/>
      <c r="K55" s="718"/>
      <c r="L55" s="718"/>
      <c r="M55" s="718"/>
      <c r="N55" s="718"/>
      <c r="O55" s="718"/>
      <c r="P55" s="718"/>
      <c r="Q55" s="719"/>
      <c r="R55" s="747">
        <f ca="1">SUM(C55:Q55)</f>
        <v>577.06737002530645</v>
      </c>
    </row>
    <row r="56" spans="1:18" ht="15.75" thickBot="1">
      <c r="A56" s="848" t="s">
        <v>735</v>
      </c>
      <c r="B56" s="861"/>
      <c r="C56" s="748">
        <f ca="1">SUM(C54:C55)</f>
        <v>192.02116406267072</v>
      </c>
      <c r="D56" s="748">
        <f t="shared" ref="D56:Q56" ca="1" si="7">SUM(D54:D55)</f>
        <v>0</v>
      </c>
      <c r="E56" s="748">
        <f t="shared" si="7"/>
        <v>413.93234183860403</v>
      </c>
      <c r="F56" s="748">
        <f t="shared" si="7"/>
        <v>0.68055084291883872</v>
      </c>
      <c r="G56" s="748">
        <f t="shared" si="7"/>
        <v>90.643561010366767</v>
      </c>
      <c r="H56" s="748">
        <f t="shared" si="7"/>
        <v>0</v>
      </c>
      <c r="I56" s="748">
        <f t="shared" si="7"/>
        <v>0</v>
      </c>
      <c r="J56" s="748">
        <f t="shared" si="7"/>
        <v>0</v>
      </c>
      <c r="K56" s="748">
        <f t="shared" si="7"/>
        <v>9.3687432285362018</v>
      </c>
      <c r="L56" s="748">
        <f t="shared" si="7"/>
        <v>0</v>
      </c>
      <c r="M56" s="748">
        <f t="shared" si="7"/>
        <v>0</v>
      </c>
      <c r="N56" s="748">
        <f t="shared" si="7"/>
        <v>0</v>
      </c>
      <c r="O56" s="748">
        <f t="shared" si="7"/>
        <v>0</v>
      </c>
      <c r="P56" s="748">
        <f t="shared" si="7"/>
        <v>0</v>
      </c>
      <c r="Q56" s="749">
        <f t="shared" si="7"/>
        <v>0</v>
      </c>
      <c r="R56" s="750">
        <f ca="1">SUM(R54:R55)</f>
        <v>706.64636098309643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11090.306726695066</v>
      </c>
      <c r="D61" s="756">
        <f t="shared" ref="D61:Q61" ca="1" si="8">D46+D52+D56</f>
        <v>786.01764705882363</v>
      </c>
      <c r="E61" s="756">
        <f t="shared" ca="1" si="8"/>
        <v>18360.161033979166</v>
      </c>
      <c r="F61" s="756">
        <f t="shared" si="8"/>
        <v>1825.9840837122654</v>
      </c>
      <c r="G61" s="756">
        <f t="shared" ca="1" si="8"/>
        <v>7026.8295808797602</v>
      </c>
      <c r="H61" s="756">
        <f t="shared" si="8"/>
        <v>15535.391143459308</v>
      </c>
      <c r="I61" s="756">
        <f t="shared" si="8"/>
        <v>3914.4859374952875</v>
      </c>
      <c r="J61" s="756">
        <f t="shared" si="8"/>
        <v>0</v>
      </c>
      <c r="K61" s="756">
        <f t="shared" si="8"/>
        <v>11.315705118561542</v>
      </c>
      <c r="L61" s="756">
        <f t="shared" si="8"/>
        <v>0</v>
      </c>
      <c r="M61" s="756">
        <f t="shared" ca="1" si="8"/>
        <v>0</v>
      </c>
      <c r="N61" s="756">
        <f t="shared" si="8"/>
        <v>0</v>
      </c>
      <c r="O61" s="756">
        <f t="shared" ca="1" si="8"/>
        <v>0</v>
      </c>
      <c r="P61" s="756">
        <f t="shared" si="8"/>
        <v>0</v>
      </c>
      <c r="Q61" s="756">
        <f t="shared" si="8"/>
        <v>0</v>
      </c>
      <c r="R61" s="756">
        <f ca="1">R46+R52+R56</f>
        <v>58550.491858398236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0.20738458088536685</v>
      </c>
      <c r="D63" s="802">
        <f t="shared" ca="1" si="9"/>
        <v>0.23764705882352943</v>
      </c>
      <c r="E63" s="1008">
        <f t="shared" ca="1" si="9"/>
        <v>0.20200000000000001</v>
      </c>
      <c r="F63" s="802">
        <f t="shared" si="9"/>
        <v>0.22699999999999998</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3469.0224844578233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2315.25</v>
      </c>
      <c r="D76" s="991">
        <f>'lokale energieproductie'!C8</f>
        <v>2723.8235294117644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550.21235294117639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3469.0224844578233</v>
      </c>
      <c r="C78" s="774">
        <f>SUM(C72:C77)</f>
        <v>2315.25</v>
      </c>
      <c r="D78" s="775">
        <f t="shared" ref="D78:H78" si="10">SUM(D76:D77)</f>
        <v>2723.8235294117644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550.21235294117639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3307.5</v>
      </c>
      <c r="D87" s="798">
        <f>'lokale energieproductie'!C17</f>
        <v>3891.1764705882356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786.01764705882363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3307.5</v>
      </c>
      <c r="D90" s="774">
        <f t="shared" ref="D90:H90" si="12">SUM(D87:D89)</f>
        <v>3891.1764705882356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786.01764705882363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3469.0224844578233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2315.25</v>
      </c>
      <c r="C8" s="574">
        <f>B101</f>
        <v>2723.8235294117644</v>
      </c>
      <c r="D8" s="575"/>
      <c r="E8" s="575">
        <f>E101</f>
        <v>0</v>
      </c>
      <c r="F8" s="576"/>
      <c r="G8" s="577"/>
      <c r="H8" s="575">
        <f>I101</f>
        <v>0</v>
      </c>
      <c r="I8" s="575">
        <f>G101+F101</f>
        <v>0</v>
      </c>
      <c r="J8" s="575">
        <f>H101+D101+C101</f>
        <v>0</v>
      </c>
      <c r="K8" s="575"/>
      <c r="L8" s="575"/>
      <c r="M8" s="575"/>
      <c r="N8" s="578"/>
      <c r="O8" s="579">
        <f>C8*$C$12+D8*$D$12+E8*$E$12+F8*$F$12+G8*$G$12+H8*$H$12+I8*$I$12+J8*$J$12</f>
        <v>550.21235294117639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5784.2724844578233</v>
      </c>
      <c r="C10" s="589">
        <f t="shared" ref="C10:L10" si="0">SUM(C8:C9)</f>
        <v>2723.8235294117644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550.21235294117639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3307.5</v>
      </c>
      <c r="C17" s="605">
        <f>B102</f>
        <v>3891.1764705882356</v>
      </c>
      <c r="D17" s="606"/>
      <c r="E17" s="606">
        <f>E102</f>
        <v>0</v>
      </c>
      <c r="F17" s="607"/>
      <c r="G17" s="608"/>
      <c r="H17" s="605">
        <f>I102</f>
        <v>0</v>
      </c>
      <c r="I17" s="606">
        <f>G102+F102</f>
        <v>0</v>
      </c>
      <c r="J17" s="606">
        <f>H102+D102+C102</f>
        <v>0</v>
      </c>
      <c r="K17" s="606"/>
      <c r="L17" s="606"/>
      <c r="M17" s="606"/>
      <c r="N17" s="1005"/>
      <c r="O17" s="609">
        <f>C17*$C$22+E17*$E$22+H17*$H$22+I17*$I$22+J17*$J$22+D17*$D$22+F17*$F$22+G17*$G$22+K17*$K$22+L17*$L$22</f>
        <v>786.01764705882363</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3307.5</v>
      </c>
      <c r="C20" s="588">
        <f>SUM(C17:C19)</f>
        <v>3891.1764705882356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786.01764705882363</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12005</v>
      </c>
      <c r="C28" s="817">
        <v>2820</v>
      </c>
      <c r="D28" s="666" t="s">
        <v>886</v>
      </c>
      <c r="E28" s="665" t="s">
        <v>887</v>
      </c>
      <c r="F28" s="665" t="s">
        <v>888</v>
      </c>
      <c r="G28" s="665" t="s">
        <v>889</v>
      </c>
      <c r="H28" s="665" t="s">
        <v>890</v>
      </c>
      <c r="I28" s="665" t="s">
        <v>887</v>
      </c>
      <c r="J28" s="816">
        <v>41698</v>
      </c>
      <c r="K28" s="816">
        <v>41698</v>
      </c>
      <c r="L28" s="665" t="s">
        <v>891</v>
      </c>
      <c r="M28" s="665">
        <v>5.5</v>
      </c>
      <c r="N28" s="665">
        <v>24.75</v>
      </c>
      <c r="O28" s="665">
        <v>35.357142857142861</v>
      </c>
      <c r="P28" s="665">
        <v>70.714285714285722</v>
      </c>
      <c r="Q28" s="665">
        <v>0</v>
      </c>
      <c r="R28" s="665">
        <v>0</v>
      </c>
      <c r="S28" s="665">
        <v>0</v>
      </c>
      <c r="T28" s="665">
        <v>0</v>
      </c>
      <c r="U28" s="665">
        <v>0</v>
      </c>
      <c r="V28" s="665">
        <v>0</v>
      </c>
      <c r="W28" s="665">
        <v>0</v>
      </c>
      <c r="X28" s="665">
        <v>1100</v>
      </c>
      <c r="Y28" s="665" t="s">
        <v>51</v>
      </c>
      <c r="Z28" s="667" t="s">
        <v>155</v>
      </c>
    </row>
    <row r="29" spans="1:26" s="619" customFormat="1" ht="51">
      <c r="A29" s="618"/>
      <c r="B29" s="817">
        <v>12005</v>
      </c>
      <c r="C29" s="817">
        <v>2820</v>
      </c>
      <c r="D29" s="666" t="s">
        <v>892</v>
      </c>
      <c r="E29" s="665" t="s">
        <v>893</v>
      </c>
      <c r="F29" s="665" t="s">
        <v>894</v>
      </c>
      <c r="G29" s="665" t="s">
        <v>889</v>
      </c>
      <c r="H29" s="665" t="s">
        <v>890</v>
      </c>
      <c r="I29" s="665" t="s">
        <v>893</v>
      </c>
      <c r="J29" s="816">
        <v>41640</v>
      </c>
      <c r="K29" s="816">
        <v>41786</v>
      </c>
      <c r="L29" s="665" t="s">
        <v>891</v>
      </c>
      <c r="M29" s="665">
        <v>509</v>
      </c>
      <c r="N29" s="665">
        <v>2290.5</v>
      </c>
      <c r="O29" s="665">
        <v>3272.1428571428573</v>
      </c>
      <c r="P29" s="665">
        <v>6544.2857142857147</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514.5</v>
      </c>
      <c r="N58" s="623">
        <f>SUM(N28:N57)</f>
        <v>2315.25</v>
      </c>
      <c r="O58" s="623">
        <f t="shared" ref="O58:W58" si="2">SUM(O28:O57)</f>
        <v>3307.5</v>
      </c>
      <c r="P58" s="623">
        <f t="shared" si="2"/>
        <v>6615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514.5</v>
      </c>
      <c r="N60" s="623">
        <f ca="1">SUMIF($Z$28:AD57,"tertiair",N28:N57)</f>
        <v>2315.25</v>
      </c>
      <c r="O60" s="623">
        <f ca="1">SUMIF($Z$28:AE57,"tertiair",O28:O57)</f>
        <v>3307.5</v>
      </c>
      <c r="P60" s="623">
        <f ca="1">SUMIF($Z$28:AF57,"tertiair",P28:P57)</f>
        <v>6615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2723.8235294117644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3891.1764705882356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27621.981891888598</v>
      </c>
      <c r="C4" s="478">
        <f>huishoudens!C8</f>
        <v>0</v>
      </c>
      <c r="D4" s="478">
        <f>huishoudens!D8</f>
        <v>60557.492801960012</v>
      </c>
      <c r="E4" s="478">
        <f>huishoudens!E8</f>
        <v>7475.3341312874018</v>
      </c>
      <c r="F4" s="478">
        <f>huishoudens!F8</f>
        <v>23191.416073309108</v>
      </c>
      <c r="G4" s="478">
        <f>huishoudens!G8</f>
        <v>0</v>
      </c>
      <c r="H4" s="478">
        <f>huishoudens!H8</f>
        <v>0</v>
      </c>
      <c r="I4" s="478">
        <f>huishoudens!I8</f>
        <v>0</v>
      </c>
      <c r="J4" s="478">
        <f>huishoudens!J8</f>
        <v>0</v>
      </c>
      <c r="K4" s="478">
        <f>huishoudens!K8</f>
        <v>0</v>
      </c>
      <c r="L4" s="478">
        <f>huishoudens!L8</f>
        <v>0</v>
      </c>
      <c r="M4" s="478">
        <f>huishoudens!M8</f>
        <v>0</v>
      </c>
      <c r="N4" s="478">
        <f>huishoudens!N8</f>
        <v>10584.272327685921</v>
      </c>
      <c r="O4" s="478">
        <f>huishoudens!O8</f>
        <v>404.72747675495452</v>
      </c>
      <c r="P4" s="479">
        <f>huishoudens!P8</f>
        <v>832.18278530711677</v>
      </c>
      <c r="Q4" s="480">
        <f>SUM(B4:P4)</f>
        <v>130667.4074881931</v>
      </c>
    </row>
    <row r="5" spans="1:17">
      <c r="A5" s="477" t="s">
        <v>155</v>
      </c>
      <c r="B5" s="478">
        <f ca="1">tertiair!B16</f>
        <v>21033.143124999999</v>
      </c>
      <c r="C5" s="478">
        <f ca="1">tertiair!C16</f>
        <v>3307.5</v>
      </c>
      <c r="D5" s="478">
        <f ca="1">tertiair!D16</f>
        <v>25052.721076244001</v>
      </c>
      <c r="E5" s="478">
        <f>tertiair!E16</f>
        <v>132.82642239152676</v>
      </c>
      <c r="F5" s="478">
        <f ca="1">tertiair!F16</f>
        <v>1910.9448626173626</v>
      </c>
      <c r="G5" s="478">
        <f>tertiair!G16</f>
        <v>0</v>
      </c>
      <c r="H5" s="478">
        <f>tertiair!H16</f>
        <v>0</v>
      </c>
      <c r="I5" s="478">
        <f>tertiair!I16</f>
        <v>0</v>
      </c>
      <c r="J5" s="478">
        <f>tertiair!J16</f>
        <v>3.8549937062683483E-2</v>
      </c>
      <c r="K5" s="478">
        <f>tertiair!K16</f>
        <v>0</v>
      </c>
      <c r="L5" s="478">
        <f ca="1">tertiair!L16</f>
        <v>0</v>
      </c>
      <c r="M5" s="478">
        <f>tertiair!M16</f>
        <v>0</v>
      </c>
      <c r="N5" s="478">
        <f ca="1">tertiair!N16</f>
        <v>1578.7852873268373</v>
      </c>
      <c r="O5" s="478">
        <f>tertiair!O16</f>
        <v>9.7945215316823084</v>
      </c>
      <c r="P5" s="479">
        <f>tertiair!P16</f>
        <v>210.15655322598008</v>
      </c>
      <c r="Q5" s="477">
        <f t="shared" ref="Q5:Q14" ca="1" si="0">SUM(B5:P5)</f>
        <v>53235.910398274435</v>
      </c>
    </row>
    <row r="6" spans="1:17">
      <c r="A6" s="477" t="s">
        <v>193</v>
      </c>
      <c r="B6" s="478">
        <f>'openbare verlichting'!B8</f>
        <v>1402.288</v>
      </c>
      <c r="C6" s="478"/>
      <c r="D6" s="478"/>
      <c r="E6" s="478"/>
      <c r="F6" s="478"/>
      <c r="G6" s="478"/>
      <c r="H6" s="478"/>
      <c r="I6" s="478"/>
      <c r="J6" s="478"/>
      <c r="K6" s="478"/>
      <c r="L6" s="478"/>
      <c r="M6" s="478"/>
      <c r="N6" s="478"/>
      <c r="O6" s="478"/>
      <c r="P6" s="479"/>
      <c r="Q6" s="477">
        <f t="shared" si="0"/>
        <v>1402.288</v>
      </c>
    </row>
    <row r="7" spans="1:17">
      <c r="A7" s="477" t="s">
        <v>111</v>
      </c>
      <c r="B7" s="478">
        <f>landbouw!B8</f>
        <v>96.060654000000014</v>
      </c>
      <c r="C7" s="478">
        <f>landbouw!C8</f>
        <v>0</v>
      </c>
      <c r="D7" s="478">
        <f>landbouw!D8</f>
        <v>44.379393102000002</v>
      </c>
      <c r="E7" s="478">
        <f>landbouw!E8</f>
        <v>2.9980213344442235</v>
      </c>
      <c r="F7" s="478">
        <f>landbouw!F8</f>
        <v>339.48899254819014</v>
      </c>
      <c r="G7" s="478">
        <f>landbouw!G8</f>
        <v>0</v>
      </c>
      <c r="H7" s="478">
        <f>landbouw!H8</f>
        <v>0</v>
      </c>
      <c r="I7" s="478">
        <f>landbouw!I8</f>
        <v>0</v>
      </c>
      <c r="J7" s="478">
        <f>landbouw!J8</f>
        <v>26.465376351797183</v>
      </c>
      <c r="K7" s="478">
        <f>landbouw!K8</f>
        <v>0</v>
      </c>
      <c r="L7" s="478">
        <f>landbouw!L8</f>
        <v>0</v>
      </c>
      <c r="M7" s="478">
        <f>landbouw!M8</f>
        <v>0</v>
      </c>
      <c r="N7" s="478">
        <f>landbouw!N8</f>
        <v>0</v>
      </c>
      <c r="O7" s="478">
        <f>landbouw!O8</f>
        <v>0</v>
      </c>
      <c r="P7" s="479">
        <f>landbouw!P8</f>
        <v>0</v>
      </c>
      <c r="Q7" s="477">
        <f t="shared" si="0"/>
        <v>509.39243733643161</v>
      </c>
    </row>
    <row r="8" spans="1:17">
      <c r="A8" s="477" t="s">
        <v>629</v>
      </c>
      <c r="B8" s="478">
        <f>industrie!B18</f>
        <v>2437.0833779999998</v>
      </c>
      <c r="C8" s="478">
        <f>industrie!C18</f>
        <v>0</v>
      </c>
      <c r="D8" s="478">
        <f>industrie!D18</f>
        <v>3022.270425702</v>
      </c>
      <c r="E8" s="478">
        <f>industrie!E18</f>
        <v>268.97294967931521</v>
      </c>
      <c r="F8" s="478">
        <f>industrie!F18</f>
        <v>875.86385759185293</v>
      </c>
      <c r="G8" s="478">
        <f>industrie!G18</f>
        <v>0</v>
      </c>
      <c r="H8" s="478">
        <f>industrie!H18</f>
        <v>0</v>
      </c>
      <c r="I8" s="478">
        <f>industrie!I18</f>
        <v>0</v>
      </c>
      <c r="J8" s="478">
        <f>industrie!J18</f>
        <v>5.4613424076416699</v>
      </c>
      <c r="K8" s="478">
        <f>industrie!K18</f>
        <v>0</v>
      </c>
      <c r="L8" s="478">
        <f>industrie!L18</f>
        <v>0</v>
      </c>
      <c r="M8" s="478">
        <f>industrie!M18</f>
        <v>0</v>
      </c>
      <c r="N8" s="478">
        <f>industrie!N18</f>
        <v>143.57828148872034</v>
      </c>
      <c r="O8" s="478">
        <f>industrie!O18</f>
        <v>0</v>
      </c>
      <c r="P8" s="479">
        <f>industrie!P18</f>
        <v>0</v>
      </c>
      <c r="Q8" s="477">
        <f t="shared" si="0"/>
        <v>6753.2302348695302</v>
      </c>
    </row>
    <row r="9" spans="1:17" s="483" customFormat="1">
      <c r="A9" s="481" t="s">
        <v>555</v>
      </c>
      <c r="B9" s="482">
        <f>transport!B14</f>
        <v>56.592582437499999</v>
      </c>
      <c r="C9" s="482">
        <f>transport!C14</f>
        <v>0</v>
      </c>
      <c r="D9" s="482">
        <f>transport!D14</f>
        <v>210.23199381954001</v>
      </c>
      <c r="E9" s="482">
        <f>transport!E14</f>
        <v>163.85122293843745</v>
      </c>
      <c r="F9" s="482">
        <f>transport!F14</f>
        <v>0</v>
      </c>
      <c r="G9" s="482">
        <f>transport!G14</f>
        <v>56633.997148790229</v>
      </c>
      <c r="H9" s="482">
        <f>transport!H14</f>
        <v>15720.827058214007</v>
      </c>
      <c r="I9" s="482">
        <f>transport!I14</f>
        <v>0</v>
      </c>
      <c r="J9" s="482">
        <f>transport!J14</f>
        <v>0</v>
      </c>
      <c r="K9" s="482">
        <f>transport!K14</f>
        <v>0</v>
      </c>
      <c r="L9" s="482">
        <f>transport!L14</f>
        <v>0</v>
      </c>
      <c r="M9" s="482">
        <f>transport!M14</f>
        <v>4298.9530129627592</v>
      </c>
      <c r="N9" s="482">
        <f>transport!N14</f>
        <v>0</v>
      </c>
      <c r="O9" s="482">
        <f>transport!O14</f>
        <v>0</v>
      </c>
      <c r="P9" s="482">
        <f>transport!P14</f>
        <v>0</v>
      </c>
      <c r="Q9" s="481">
        <f>SUM(B9:P9)</f>
        <v>77084.453019162465</v>
      </c>
    </row>
    <row r="10" spans="1:17">
      <c r="A10" s="477" t="s">
        <v>545</v>
      </c>
      <c r="B10" s="478">
        <f>transport!B54</f>
        <v>0</v>
      </c>
      <c r="C10" s="478">
        <f>transport!C54</f>
        <v>0</v>
      </c>
      <c r="D10" s="478">
        <f>transport!D54</f>
        <v>0</v>
      </c>
      <c r="E10" s="478">
        <f>transport!E54</f>
        <v>0</v>
      </c>
      <c r="F10" s="478">
        <f>transport!F54</f>
        <v>0</v>
      </c>
      <c r="G10" s="478">
        <f>transport!G54</f>
        <v>1550.9884072371399</v>
      </c>
      <c r="H10" s="478">
        <f>transport!H54</f>
        <v>0</v>
      </c>
      <c r="I10" s="478">
        <f>transport!I54</f>
        <v>0</v>
      </c>
      <c r="J10" s="478">
        <f>transport!J54</f>
        <v>0</v>
      </c>
      <c r="K10" s="478">
        <f>transport!K54</f>
        <v>0</v>
      </c>
      <c r="L10" s="478">
        <f>transport!L54</f>
        <v>0</v>
      </c>
      <c r="M10" s="478">
        <f>transport!M54</f>
        <v>86.204107281680237</v>
      </c>
      <c r="N10" s="478">
        <f>transport!N54</f>
        <v>0</v>
      </c>
      <c r="O10" s="478">
        <f>transport!O54</f>
        <v>0</v>
      </c>
      <c r="P10" s="479">
        <f>transport!P54</f>
        <v>0</v>
      </c>
      <c r="Q10" s="477">
        <f t="shared" si="0"/>
        <v>1637.1925145188202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829.85757599999999</v>
      </c>
      <c r="C14" s="485"/>
      <c r="D14" s="485">
        <f>'SEAP template'!E25</f>
        <v>2004.790616</v>
      </c>
      <c r="E14" s="485"/>
      <c r="F14" s="485"/>
      <c r="G14" s="485"/>
      <c r="H14" s="485"/>
      <c r="I14" s="485"/>
      <c r="J14" s="485"/>
      <c r="K14" s="485"/>
      <c r="L14" s="485"/>
      <c r="M14" s="485"/>
      <c r="N14" s="485"/>
      <c r="O14" s="485"/>
      <c r="P14" s="486"/>
      <c r="Q14" s="477">
        <f t="shared" si="0"/>
        <v>2834.6481920000001</v>
      </c>
    </row>
    <row r="15" spans="1:17" s="489" customFormat="1">
      <c r="A15" s="487" t="s">
        <v>549</v>
      </c>
      <c r="B15" s="488">
        <f ca="1">SUM(B4:B14)</f>
        <v>53477.007207326104</v>
      </c>
      <c r="C15" s="488">
        <f t="shared" ref="C15:Q15" ca="1" si="1">SUM(C4:C14)</f>
        <v>3307.5</v>
      </c>
      <c r="D15" s="488">
        <f t="shared" ca="1" si="1"/>
        <v>90891.886306827553</v>
      </c>
      <c r="E15" s="488">
        <f t="shared" si="1"/>
        <v>8043.9827476311257</v>
      </c>
      <c r="F15" s="488">
        <f t="shared" ca="1" si="1"/>
        <v>26317.713786066513</v>
      </c>
      <c r="G15" s="488">
        <f t="shared" si="1"/>
        <v>58184.985556027372</v>
      </c>
      <c r="H15" s="488">
        <f t="shared" si="1"/>
        <v>15720.827058214007</v>
      </c>
      <c r="I15" s="488">
        <f t="shared" si="1"/>
        <v>0</v>
      </c>
      <c r="J15" s="488">
        <f t="shared" si="1"/>
        <v>31.965268696501536</v>
      </c>
      <c r="K15" s="488">
        <f t="shared" si="1"/>
        <v>0</v>
      </c>
      <c r="L15" s="488">
        <f t="shared" ca="1" si="1"/>
        <v>0</v>
      </c>
      <c r="M15" s="488">
        <f t="shared" si="1"/>
        <v>4385.1571202444393</v>
      </c>
      <c r="N15" s="488">
        <f t="shared" ca="1" si="1"/>
        <v>12306.635896501479</v>
      </c>
      <c r="O15" s="488">
        <f t="shared" si="1"/>
        <v>414.52199828663686</v>
      </c>
      <c r="P15" s="488">
        <f t="shared" si="1"/>
        <v>1042.3393385330969</v>
      </c>
      <c r="Q15" s="488">
        <f t="shared" ca="1" si="1"/>
        <v>274124.52228435472</v>
      </c>
    </row>
    <row r="17" spans="1:17">
      <c r="A17" s="490" t="s">
        <v>550</v>
      </c>
      <c r="B17" s="807">
        <f ca="1">huishoudens!B10</f>
        <v>0.20738458088536685</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5728.3731378725097</v>
      </c>
      <c r="C22" s="478">
        <f t="shared" ref="C22:C32" ca="1" si="3">C4*$C$17</f>
        <v>0</v>
      </c>
      <c r="D22" s="478">
        <f t="shared" ref="D22:D32" si="4">D4*$D$17</f>
        <v>12232.613545995922</v>
      </c>
      <c r="E22" s="478">
        <f t="shared" ref="E22:E32" si="5">E4*$E$17</f>
        <v>1696.9008478022402</v>
      </c>
      <c r="F22" s="478">
        <f t="shared" ref="F22:F32" si="6">F4*$F$17</f>
        <v>6192.108091573532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25849.995623244205</v>
      </c>
    </row>
    <row r="23" spans="1:17">
      <c r="A23" s="477" t="s">
        <v>155</v>
      </c>
      <c r="B23" s="478">
        <f t="shared" ca="1" si="2"/>
        <v>4361.9495716800602</v>
      </c>
      <c r="C23" s="478">
        <f t="shared" ca="1" si="3"/>
        <v>786.01764705882363</v>
      </c>
      <c r="D23" s="478">
        <f t="shared" ca="1" si="4"/>
        <v>5060.6496574012881</v>
      </c>
      <c r="E23" s="478">
        <f t="shared" si="5"/>
        <v>30.151597882876576</v>
      </c>
      <c r="F23" s="478">
        <f t="shared" ca="1" si="6"/>
        <v>510.22227831883583</v>
      </c>
      <c r="G23" s="478">
        <f t="shared" si="7"/>
        <v>0</v>
      </c>
      <c r="H23" s="478">
        <f t="shared" si="8"/>
        <v>0</v>
      </c>
      <c r="I23" s="478">
        <f t="shared" si="9"/>
        <v>0</v>
      </c>
      <c r="J23" s="478">
        <f t="shared" si="10"/>
        <v>1.3646677720189952E-2</v>
      </c>
      <c r="K23" s="478">
        <f t="shared" si="11"/>
        <v>0</v>
      </c>
      <c r="L23" s="478">
        <f t="shared" ca="1" si="12"/>
        <v>0</v>
      </c>
      <c r="M23" s="478">
        <f t="shared" si="13"/>
        <v>0</v>
      </c>
      <c r="N23" s="478">
        <f t="shared" ca="1" si="14"/>
        <v>0</v>
      </c>
      <c r="O23" s="478">
        <f t="shared" si="15"/>
        <v>0</v>
      </c>
      <c r="P23" s="479">
        <f t="shared" si="16"/>
        <v>0</v>
      </c>
      <c r="Q23" s="477">
        <f t="shared" ref="Q23:Q31" ca="1" si="17">SUM(B23:P23)</f>
        <v>10749.004399019605</v>
      </c>
    </row>
    <row r="24" spans="1:17">
      <c r="A24" s="477" t="s">
        <v>193</v>
      </c>
      <c r="B24" s="478">
        <f t="shared" ca="1" si="2"/>
        <v>290.8129091605793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290.8129091605793</v>
      </c>
    </row>
    <row r="25" spans="1:17">
      <c r="A25" s="477" t="s">
        <v>111</v>
      </c>
      <c r="B25" s="478">
        <f t="shared" ca="1" si="2"/>
        <v>19.921498469364241</v>
      </c>
      <c r="C25" s="478">
        <f t="shared" ca="1" si="3"/>
        <v>0</v>
      </c>
      <c r="D25" s="478">
        <f t="shared" si="4"/>
        <v>8.9646374066040018</v>
      </c>
      <c r="E25" s="478">
        <f t="shared" si="5"/>
        <v>0.68055084291883872</v>
      </c>
      <c r="F25" s="478">
        <f t="shared" si="6"/>
        <v>90.643561010366767</v>
      </c>
      <c r="G25" s="478">
        <f t="shared" si="7"/>
        <v>0</v>
      </c>
      <c r="H25" s="478">
        <f t="shared" si="8"/>
        <v>0</v>
      </c>
      <c r="I25" s="478">
        <f t="shared" si="9"/>
        <v>0</v>
      </c>
      <c r="J25" s="478">
        <f t="shared" si="10"/>
        <v>9.3687432285362018</v>
      </c>
      <c r="K25" s="478">
        <f t="shared" si="11"/>
        <v>0</v>
      </c>
      <c r="L25" s="478">
        <f t="shared" si="12"/>
        <v>0</v>
      </c>
      <c r="M25" s="478">
        <f t="shared" si="13"/>
        <v>0</v>
      </c>
      <c r="N25" s="478">
        <f t="shared" si="14"/>
        <v>0</v>
      </c>
      <c r="O25" s="478">
        <f t="shared" si="15"/>
        <v>0</v>
      </c>
      <c r="P25" s="479">
        <f t="shared" si="16"/>
        <v>0</v>
      </c>
      <c r="Q25" s="477">
        <f t="shared" ca="1" si="17"/>
        <v>129.57899095779004</v>
      </c>
    </row>
    <row r="26" spans="1:17">
      <c r="A26" s="477" t="s">
        <v>629</v>
      </c>
      <c r="B26" s="478">
        <f t="shared" ca="1" si="2"/>
        <v>505.41351492922405</v>
      </c>
      <c r="C26" s="478">
        <f t="shared" ca="1" si="3"/>
        <v>0</v>
      </c>
      <c r="D26" s="478">
        <f t="shared" si="4"/>
        <v>610.49862599180403</v>
      </c>
      <c r="E26" s="478">
        <f t="shared" si="5"/>
        <v>61.056859577204555</v>
      </c>
      <c r="F26" s="478">
        <f t="shared" si="6"/>
        <v>233.85564997702474</v>
      </c>
      <c r="G26" s="478">
        <f t="shared" si="7"/>
        <v>0</v>
      </c>
      <c r="H26" s="478">
        <f t="shared" si="8"/>
        <v>0</v>
      </c>
      <c r="I26" s="478">
        <f t="shared" si="9"/>
        <v>0</v>
      </c>
      <c r="J26" s="478">
        <f t="shared" si="10"/>
        <v>1.9333152123051511</v>
      </c>
      <c r="K26" s="478">
        <f t="shared" si="11"/>
        <v>0</v>
      </c>
      <c r="L26" s="478">
        <f t="shared" si="12"/>
        <v>0</v>
      </c>
      <c r="M26" s="478">
        <f t="shared" si="13"/>
        <v>0</v>
      </c>
      <c r="N26" s="478">
        <f t="shared" si="14"/>
        <v>0</v>
      </c>
      <c r="O26" s="478">
        <f t="shared" si="15"/>
        <v>0</v>
      </c>
      <c r="P26" s="479">
        <f t="shared" si="16"/>
        <v>0</v>
      </c>
      <c r="Q26" s="477">
        <f t="shared" ca="1" si="17"/>
        <v>1412.7579656875625</v>
      </c>
    </row>
    <row r="27" spans="1:17" s="483" customFormat="1">
      <c r="A27" s="481" t="s">
        <v>555</v>
      </c>
      <c r="B27" s="801">
        <f t="shared" ca="1" si="2"/>
        <v>11.73642899002151</v>
      </c>
      <c r="C27" s="482">
        <f t="shared" ca="1" si="3"/>
        <v>0</v>
      </c>
      <c r="D27" s="482">
        <f t="shared" si="4"/>
        <v>42.466862751547083</v>
      </c>
      <c r="E27" s="482">
        <f t="shared" si="5"/>
        <v>37.194227607025304</v>
      </c>
      <c r="F27" s="482">
        <f t="shared" si="6"/>
        <v>0</v>
      </c>
      <c r="G27" s="482">
        <f t="shared" si="7"/>
        <v>15121.277238726992</v>
      </c>
      <c r="H27" s="482">
        <f t="shared" si="8"/>
        <v>3914.4859374952875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19127.160695570874</v>
      </c>
    </row>
    <row r="28" spans="1:17" ht="16.5" customHeight="1">
      <c r="A28" s="477" t="s">
        <v>545</v>
      </c>
      <c r="B28" s="478">
        <f t="shared" ca="1" si="2"/>
        <v>0</v>
      </c>
      <c r="C28" s="478">
        <f t="shared" ca="1" si="3"/>
        <v>0</v>
      </c>
      <c r="D28" s="478">
        <f t="shared" si="4"/>
        <v>0</v>
      </c>
      <c r="E28" s="478">
        <f t="shared" si="5"/>
        <v>0</v>
      </c>
      <c r="F28" s="478">
        <f t="shared" si="6"/>
        <v>0</v>
      </c>
      <c r="G28" s="478">
        <f t="shared" si="7"/>
        <v>414.11390473231637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414.11390473231637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172.09966559330647</v>
      </c>
      <c r="C32" s="478">
        <f t="shared" ca="1" si="3"/>
        <v>0</v>
      </c>
      <c r="D32" s="478">
        <f t="shared" si="4"/>
        <v>404.967704432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577.06737002530645</v>
      </c>
    </row>
    <row r="33" spans="1:17" s="489" customFormat="1">
      <c r="A33" s="487" t="s">
        <v>549</v>
      </c>
      <c r="B33" s="488">
        <f ca="1">SUM(B22:B32)</f>
        <v>11090.306726695064</v>
      </c>
      <c r="C33" s="488">
        <f t="shared" ref="C33:Q33" ca="1" si="19">SUM(C22:C32)</f>
        <v>786.01764705882363</v>
      </c>
      <c r="D33" s="488">
        <f t="shared" ca="1" si="19"/>
        <v>18360.161033979166</v>
      </c>
      <c r="E33" s="488">
        <f t="shared" si="19"/>
        <v>1825.9840837122654</v>
      </c>
      <c r="F33" s="488">
        <f t="shared" ca="1" si="19"/>
        <v>7026.8295808797602</v>
      </c>
      <c r="G33" s="488">
        <f t="shared" si="19"/>
        <v>15535.391143459308</v>
      </c>
      <c r="H33" s="488">
        <f t="shared" si="19"/>
        <v>3914.4859374952875</v>
      </c>
      <c r="I33" s="488">
        <f t="shared" si="19"/>
        <v>0</v>
      </c>
      <c r="J33" s="488">
        <f t="shared" si="19"/>
        <v>11.315705118561544</v>
      </c>
      <c r="K33" s="488">
        <f t="shared" si="19"/>
        <v>0</v>
      </c>
      <c r="L33" s="488">
        <f t="shared" ca="1" si="19"/>
        <v>0</v>
      </c>
      <c r="M33" s="488">
        <f t="shared" si="19"/>
        <v>0</v>
      </c>
      <c r="N33" s="488">
        <f t="shared" ca="1" si="19"/>
        <v>0</v>
      </c>
      <c r="O33" s="488">
        <f t="shared" si="19"/>
        <v>0</v>
      </c>
      <c r="P33" s="488">
        <f t="shared" si="19"/>
        <v>0</v>
      </c>
      <c r="Q33" s="488">
        <f t="shared" ca="1" si="19"/>
        <v>58550.491858398236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3469.0224844578233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2315.25</v>
      </c>
      <c r="D8" s="1062">
        <f>'SEAP template'!D76</f>
        <v>2723.8235294117644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550.21235294117639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3469.0224844578233</v>
      </c>
      <c r="C10" s="1064">
        <f>SUM(C4:C9)</f>
        <v>2315.25</v>
      </c>
      <c r="D10" s="1064">
        <f t="shared" ref="D10:H10" si="0">SUM(D8:D9)</f>
        <v>2723.8235294117644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550.21235294117639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0.20738458088536685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3307.5</v>
      </c>
      <c r="D17" s="1063">
        <f>'SEAP template'!D87</f>
        <v>3891.1764705882356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786.01764705882363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3307.5</v>
      </c>
      <c r="D20" s="1064">
        <f t="shared" ref="D20:H20" si="2">SUM(D17:D19)</f>
        <v>3891.1764705882356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786.01764705882363</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0.20738458088536685</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2019-08-12T08:37:58Z</dcterms:modified>
</cp:coreProperties>
</file>