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D16" i="16"/>
  <c r="J15"/>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E78" i="14" l="1"/>
  <c r="E9" i="59"/>
  <c r="E10" s="1"/>
  <c r="O78" i="14"/>
  <c r="O9" i="59"/>
  <c r="O10" s="1"/>
  <c r="H90" i="14"/>
  <c r="H18" i="59"/>
  <c r="H20" s="1"/>
  <c r="H78" i="14"/>
  <c r="H9" i="59"/>
  <c r="H10" s="1"/>
  <c r="N78" i="14"/>
  <c r="N9" i="59"/>
  <c r="N10" s="1"/>
  <c r="I15" i="48"/>
  <c r="J7"/>
  <c r="J25" s="1"/>
  <c r="K33"/>
  <c r="M24"/>
  <c r="M32"/>
  <c r="G78" i="14"/>
  <c r="G9" i="59"/>
  <c r="G10" s="1"/>
  <c r="K15" i="48"/>
  <c r="I33"/>
  <c r="J16" i="14"/>
  <c r="J27" s="1"/>
  <c r="I20" i="15"/>
  <c r="J40" i="14" s="1"/>
  <c r="J46" s="1"/>
  <c r="J61"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E16" i="14"/>
  <c r="E27" s="1"/>
  <c r="I90"/>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2" i="59" s="1"/>
  <c r="Q5" i="48"/>
  <c r="G33"/>
  <c r="Q9"/>
  <c r="H15"/>
  <c r="F22" i="16"/>
  <c r="G43" i="14" s="1"/>
  <c r="F8" i="48"/>
  <c r="F15" s="1"/>
  <c r="O13" i="14"/>
  <c r="O16" s="1"/>
  <c r="O27" s="1"/>
  <c r="C17" i="19"/>
  <c r="C19" s="1"/>
  <c r="D39" i="14" s="1"/>
  <c r="C16" i="22"/>
  <c r="C56"/>
  <c r="C58" s="1"/>
  <c r="D49" i="14" s="1"/>
  <c r="D52" s="1"/>
  <c r="C20" i="16"/>
  <c r="C22" s="1"/>
  <c r="D43" i="14" s="1"/>
  <c r="C10" i="17"/>
  <c r="C12" s="1"/>
  <c r="D54" i="14" s="1"/>
  <c r="D56"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<sst xmlns="http://schemas.openxmlformats.org/spreadsheetml/2006/main" count="2456" uniqueCount="913">
  <si>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</si>
  <si>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</si>
  <si>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</si>
  <si>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</si>
  <si>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</si>
  <si>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</si>
  <si>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</si>
  <si>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</si>
  <si>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</si>
  <si>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</si>
  <si>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</si>
  <si>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</si>
  <si>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</si>
  <si>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</si>
  <si>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</si>
  <si>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</si>
  <si>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</si>
  <si>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</si>
  <si>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</si>
  <si>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</si>
  <si>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</si>
  <si>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</si>
  <si>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</si>
  <si>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</si>
  <si>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</si>
  <si>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</si>
  <si>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</si>
  <si>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</si>
  <si>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</si>
  <si>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</si>
  <si>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</si>
  <si>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</si>
  <si>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</si>
  <si>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</si>
  <si>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</si>
  <si>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</si>
  <si>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</si>
  <si>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</si>
  <si>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</si>
  <si>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</si>
  <si>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</si>
  <si>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</si>
  <si>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</si>
  <si>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</si>
  <si>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</si>
  <si>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</si>
  <si>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</si>
  <si>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</si>
  <si>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</si>
  <si>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</si>
  <si>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</si>
  <si>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</si>
  <si>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</si>
  <si>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</si>
  <si>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</si>
  <si>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</si>
  <si>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</si>
  <si>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</si>
  <si>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</si>
  <si>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</si>
  <si>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</si>
  <si>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</si>
  <si>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</si>
  <si>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</si>
  <si>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</si>
  <si>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</si>
  <si>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</si>
  <si>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</si>
  <si>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</si>
  <si>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</si>
  <si>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</si>
  <si>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</si>
  <si>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</si>
  <si>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</si>
  <si>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</si>
  <si>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</si>
  <si>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</si>
  <si>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</si>
  <si>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</si>
  <si>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</si>
  <si>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</si>
  <si>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</si>
  <si>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</si>
  <si>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</si>
  <si>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</si>
  <si>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</si>
  <si>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</si>
  <si>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</si>
  <si>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</si>
  <si>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</si>
  <si>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</si>
  <si>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</si>
  <si>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</si>
  <si>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</si>
  <si>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</si>
  <si>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</si>
  <si>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</si>
  <si>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</si>
  <si>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</si>
  <si>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</si>
  <si>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</si>
  <si>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</si>
  <si>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</si>
  <si>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</si>
  <si>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</si>
  <si>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</si>
  <si>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</si>
  <si>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</si>
  <si>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</si>
  <si>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</si>
  <si>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</si>
  <si>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</si>
  <si>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</si>
  <si>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</si>
  <si>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</si>
  <si>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</si>
  <si>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</si>
  <si>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</si>
  <si>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</si>
  <si>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</si>
  <si>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</si>
  <si>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</si>
  <si>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</si>
  <si>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</si>
  <si>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</si>
  <si>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</si>
  <si>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</si>
  <si>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</si>
  <si>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</si>
  <si>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</si>
  <si>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</si>
  <si>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</si>
  <si>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</si>
  <si>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</si>
  <si>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</si>
  <si>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</si>
  <si>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</si>
  <si>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</si>
  <si>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</si>
  <si>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</si>
  <si>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</si>
  <si>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</si>
  <si>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</si>
  <si>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</si>
  <si>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</si>
  <si>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</si>
  <si>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</si>
  <si>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</si>
  <si>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</si>
  <si>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</si>
  <si>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</si>
  <si>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</si>
  <si>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</si>
  <si>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</si>
  <si>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</si>
  <si>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</si>
  <si>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</si>
  <si>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</si>
  <si>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</si>
  <si>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</si>
  <si>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</si>
  <si>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</si>
  <si>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</si>
  <si>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</si>
  <si>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</si>
  <si>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</si>
  <si>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</si>
  <si>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</si>
  <si>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</si>
  <si>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</si>
  <si>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</si>
  <si>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</si>
  <si>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</si>
  <si>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</si>
  <si>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</si>
  <si>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</si>
  <si>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</si>
  <si>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</si>
  <si>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</si>
  <si>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</si>
  <si>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</si>
  <si>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</si>
  <si>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</si>
  <si>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</si>
  <si>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</si>
  <si>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</si>
  <si>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</si>
  <si>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</si>
  <si>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</si>
  <si>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</si>
  <si>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</si>
  <si>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</si>
  <si>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</si>
  <si>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</si>
  <si>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</si>
  <si>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</si>
  <si>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</si>
  <si>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</si>
  <si>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</si>
  <si>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</si>
  <si>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</si>
  <si>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</si>
  <si>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</si>
  <si>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</si>
  <si>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</si>
  <si>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</si>
  <si>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</si>
  <si>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</si>
  <si>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</si>
  <si>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</si>
  <si>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</si>
  <si>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</si>
  <si>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</si>
  <si>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</si>
  <si>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</si>
  <si>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</si>
  <si>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</si>
  <si>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</si>
  <si>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</si>
  <si>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</si>
  <si>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</si>
  <si>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</si>
  <si>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</si>
  <si>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</si>
  <si>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</si>
  <si>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</si>
  <si>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</si>
  <si>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</si>
  <si>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</si>
  <si>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</si>
  <si>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</si>
  <si>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</si>
  <si>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</si>
  <si>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</si>
  <si>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</si>
  <si>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</si>
  <si>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</si>
  <si>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</si>
  <si>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</si>
  <si>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</si>
  <si>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</si>
  <si>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</si>
  <si>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</si>
  <si>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</si>
  <si>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</si>
  <si>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</si>
  <si>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</si>
  <si>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</si>
  <si>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</si>
  <si>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</si>
  <si>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</si>
  <si>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</si>
  <si>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</si>
  <si>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</si>
  <si>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</si>
  <si>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</si>
  <si>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</si>
  <si>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</si>
  <si>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</si>
  <si>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</si>
  <si>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</si>
  <si>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</si>
  <si>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</si>
  <si>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</si>
  <si>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</si>
  <si>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</si>
  <si>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</si>
  <si>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</si>
  <si>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</si>
  <si>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</si>
  <si>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</si>
  <si>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</si>
  <si>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</si>
  <si>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</si>
  <si>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</si>
  <si>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</si>
  <si>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</si>
  <si>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</si>
  <si>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</si>
  <si>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</si>
  <si>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</si>
  <si>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</si>
  <si>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</si>
  <si>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</si>
  <si>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</si>
  <si>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</si>
  <si>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</si>
  <si>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</si>
  <si>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</si>
  <si>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</si>
  <si>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</si>
  <si>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</si>
  <si>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</si>
  <si>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</si>
  <si>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</si>
  <si>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</si>
  <si>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</si>
  <si>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</si>
  <si>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</si>
  <si>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</si>
  <si>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</si>
  <si>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</si>
  <si>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</si>
  <si>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</si>
  <si>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</si>
  <si>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</si>
  <si>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</si>
  <si>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</si>
  <si>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</si>
  <si>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</si>
  <si>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</si>
  <si>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</si>
  <si>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</si>
  <si>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</si>
  <si>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</si>
  <si>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</si>
  <si>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</si>
  <si>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</si>
  <si>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</si>
  <si>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</si>
  <si>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</si>
  <si>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</si>
  <si>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</si>
  <si>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</si>
  <si>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</si>
  <si>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</si>
  <si>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</si>
  <si>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</si>
  <si>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</si>
  <si>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</si>
  <si>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</si>
  <si>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</si>
  <si>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</si>
  <si>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</si>
  <si>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</si>
  <si>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</si>
  <si>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</si>
  <si>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</si>
  <si>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</si>
  <si>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</si>
  <si>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</si>
  <si>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</si>
  <si>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</si>
  <si>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</si>
  <si>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</si>
  <si>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</si>
  <si>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</si>
  <si>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</si>
  <si>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</si>
  <si>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</si>
  <si>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</si>
  <si>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</si>
  <si>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</si>
  <si>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</si>
  <si>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</si>
  <si>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</si>
  <si>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</si>
  <si>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</si>
  <si>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</si>
  <si>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</si>
  <si>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</si>
  <si>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</si>
  <si>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</si>
  <si>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</si>
  <si>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</si>
  <si>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</si>
  <si>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</si>
  <si>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</si>
  <si>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</si>
  <si>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</si>
  <si>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</si>
  <si>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</si>
  <si>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</si>
  <si>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</si>
  <si>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</si>
  <si>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</si>
  <si>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</si>
  <si>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</si>
  <si>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</si>
  <si>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</si>
  <si>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</si>
  <si>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</si>
  <si>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</si>
  <si>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</si>
  <si>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</si>
  <si>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</si>
  <si>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</si>
  <si>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</si>
  <si>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</si>
  <si>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</si>
  <si>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</si>
  <si>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</si>
  <si>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</si>
  <si>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</si>
  <si>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</si>
  <si>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</si>
  <si>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</si>
  <si>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</si>
  <si>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</si>
  <si>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</si>
  <si>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</si>
  <si>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</si>
  <si>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</si>
  <si>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</si>
  <si>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</si>
  <si>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</si>
  <si>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</si>
  <si>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</si>
  <si>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</si>
  <si>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</si>
  <si>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</si>
  <si>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</si>
  <si>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</si>
  <si>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</si>
  <si>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</si>
  <si>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</si>
  <si>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</si>
  <si>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</si>
  <si>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</si>
  <si>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</si>
  <si>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</si>
  <si>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</si>
  <si>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</si>
  <si>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</si>
  <si>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</si>
  <si>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</si>
  <si>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</si>
  <si>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</si>
  <si>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</si>
  <si>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</si>
  <si>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</si>
  <si>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</si>
  <si>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</si>
  <si>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</si>
  <si>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</si>
  <si>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</si>
  <si>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</si>
  <si>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</si>
  <si>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</si>
  <si>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</si>
  <si>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</si>
  <si>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</si>
  <si>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</si>
  <si>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</si>
  <si>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</si>
  <si>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</si>
  <si>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</si>
  <si>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</si>
  <si>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</si>
  <si>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</si>
  <si>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</si>
  <si>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</si>
  <si>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</si>
  <si>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</si>
  <si>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</si>
  <si>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</si>
  <si>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</si>
  <si>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</si>
  <si>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</si>
  <si>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</si>
  <si>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</si>
  <si>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</si>
  <si>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</si>
  <si>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</si>
  <si>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</si>
  <si>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</si>
  <si>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</si>
  <si>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</si>
  <si>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</si>
  <si>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</si>
  <si>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</si>
  <si>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</si>
  <si>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</si>
  <si>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</si>
  <si>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</si>
  <si>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</si>
  <si>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</si>
  <si>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</si>
  <si>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</si>
  <si>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</si>
  <si>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</si>
  <si>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</si>
  <si>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</si>
  <si>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</si>
  <si>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</si>
  <si>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</si>
  <si>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</si>
  <si>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</si>
  <si>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</si>
  <si>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</si>
  <si>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</si>
  <si>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</si>
  <si>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</si>
  <si>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</si>
  <si>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</si>
  <si>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</si>
  <si>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</si>
  <si>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</si>
  <si>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</si>
  <si>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</si>
  <si>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</si>
  <si>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</si>
  <si>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</si>
  <si>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</si>
  <si>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</si>
  <si>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</si>
  <si>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</si>
  <si>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</si>
  <si>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</si>
  <si>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</si>
  <si>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</si>
  <si>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</si>
  <si>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</si>
  <si>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</si>
  <si>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</si>
  <si>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</si>
  <si>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</si>
  <si>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</si>
  <si>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</si>
  <si>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</si>
  <si>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</si>
  <si>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</si>
  <si>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</si>
  <si>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</si>
  <si>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</si>
  <si>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</si>
  <si>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</si>
  <si>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</si>
  <si>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</si>
  <si>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</si>
  <si>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</si>
  <si>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</si>
  <si>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</si>
  <si>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</si>
  <si>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</si>
  <si>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</si>
  <si>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</si>
  <si>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</si>
  <si>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</si>
  <si>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</si>
  <si>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</si>
  <si>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</si>
  <si>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</si>
  <si>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</si>
  <si>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</si>
  <si>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</si>
  <si>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</si>
  <si>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</si>
  <si>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</si>
  <si>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</si>
  <si>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</si>
  <si>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</si>
  <si>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</si>
  <si>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</si>
  <si>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</si>
  <si>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</si>
  <si>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</si>
  <si>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</si>
  <si>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</si>
  <si>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</si>
  <si>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</si>
  <si>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</si>
  <si>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</si>
  <si>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</si>
  <si>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</si>
  <si>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</si>
  <si>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</si>
  <si>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</si>
  <si>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</si>
  <si>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</si>
  <si>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</si>
  <si>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</si>
  <si>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</si>
  <si>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</si>
  <si>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</si>
  <si>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</si>
  <si>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</si>
  <si>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</si>
  <si>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</si>
  <si>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</si>
  <si>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</si>
  <si>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</si>
  <si>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</si>
  <si>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</si>
  <si>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</si>
  <si>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</si>
  <si>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</si>
  <si>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</si>
  <si>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</si>
  <si>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</si>
  <si>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</si>
  <si>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</si>
  <si>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</si>
  <si>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</si>
  <si>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</si>
  <si>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</si>
  <si>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</si>
  <si>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</si>
  <si>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</si>
  <si>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</si>
  <si>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</si>
  <si>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</si>
  <si>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</si>
  <si>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</si>
  <si>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</si>
  <si>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</si>
  <si>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</si>
  <si>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</si>
  <si>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</si>
  <si>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</si>
  <si>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</si>
  <si>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</si>
  <si>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</si>
  <si>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</si>
  <si>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</si>
  <si>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</si>
  <si>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</si>
  <si>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</si>
  <si>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</si>
  <si>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</si>
  <si>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</si>
  <si>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</si>
  <si>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</si>
  <si>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</si>
  <si>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</si>
  <si>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</si>
  <si>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</si>
  <si>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</si>
  <si>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</si>
  <si>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</si>
  <si>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</si>
  <si>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</si>
  <si>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</si>
  <si>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</si>
  <si>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</si>
  <si>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</si>
  <si>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</si>
  <si>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</si>
  <si>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</si>
  <si>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</si>
  <si>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</si>
  <si>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</si>
  <si>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</si>
  <si>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</si>
  <si>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</si>
  <si>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</si>
  <si>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</si>
  <si>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</si>
  <si>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</si>
  <si>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</si>
  <si>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</si>
  <si>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</si>
  <si>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</si>
  <si>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</si>
  <si>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</si>
  <si>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</si>
  <si>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</si>
  <si>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</si>
  <si>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</si>
  <si>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</si>
  <si>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</si>
  <si>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</si>
  <si>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</si>
  <si>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</si>
  <si>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</si>
  <si>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</si>
  <si>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</si>
  <si>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</si>
  <si>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</si>
  <si>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</si>
  <si>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</si>
  <si>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</si>
  <si>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</si>
  <si>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</si>
  <si>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</si>
  <si>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</si>
  <si>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</si>
  <si>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</si>
  <si>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</si>
  <si>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</si>
  <si>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</si>
  <si>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</si>
  <si>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</si>
  <si>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</si>
  <si>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</si>
  <si>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</si>
  <si>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</si>
  <si>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</si>
  <si>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</si>
  <si>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</si>
  <si>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</si>
  <si>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</si>
  <si>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</si>
  <si>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</si>
  <si>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</si>
  <si>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</si>
  <si>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</si>
  <si>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</si>
  <si>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</si>
  <si>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</si>
  <si>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</si>
  <si>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</si>
  <si>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</si>
  <si>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</si>
  <si>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</si>
  <si>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</si>
  <si>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</si>
  <si>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</si>
  <si>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</si>
  <si>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</si>
  <si>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</si>
  <si>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</si>
  <si>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</si>
  <si>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</si>
  <si>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</si>
  <si>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</si>
  <si>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</si>
  <si>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</si>
  <si>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</si>
  <si>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</si>
  <si>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</si>
  <si>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</si>
  <si>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</si>
  <si>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</si>
  <si>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</si>
  <si>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</si>
  <si>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</si>
  <si>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</si>
  <si>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</si>
  <si>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</si>
  <si>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</si>
  <si>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</si>
  <si>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</si>
  <si>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</si>
  <si>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</si>
  <si>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</si>
  <si>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</si>
  <si>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</si>
  <si>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</si>
  <si>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</si>
  <si>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</si>
  <si>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</si>
  <si>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</si>
  <si>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</si>
  <si>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</si>
  <si>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</si>
  <si>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</si>
  <si>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</si>
  <si>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</si>
  <si>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</si>
  <si>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</si>
  <si>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</si>
  <si>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</si>
  <si>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</si>
  <si>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</si>
  <si>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</si>
  <si>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</si>
  <si>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</si>
  <si>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</si>
  <si>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</si>
  <si>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</si>
  <si>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</si>
  <si>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</si>
  <si>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</si>
  <si>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</si>
  <si>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</si>
  <si>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</si>
  <si>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</si>
  <si>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</si>
  <si>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</si>
  <si>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</si>
  <si>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</si>
  <si>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</si>
  <si>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</si>
  <si>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</si>
  <si>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</si>
  <si>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</si>
  <si>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</si>
  <si>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</si>
  <si>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</si>
  <si>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</si>
  <si>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</si>
  <si>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</si>
  <si>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</si>
  <si>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</si>
  <si>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</si>
  <si>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</si>
  <si>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</si>
  <si>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</si>
  <si>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</si>
  <si>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</si>
  <si>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</si>
  <si>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</si>
  <si>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</si>
  <si>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</si>
  <si>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</si>
  <si>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</si>
  <si>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</si>
  <si>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</si>
  <si>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</si>
  <si>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</si>
  <si>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</si>
  <si>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</si>
  <si>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</si>
  <si>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</si>
  <si>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</si>
  <si>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</si>
  <si>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</si>
  <si>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</si>
  <si>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</si>
  <si>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</si>
  <si>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</si>
  <si>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</si>
  <si>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</si>
  <si>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</si>
  <si>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</si>
  <si>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</si>
  <si>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</si>
  <si>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</si>
  <si>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</si>
  <si>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</si>
  <si>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</si>
  <si>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</si>
  <si>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</si>
  <si>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</si>
  <si>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</si>
  <si>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</si>
  <si>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</si>
  <si>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</si>
  <si>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</si>
  <si>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</si>
  <si>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</si>
  <si>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</si>
  <si>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</si>
  <si>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</si>
  <si>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</si>
  <si>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</si>
  <si>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</si>
  <si>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</si>
  <si>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</si>
  <si>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</si>
  <si>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</si>
  <si>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</si>
  <si>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</si>
  <si>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</si>
  <si>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</si>
  <si>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</si>
  <si>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</si>
  <si>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</si>
  <si>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</si>
  <si>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</si>
  <si>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</si>
  <si>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</si>
  <si>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</si>
  <si>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</si>
  <si>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</si>
  <si>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</si>
  <si>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</si>
  <si>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</si>
  <si>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</si>
  <si>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</si>
  <si>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</si>
  <si>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</si>
  <si>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</si>
  <si>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</si>
  <si>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</si>
  <si>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</si>
  <si>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</si>
  <si>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</si>
  <si>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</si>
  <si>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</si>
  <si>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</si>
  <si>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</si>
  <si>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</si>
  <si>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</si>
  <si>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</si>
  <si>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</si>
  <si>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</si>
  <si>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11053</t>
  </si>
  <si>
    <t>WUUSTWEZEL</t>
  </si>
  <si>
    <t>Mestbank (maart 2019)</t>
  </si>
  <si>
    <t>Fluvius (februari 2019)</t>
  </si>
  <si>
    <t>referentietaak LNE (2017); Jaarverslag De Lijn (2018)</t>
  </si>
  <si>
    <t>VEA (30 april 2019)</t>
  </si>
  <si>
    <t>VEA (mei 2018)</t>
  </si>
  <si>
    <t>VEA (mei 2019)</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</si>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</sst>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165926.68322695073</c:v>
                </c:pt>
                <c:pt idx="1">
                  <c:v>35455.374710483557</c:v>
                </c:pt>
                <c:pt idx="2">
                  <c:v>1094.309</c:v>
                </c:pt>
                <c:pt idx="3">
                  <c:v>150744.71401436071</c:v>
                </c:pt>
                <c:pt idx="4">
                  <c:v>12839.462418017569</c:v>
                </c:pt>
                <c:pt idx="5">
                  <c:v>206594.8322856607</c:v>
                </c:pt>
                <c:pt idx="6">
                  <c:v>1896.1006922110935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760"/>
        <c:axId val="181959296"/>
      </c:barChart>
      <c:catAx>
        <c:axId val="181957760"/>
        <c:scaling>
          <c:orientation val="minMax"/>
        </c:scaling>
        <c:axPos val="b"/>
        <c:numFmt formatCode="General" sourceLinked="0"/>
        <c:tickLblPos val="nextTo"/>
        <c:crossAx val="181959296"/>
        <c:crosses val="autoZero"/>
        <c:auto val="1"/>
        <c:lblAlgn val="ctr"/>
        <c:lblOffset val="100"/>
      </c:catAx>
      <c:valAx>
        <c:axId val="181959296"/>
        <c:scaling>
          <c:orientation val="minMax"/>
        </c:scaling>
        <c:axPos val="l"/>
        <c:majorGridlines/>
        <c:numFmt formatCode="#,##0" sourceLinked="1"/>
        <c:tickLblPos val="nextTo"/>
        <c:crossAx val="181957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165926.68322695073</c:v>
                </c:pt>
                <c:pt idx="1">
                  <c:v>35455.374710483557</c:v>
                </c:pt>
                <c:pt idx="2">
                  <c:v>1094.309</c:v>
                </c:pt>
                <c:pt idx="3">
                  <c:v>150744.71401436071</c:v>
                </c:pt>
                <c:pt idx="4">
                  <c:v>12839.462418017569</c:v>
                </c:pt>
                <c:pt idx="5">
                  <c:v>206594.8322856607</c:v>
                </c:pt>
                <c:pt idx="6">
                  <c:v>1896.1006922110935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25448.93926142234</c:v>
                </c:pt>
                <c:pt idx="1">
                  <c:v>5813.9127389790983</c:v>
                </c:pt>
                <c:pt idx="2">
                  <c:v>136.83547661928887</c:v>
                </c:pt>
                <c:pt idx="3">
                  <c:v>36097.860806566088</c:v>
                </c:pt>
                <c:pt idx="4">
                  <c:v>2280.0030044315913</c:v>
                </c:pt>
                <c:pt idx="5">
                  <c:v>51546.262164041487</c:v>
                </c:pt>
                <c:pt idx="6">
                  <c:v>479.6025234991738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25448.93926142234</c:v>
                </c:pt>
                <c:pt idx="1">
                  <c:v>5813.9127389790983</c:v>
                </c:pt>
                <c:pt idx="2">
                  <c:v>136.83547661928887</c:v>
                </c:pt>
                <c:pt idx="3">
                  <c:v>36097.860806566088</c:v>
                </c:pt>
                <c:pt idx="4">
                  <c:v>2280.0030044315913</c:v>
                </c:pt>
                <c:pt idx="5">
                  <c:v>51546.262164041487</c:v>
                </c:pt>
                <c:pt idx="6">
                  <c:v>479.6025234991738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11053</v>
      </c>
      <c r="B6" s="415"/>
      <c r="C6" s="416"/>
    </row>
    <row r="7" spans="1:7" s="413" customFormat="1" ht="15.75" customHeight="1">
      <c r="A7" s="417" t="str">
        <f>txtMunicipality</f>
        <v>WUUSTWEZEL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0.12504281388464217</v>
      </c>
      <c r="C17" s="527">
        <f ca="1">'EF ele_warmte'!B22</f>
        <v>0.23711358076567554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0.12504281388464217</v>
      </c>
      <c r="C29" s="528">
        <f ca="1">'EF ele_warmte'!B22</f>
        <v>0.23711358076567554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8063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5850.02</v>
      </c>
    </row>
    <row r="15" spans="1:6">
      <c r="A15" s="348" t="s">
        <v>183</v>
      </c>
      <c r="B15" s="334">
        <v>4626</v>
      </c>
    </row>
    <row r="16" spans="1:6">
      <c r="A16" s="348" t="s">
        <v>6</v>
      </c>
      <c r="B16" s="334">
        <v>8136</v>
      </c>
    </row>
    <row r="17" spans="1:6">
      <c r="A17" s="348" t="s">
        <v>7</v>
      </c>
      <c r="B17" s="334">
        <v>754</v>
      </c>
    </row>
    <row r="18" spans="1:6">
      <c r="A18" s="348" t="s">
        <v>8</v>
      </c>
      <c r="B18" s="334">
        <v>4328</v>
      </c>
    </row>
    <row r="19" spans="1:6">
      <c r="A19" s="348" t="s">
        <v>9</v>
      </c>
      <c r="B19" s="334">
        <v>4157</v>
      </c>
    </row>
    <row r="20" spans="1:6">
      <c r="A20" s="348" t="s">
        <v>10</v>
      </c>
      <c r="B20" s="334">
        <v>2210</v>
      </c>
    </row>
    <row r="21" spans="1:6">
      <c r="A21" s="348" t="s">
        <v>11</v>
      </c>
      <c r="B21" s="334">
        <v>42612</v>
      </c>
    </row>
    <row r="22" spans="1:6">
      <c r="A22" s="348" t="s">
        <v>12</v>
      </c>
      <c r="B22" s="334">
        <v>94584</v>
      </c>
    </row>
    <row r="23" spans="1:6">
      <c r="A23" s="348" t="s">
        <v>13</v>
      </c>
      <c r="B23" s="334">
        <v>1875</v>
      </c>
    </row>
    <row r="24" spans="1:6">
      <c r="A24" s="348" t="s">
        <v>14</v>
      </c>
      <c r="B24" s="334">
        <v>63</v>
      </c>
    </row>
    <row r="25" spans="1:6">
      <c r="A25" s="348" t="s">
        <v>15</v>
      </c>
      <c r="B25" s="334">
        <v>10914</v>
      </c>
    </row>
    <row r="26" spans="1:6">
      <c r="A26" s="348" t="s">
        <v>16</v>
      </c>
      <c r="B26" s="334">
        <v>423</v>
      </c>
    </row>
    <row r="27" spans="1:6">
      <c r="A27" s="348" t="s">
        <v>17</v>
      </c>
      <c r="B27" s="334">
        <v>3717</v>
      </c>
    </row>
    <row r="28" spans="1:6" s="356" customFormat="1">
      <c r="A28" s="355" t="s">
        <v>18</v>
      </c>
      <c r="B28" s="355">
        <v>1518389</v>
      </c>
    </row>
    <row r="29" spans="1:6">
      <c r="A29" s="355" t="s">
        <v>713</v>
      </c>
      <c r="B29" s="355">
        <v>506</v>
      </c>
      <c r="C29" s="356"/>
      <c r="D29" s="356"/>
      <c r="E29" s="356"/>
      <c r="F29" s="356"/>
    </row>
    <row r="30" spans="1:6">
      <c r="A30" s="341" t="s">
        <v>714</v>
      </c>
      <c r="B30" s="341">
        <v>97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5</v>
      </c>
      <c r="F35" s="334">
        <v>5723354.2589999996</v>
      </c>
    </row>
    <row r="36" spans="1:6">
      <c r="A36" s="348" t="s">
        <v>24</v>
      </c>
      <c r="B36" s="348" t="s">
        <v>26</v>
      </c>
      <c r="C36" s="334">
        <v>0</v>
      </c>
      <c r="D36" s="334">
        <v>0</v>
      </c>
      <c r="E36" s="334">
        <v>3</v>
      </c>
      <c r="F36" s="334">
        <v>7570.6589999999997</v>
      </c>
    </row>
    <row r="37" spans="1:6">
      <c r="A37" s="348" t="s">
        <v>24</v>
      </c>
      <c r="B37" s="348" t="s">
        <v>27</v>
      </c>
      <c r="C37" s="334">
        <v>0</v>
      </c>
      <c r="D37" s="334">
        <v>0</v>
      </c>
      <c r="E37" s="334">
        <v>0</v>
      </c>
      <c r="F37" s="334">
        <v>0</v>
      </c>
    </row>
    <row r="38" spans="1:6">
      <c r="A38" s="348" t="s">
        <v>24</v>
      </c>
      <c r="B38" s="348" t="s">
        <v>28</v>
      </c>
      <c r="C38" s="334">
        <v>3</v>
      </c>
      <c r="D38" s="334">
        <v>53132645.75</v>
      </c>
      <c r="E38" s="334">
        <v>3</v>
      </c>
      <c r="F38" s="334">
        <v>784360.23499999999</v>
      </c>
    </row>
    <row r="39" spans="1:6">
      <c r="A39" s="348" t="s">
        <v>29</v>
      </c>
      <c r="B39" s="348" t="s">
        <v>30</v>
      </c>
      <c r="C39" s="334">
        <v>5368</v>
      </c>
      <c r="D39" s="334">
        <v>89614507.219999999</v>
      </c>
      <c r="E39" s="334">
        <v>7772</v>
      </c>
      <c r="F39" s="334">
        <v>32971886.5</v>
      </c>
    </row>
    <row r="40" spans="1:6">
      <c r="A40" s="348" t="s">
        <v>29</v>
      </c>
      <c r="B40" s="348" t="s">
        <v>28</v>
      </c>
      <c r="C40" s="334">
        <v>0</v>
      </c>
      <c r="D40" s="334">
        <v>0</v>
      </c>
      <c r="E40" s="334">
        <v>0</v>
      </c>
      <c r="F40" s="334">
        <v>0</v>
      </c>
    </row>
    <row r="41" spans="1:6">
      <c r="A41" s="348" t="s">
        <v>31</v>
      </c>
      <c r="B41" s="348" t="s">
        <v>32</v>
      </c>
      <c r="C41" s="334">
        <v>91</v>
      </c>
      <c r="D41" s="334">
        <v>1935424.753</v>
      </c>
      <c r="E41" s="334">
        <v>241</v>
      </c>
      <c r="F41" s="334">
        <v>2601421.13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9</v>
      </c>
      <c r="D44" s="334">
        <v>650345.12</v>
      </c>
      <c r="E44" s="334">
        <v>33</v>
      </c>
      <c r="F44" s="334">
        <v>1506646.243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25</v>
      </c>
      <c r="D48" s="334">
        <v>734014.43700000003</v>
      </c>
      <c r="E48" s="334">
        <v>30</v>
      </c>
      <c r="F48" s="334">
        <v>1291866.6510000001</v>
      </c>
    </row>
    <row r="49" spans="1:6">
      <c r="A49" s="348" t="s">
        <v>31</v>
      </c>
      <c r="B49" s="348" t="s">
        <v>39</v>
      </c>
      <c r="C49" s="334">
        <v>0</v>
      </c>
      <c r="D49" s="334">
        <v>0</v>
      </c>
      <c r="E49" s="334">
        <v>0</v>
      </c>
      <c r="F49" s="334">
        <v>0</v>
      </c>
    </row>
    <row r="50" spans="1:6">
      <c r="A50" s="348" t="s">
        <v>31</v>
      </c>
      <c r="B50" s="348" t="s">
        <v>40</v>
      </c>
      <c r="C50" s="334">
        <v>12</v>
      </c>
      <c r="D50" s="334">
        <v>484238.04399999999</v>
      </c>
      <c r="E50" s="334">
        <v>19</v>
      </c>
      <c r="F50" s="334">
        <v>374273.26500000001</v>
      </c>
    </row>
    <row r="51" spans="1:6">
      <c r="A51" s="348" t="s">
        <v>41</v>
      </c>
      <c r="B51" s="348" t="s">
        <v>42</v>
      </c>
      <c r="C51" s="334">
        <v>37</v>
      </c>
      <c r="D51" s="334">
        <v>136094471.40000001</v>
      </c>
      <c r="E51" s="334">
        <v>367</v>
      </c>
      <c r="F51" s="334">
        <v>13884836.779999999</v>
      </c>
    </row>
    <row r="52" spans="1:6">
      <c r="A52" s="348" t="s">
        <v>41</v>
      </c>
      <c r="B52" s="348" t="s">
        <v>28</v>
      </c>
      <c r="C52" s="334">
        <v>10</v>
      </c>
      <c r="D52" s="334">
        <v>12527045.449999999</v>
      </c>
      <c r="E52" s="334">
        <v>5</v>
      </c>
      <c r="F52" s="334">
        <v>40571.917000000001</v>
      </c>
    </row>
    <row r="53" spans="1:6">
      <c r="A53" s="348" t="s">
        <v>43</v>
      </c>
      <c r="B53" s="348" t="s">
        <v>44</v>
      </c>
      <c r="C53" s="334">
        <v>84</v>
      </c>
      <c r="D53" s="334">
        <v>1223030.0919999999</v>
      </c>
      <c r="E53" s="334">
        <v>264</v>
      </c>
      <c r="F53" s="334">
        <v>993576.924</v>
      </c>
    </row>
    <row r="54" spans="1:6">
      <c r="A54" s="348" t="s">
        <v>45</v>
      </c>
      <c r="B54" s="348" t="s">
        <v>46</v>
      </c>
      <c r="C54" s="334">
        <v>0</v>
      </c>
      <c r="D54" s="334">
        <v>0</v>
      </c>
      <c r="E54" s="334">
        <v>1</v>
      </c>
      <c r="F54" s="334">
        <v>1094309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36</v>
      </c>
      <c r="D57" s="334">
        <v>1081137.77</v>
      </c>
      <c r="E57" s="334">
        <v>76</v>
      </c>
      <c r="F57" s="334">
        <v>1466135.7220000001</v>
      </c>
    </row>
    <row r="58" spans="1:6">
      <c r="A58" s="348" t="s">
        <v>48</v>
      </c>
      <c r="B58" s="348" t="s">
        <v>50</v>
      </c>
      <c r="C58" s="334">
        <v>26</v>
      </c>
      <c r="D58" s="334">
        <v>1151318.084</v>
      </c>
      <c r="E58" s="334">
        <v>38</v>
      </c>
      <c r="F58" s="334">
        <v>437697.80599999998</v>
      </c>
    </row>
    <row r="59" spans="1:6">
      <c r="A59" s="348" t="s">
        <v>48</v>
      </c>
      <c r="B59" s="348" t="s">
        <v>51</v>
      </c>
      <c r="C59" s="334">
        <v>90</v>
      </c>
      <c r="D59" s="334">
        <v>2583194.3160000001</v>
      </c>
      <c r="E59" s="334">
        <v>193</v>
      </c>
      <c r="F59" s="334">
        <v>4989090.0820000004</v>
      </c>
    </row>
    <row r="60" spans="1:6">
      <c r="A60" s="348" t="s">
        <v>48</v>
      </c>
      <c r="B60" s="348" t="s">
        <v>52</v>
      </c>
      <c r="C60" s="334">
        <v>53</v>
      </c>
      <c r="D60" s="334">
        <v>2166587.307</v>
      </c>
      <c r="E60" s="334">
        <v>64</v>
      </c>
      <c r="F60" s="334">
        <v>1328346.4890000001</v>
      </c>
    </row>
    <row r="61" spans="1:6">
      <c r="A61" s="348" t="s">
        <v>48</v>
      </c>
      <c r="B61" s="348" t="s">
        <v>53</v>
      </c>
      <c r="C61" s="334">
        <v>153</v>
      </c>
      <c r="D61" s="334">
        <v>6570715.5669999998</v>
      </c>
      <c r="E61" s="334">
        <v>331</v>
      </c>
      <c r="F61" s="334">
        <v>4049255.7119999998</v>
      </c>
    </row>
    <row r="62" spans="1:6">
      <c r="A62" s="348" t="s">
        <v>48</v>
      </c>
      <c r="B62" s="348" t="s">
        <v>54</v>
      </c>
      <c r="C62" s="334">
        <v>13</v>
      </c>
      <c r="D62" s="334">
        <v>1233589.754</v>
      </c>
      <c r="E62" s="334">
        <v>16</v>
      </c>
      <c r="F62" s="334">
        <v>351768.24599999998</v>
      </c>
    </row>
    <row r="63" spans="1:6">
      <c r="A63" s="348" t="s">
        <v>48</v>
      </c>
      <c r="B63" s="348" t="s">
        <v>28</v>
      </c>
      <c r="C63" s="334">
        <v>95</v>
      </c>
      <c r="D63" s="334">
        <v>3713800.1320000002</v>
      </c>
      <c r="E63" s="334">
        <v>122</v>
      </c>
      <c r="F63" s="334">
        <v>2756650.2930000001</v>
      </c>
    </row>
    <row r="64" spans="1:6">
      <c r="A64" s="348" t="s">
        <v>55</v>
      </c>
      <c r="B64" s="348" t="s">
        <v>56</v>
      </c>
      <c r="C64" s="334">
        <v>0</v>
      </c>
      <c r="D64" s="334">
        <v>0</v>
      </c>
      <c r="E64" s="334">
        <v>0</v>
      </c>
      <c r="F64" s="334">
        <v>0</v>
      </c>
    </row>
    <row r="65" spans="1:6">
      <c r="A65" s="348" t="s">
        <v>55</v>
      </c>
      <c r="B65" s="348" t="s">
        <v>28</v>
      </c>
      <c r="C65" s="334">
        <v>1</v>
      </c>
      <c r="D65" s="334">
        <v>3813.79</v>
      </c>
      <c r="E65" s="334">
        <v>3</v>
      </c>
      <c r="F65" s="334">
        <v>64142.118999999999</v>
      </c>
    </row>
    <row r="66" spans="1:6">
      <c r="A66" s="348" t="s">
        <v>55</v>
      </c>
      <c r="B66" s="348" t="s">
        <v>57</v>
      </c>
      <c r="C66" s="334">
        <v>0</v>
      </c>
      <c r="D66" s="334">
        <v>0</v>
      </c>
      <c r="E66" s="334">
        <v>18</v>
      </c>
      <c r="F66" s="334">
        <v>490364.304</v>
      </c>
    </row>
    <row r="67" spans="1:6">
      <c r="A67" s="355" t="s">
        <v>55</v>
      </c>
      <c r="B67" s="355" t="s">
        <v>58</v>
      </c>
      <c r="C67" s="334">
        <v>0</v>
      </c>
      <c r="D67" s="334">
        <v>0</v>
      </c>
      <c r="E67" s="334">
        <v>0</v>
      </c>
      <c r="F67" s="334">
        <v>0</v>
      </c>
    </row>
    <row r="68" spans="1:6">
      <c r="A68" s="341" t="s">
        <v>55</v>
      </c>
      <c r="B68" s="341" t="s">
        <v>59</v>
      </c>
      <c r="C68" s="334">
        <v>4</v>
      </c>
      <c r="D68" s="334">
        <v>121270</v>
      </c>
      <c r="E68" s="334">
        <v>17</v>
      </c>
      <c r="F68" s="334">
        <v>505064.59600000002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70391024</v>
      </c>
      <c r="E73" s="476"/>
    </row>
    <row r="74" spans="1:6">
      <c r="A74" s="348" t="s">
        <v>63</v>
      </c>
      <c r="B74" s="348" t="s">
        <v>651</v>
      </c>
      <c r="C74" s="1307" t="s">
        <v>653</v>
      </c>
      <c r="D74" s="476">
        <v>5203268.5</v>
      </c>
      <c r="E74" s="476"/>
    </row>
    <row r="75" spans="1:6">
      <c r="A75" s="348" t="s">
        <v>64</v>
      </c>
      <c r="B75" s="348" t="s">
        <v>650</v>
      </c>
      <c r="C75" s="1307" t="s">
        <v>654</v>
      </c>
      <c r="D75" s="476">
        <v>13625215</v>
      </c>
      <c r="E75" s="476"/>
    </row>
    <row r="76" spans="1:6">
      <c r="A76" s="348" t="s">
        <v>64</v>
      </c>
      <c r="B76" s="348" t="s">
        <v>651</v>
      </c>
      <c r="C76" s="1307" t="s">
        <v>655</v>
      </c>
      <c r="D76" s="476">
        <v>357131.5</v>
      </c>
      <c r="E76" s="476"/>
    </row>
    <row r="77" spans="1:6">
      <c r="A77" s="348" t="s">
        <v>65</v>
      </c>
      <c r="B77" s="348" t="s">
        <v>650</v>
      </c>
      <c r="C77" s="1307" t="s">
        <v>656</v>
      </c>
      <c r="D77" s="476">
        <v>97386852</v>
      </c>
      <c r="E77" s="476"/>
    </row>
    <row r="78" spans="1:6">
      <c r="A78" s="341" t="s">
        <v>65</v>
      </c>
      <c r="B78" s="341" t="s">
        <v>651</v>
      </c>
      <c r="C78" s="341" t="s">
        <v>657</v>
      </c>
      <c r="D78" s="1308">
        <v>27502636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526761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42291.864233579348</v>
      </c>
    </row>
    <row r="91" spans="1:6">
      <c r="A91" s="348" t="s">
        <v>67</v>
      </c>
      <c r="B91" s="334">
        <v>6263.5597484428272</v>
      </c>
    </row>
    <row r="92" spans="1:6">
      <c r="A92" s="341" t="s">
        <v>68</v>
      </c>
      <c r="B92" s="342">
        <v>3726.9128320792606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3580</v>
      </c>
    </row>
    <row r="98" spans="1:6">
      <c r="A98" s="348" t="s">
        <v>71</v>
      </c>
      <c r="B98" s="334">
        <v>5</v>
      </c>
    </row>
    <row r="99" spans="1:6">
      <c r="A99" s="348" t="s">
        <v>72</v>
      </c>
      <c r="B99" s="334">
        <v>229</v>
      </c>
    </row>
    <row r="100" spans="1:6">
      <c r="A100" s="348" t="s">
        <v>73</v>
      </c>
      <c r="B100" s="334">
        <v>824</v>
      </c>
    </row>
    <row r="101" spans="1:6">
      <c r="A101" s="348" t="s">
        <v>74</v>
      </c>
      <c r="B101" s="334">
        <v>181</v>
      </c>
    </row>
    <row r="102" spans="1:6">
      <c r="A102" s="348" t="s">
        <v>75</v>
      </c>
      <c r="B102" s="334">
        <v>79</v>
      </c>
    </row>
    <row r="103" spans="1:6">
      <c r="A103" s="348" t="s">
        <v>76</v>
      </c>
      <c r="B103" s="334">
        <v>142</v>
      </c>
    </row>
    <row r="104" spans="1:6">
      <c r="A104" s="348" t="s">
        <v>77</v>
      </c>
      <c r="B104" s="334">
        <v>1224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3</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83</v>
      </c>
      <c r="C123" s="334">
        <v>29</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176</v>
      </c>
    </row>
    <row r="130" spans="1:6">
      <c r="A130" s="348" t="s">
        <v>294</v>
      </c>
      <c r="B130" s="334">
        <v>2</v>
      </c>
    </row>
    <row r="131" spans="1:6">
      <c r="A131" s="348" t="s">
        <v>295</v>
      </c>
      <c r="B131" s="334">
        <v>4</v>
      </c>
    </row>
    <row r="132" spans="1:6">
      <c r="A132" s="341" t="s">
        <v>296</v>
      </c>
      <c r="B132" s="342">
        <v>55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76500.404464805324</v>
      </c>
      <c r="C3" s="43" t="s">
        <v>169</v>
      </c>
      <c r="D3" s="43"/>
      <c r="E3" s="154"/>
      <c r="F3" s="43"/>
      <c r="G3" s="43"/>
      <c r="H3" s="43"/>
      <c r="I3" s="43"/>
      <c r="J3" s="43"/>
      <c r="K3" s="96"/>
    </row>
    <row r="4" spans="1:11">
      <c r="A4" s="383" t="s">
        <v>170</v>
      </c>
      <c r="B4" s="49">
        <f>IF(ISERROR('SEAP template'!B78+'SEAP template'!C78),0,'SEAP template'!B78+'SEAP template'!C78)</f>
        <v>110616.28681410145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13831.771764705883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0.12504281388464217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19759.673949579828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83334.21428571429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0.23711358076567554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1094.309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1094.309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0.12504281388464217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136.83547661928887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32971.886500000001</v>
      </c>
      <c r="C5" s="17">
        <f>IF(ISERROR('Eigen informatie GS &amp; warmtenet'!B59),0,'Eigen informatie GS &amp; warmtenet'!B59)</f>
        <v>0</v>
      </c>
      <c r="D5" s="30">
        <f>(SUM(HH_hh_gas_kWh,HH_rest_gas_kWh)/1000)*0.902</f>
        <v>80832.285512440008</v>
      </c>
      <c r="E5" s="17">
        <f>B46*B57</f>
        <v>18566.991123279902</v>
      </c>
      <c r="F5" s="17">
        <f>B51*B62</f>
        <v>0</v>
      </c>
      <c r="G5" s="18"/>
      <c r="H5" s="17"/>
      <c r="I5" s="17"/>
      <c r="J5" s="17">
        <f>B50*B61+C50*C61</f>
        <v>0</v>
      </c>
      <c r="K5" s="17"/>
      <c r="L5" s="17"/>
      <c r="M5" s="17"/>
      <c r="N5" s="17">
        <f>B48*B59+C48*C59</f>
        <v>25395.992728991278</v>
      </c>
      <c r="O5" s="17">
        <f>B69*B70*B71</f>
        <v>410.67935141311563</v>
      </c>
      <c r="P5" s="17">
        <f>B77*B78*B79/1000-B77*B78*B79/1000/B80</f>
        <v>1485.2882623835883</v>
      </c>
    </row>
    <row r="6" spans="1:16">
      <c r="A6" s="16" t="s">
        <v>615</v>
      </c>
      <c r="B6" s="809">
        <f>kWh_PV_kleiner_dan_10kW</f>
        <v>6263.5597484428272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39235.44624844283</v>
      </c>
      <c r="C8" s="21">
        <f>C5</f>
        <v>0</v>
      </c>
      <c r="D8" s="21">
        <f>D5</f>
        <v>80832.285512440008</v>
      </c>
      <c r="E8" s="21">
        <f>E5</f>
        <v>18566.991123279902</v>
      </c>
      <c r="F8" s="21">
        <f>F5</f>
        <v>0</v>
      </c>
      <c r="G8" s="21"/>
      <c r="H8" s="21"/>
      <c r="I8" s="21"/>
      <c r="J8" s="21">
        <f>J5</f>
        <v>0</v>
      </c>
      <c r="K8" s="21"/>
      <c r="L8" s="21">
        <f>L5</f>
        <v>0</v>
      </c>
      <c r="M8" s="21">
        <f>M5</f>
        <v>0</v>
      </c>
      <c r="N8" s="21">
        <f>N5</f>
        <v>25395.992728991278</v>
      </c>
      <c r="O8" s="21">
        <f>O5</f>
        <v>410.67935141311563</v>
      </c>
      <c r="P8" s="21">
        <f>P5</f>
        <v>1485.2882623835883</v>
      </c>
    </row>
    <row r="9" spans="1:16">
      <c r="B9" s="19"/>
      <c r="C9" s="19"/>
      <c r="D9" s="258"/>
      <c r="E9" s="19"/>
      <c r="F9" s="19"/>
      <c r="G9" s="19"/>
      <c r="H9" s="19"/>
      <c r="I9" s="19"/>
      <c r="J9" s="19"/>
      <c r="K9" s="19"/>
      <c r="L9" s="19"/>
      <c r="M9" s="19"/>
      <c r="N9" s="19"/>
      <c r="O9" s="19"/>
      <c r="P9" s="19"/>
    </row>
    <row r="10" spans="1:16">
      <c r="A10" s="24" t="s">
        <v>213</v>
      </c>
      <c r="B10" s="25">
        <f ca="1">'EF ele_warmte'!B12</f>
        <v>0.12504281388464217</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4906.1106029249186</v>
      </c>
      <c r="C12" s="23">
        <f ca="1">C10*C8</f>
        <v>0</v>
      </c>
      <c r="D12" s="23">
        <f>D8*D10</f>
        <v>16328.121673512882</v>
      </c>
      <c r="E12" s="23">
        <f>E10*E8</f>
        <v>4214.7069849845384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3580</v>
      </c>
      <c r="C18" s="166" t="s">
        <v>110</v>
      </c>
      <c r="D18" s="228"/>
      <c r="E18" s="15"/>
    </row>
    <row r="19" spans="1:7">
      <c r="A19" s="171" t="s">
        <v>71</v>
      </c>
      <c r="B19" s="37">
        <f>aantalw2001_ander</f>
        <v>5</v>
      </c>
      <c r="C19" s="166" t="s">
        <v>110</v>
      </c>
      <c r="D19" s="229"/>
      <c r="E19" s="15"/>
    </row>
    <row r="20" spans="1:7">
      <c r="A20" s="171" t="s">
        <v>72</v>
      </c>
      <c r="B20" s="37">
        <f>aantalw2001_propaan</f>
        <v>229</v>
      </c>
      <c r="C20" s="167">
        <f>IF(ISERROR(B20/SUM($B$20,$B$21,$B$22)*100),0,B20/SUM($B$20,$B$21,$B$22)*100)</f>
        <v>18.557536466774714</v>
      </c>
      <c r="D20" s="229"/>
      <c r="E20" s="15"/>
    </row>
    <row r="21" spans="1:7">
      <c r="A21" s="171" t="s">
        <v>73</v>
      </c>
      <c r="B21" s="37">
        <f>aantalw2001_elektriciteit</f>
        <v>824</v>
      </c>
      <c r="C21" s="167">
        <f>IF(ISERROR(B21/SUM($B$20,$B$21,$B$22)*100),0,B21/SUM($B$20,$B$21,$B$22)*100)</f>
        <v>66.774716369529983</v>
      </c>
      <c r="D21" s="229"/>
      <c r="E21" s="15"/>
    </row>
    <row r="22" spans="1:7">
      <c r="A22" s="171" t="s">
        <v>74</v>
      </c>
      <c r="B22" s="37">
        <f>aantalw2001_hout</f>
        <v>181</v>
      </c>
      <c r="C22" s="167">
        <f>IF(ISERROR(B22/SUM($B$20,$B$21,$B$22)*100),0,B22/SUM($B$20,$B$21,$B$22)*100)</f>
        <v>14.667747163695299</v>
      </c>
      <c r="D22" s="229"/>
      <c r="E22" s="15"/>
    </row>
    <row r="23" spans="1:7">
      <c r="A23" s="171" t="s">
        <v>75</v>
      </c>
      <c r="B23" s="37">
        <f>aantalw2001_niet_gespec</f>
        <v>79</v>
      </c>
      <c r="C23" s="166" t="s">
        <v>110</v>
      </c>
      <c r="D23" s="228"/>
      <c r="E23" s="15"/>
    </row>
    <row r="24" spans="1:7">
      <c r="A24" s="171" t="s">
        <v>76</v>
      </c>
      <c r="B24" s="37">
        <f>aantalw2001_steenkool</f>
        <v>142</v>
      </c>
      <c r="C24" s="166" t="s">
        <v>110</v>
      </c>
      <c r="D24" s="229"/>
      <c r="E24" s="15"/>
    </row>
    <row r="25" spans="1:7">
      <c r="A25" s="171" t="s">
        <v>77</v>
      </c>
      <c r="B25" s="37">
        <f>aantalw2001_stookolie</f>
        <v>1224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8063</v>
      </c>
      <c r="C28" s="36"/>
      <c r="D28" s="228"/>
    </row>
    <row r="29" spans="1:7" s="15" customFormat="1">
      <c r="A29" s="230" t="s">
        <v>837</v>
      </c>
      <c r="B29" s="37">
        <f>SUM(HH_hh_gas_aantal,HH_rest_gas_aantal)</f>
        <v>5368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5368</v>
      </c>
      <c r="C32" s="167">
        <f>IF(ISERROR(B32/SUM($B$32,$B$34,$B$35,$B$36,$B$38,$B$39)*100),0,B32/SUM($B$32,$B$34,$B$35,$B$36,$B$38,$B$39)*100)</f>
        <v>67.760666498359015</v>
      </c>
      <c r="D32" s="233"/>
      <c r="G32" s="15"/>
    </row>
    <row r="33" spans="1:7">
      <c r="A33" s="171" t="s">
        <v>71</v>
      </c>
      <c r="B33" s="34" t="s">
        <v>110</v>
      </c>
      <c r="C33" s="167"/>
      <c r="D33" s="233"/>
      <c r="G33" s="15"/>
    </row>
    <row r="34" spans="1:7">
      <c r="A34" s="171" t="s">
        <v>72</v>
      </c>
      <c r="B34" s="33">
        <f>IF((($B$28-$B$32-$B$39-$B$77-$B$38)*C20/100)&lt;0,0,($B$28-$B$32-$B$39-$B$77-$B$38)*C20/100)</f>
        <v>473.95948136142624</v>
      </c>
      <c r="C34" s="167">
        <f>IF(ISERROR(B34/SUM($B$32,$B$34,$B$35,$B$36,$B$38,$B$39)*100),0,B34/SUM($B$32,$B$34,$B$35,$B$36,$B$38,$B$39)*100)</f>
        <v>5.9828260712121475</v>
      </c>
      <c r="D34" s="233"/>
      <c r="G34" s="15"/>
    </row>
    <row r="35" spans="1:7">
      <c r="A35" s="171" t="s">
        <v>73</v>
      </c>
      <c r="B35" s="33">
        <f>IF((($B$28-$B$32-$B$39-$B$77-$B$38)*C21/100)&lt;0,0,($B$28-$B$32-$B$39-$B$77-$B$38)*C21/100)</f>
        <v>1705.4262560777956</v>
      </c>
      <c r="C35" s="167">
        <f>IF(ISERROR(B35/SUM($B$32,$B$34,$B$35,$B$36,$B$38,$B$39)*100),0,B35/SUM($B$32,$B$34,$B$35,$B$36,$B$38,$B$39)*100)</f>
        <v>21.527723505147637</v>
      </c>
      <c r="D35" s="233"/>
      <c r="G35" s="15"/>
    </row>
    <row r="36" spans="1:7">
      <c r="A36" s="171" t="s">
        <v>74</v>
      </c>
      <c r="B36" s="33">
        <f>IF((($B$28-$B$32-$B$39-$B$77-$B$38)*C22/100)&lt;0,0,($B$28-$B$32-$B$39-$B$77-$B$38)*C22/100)</f>
        <v>374.61426256077795</v>
      </c>
      <c r="C36" s="167">
        <f>IF(ISERROR(B36/SUM($B$32,$B$34,$B$35,$B$36,$B$38,$B$39)*100),0,B36/SUM($B$32,$B$34,$B$35,$B$36,$B$38,$B$39)*100)</f>
        <v>4.7287839252812169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5368</v>
      </c>
      <c r="C44" s="34" t="s">
        <v>110</v>
      </c>
      <c r="D44" s="174"/>
    </row>
    <row r="45" spans="1:7">
      <c r="A45" s="171" t="s">
        <v>71</v>
      </c>
      <c r="B45" s="33" t="str">
        <f t="shared" si="0"/>
        <v>-</v>
      </c>
      <c r="C45" s="34" t="s">
        <v>110</v>
      </c>
      <c r="D45" s="174"/>
    </row>
    <row r="46" spans="1:7">
      <c r="A46" s="171" t="s">
        <v>72</v>
      </c>
      <c r="B46" s="33">
        <f t="shared" si="0"/>
        <v>473.95948136142624</v>
      </c>
      <c r="C46" s="34" t="s">
        <v>110</v>
      </c>
      <c r="D46" s="174"/>
    </row>
    <row r="47" spans="1:7">
      <c r="A47" s="171" t="s">
        <v>73</v>
      </c>
      <c r="B47" s="33">
        <f t="shared" si="0"/>
        <v>1705.4262560777956</v>
      </c>
      <c r="C47" s="34" t="s">
        <v>110</v>
      </c>
      <c r="D47" s="174"/>
    </row>
    <row r="48" spans="1:7">
      <c r="A48" s="171" t="s">
        <v>74</v>
      </c>
      <c r="B48" s="33">
        <f t="shared" si="0"/>
        <v>374.61426256077795</v>
      </c>
      <c r="C48" s="33">
        <f>B48*10</f>
        <v>3746.1426256077793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15378.94435</v>
      </c>
      <c r="C5" s="17">
        <f>IF(ISERROR('Eigen informatie GS &amp; warmtenet'!B60),0,'Eigen informatie GS &amp; warmtenet'!B60)</f>
        <v>0</v>
      </c>
      <c r="D5" s="30">
        <f>SUM(D6:D12)</f>
        <v>16687.309322859997</v>
      </c>
      <c r="E5" s="17">
        <f>SUM(E6:E12)</f>
        <v>228.37500082265325</v>
      </c>
      <c r="F5" s="17">
        <f>SUM(F6:F12)</f>
        <v>1753.5504626424336</v>
      </c>
      <c r="G5" s="18"/>
      <c r="H5" s="17"/>
      <c r="I5" s="17"/>
      <c r="J5" s="17">
        <f>SUM(J6:J12)</f>
        <v>3.0172174540550975E-2</v>
      </c>
      <c r="K5" s="17"/>
      <c r="L5" s="17"/>
      <c r="M5" s="17"/>
      <c r="N5" s="17">
        <f>SUM(N6:N12)</f>
        <v>1187.2143272262779</v>
      </c>
      <c r="O5" s="17">
        <f>B38*B39*B40</f>
        <v>9.7945215316823084</v>
      </c>
      <c r="P5" s="17">
        <f>B46*B47*B48/1000-B46*B47*B48/1000/B49</f>
        <v>210.15655322598008</v>
      </c>
      <c r="R5" s="32"/>
    </row>
    <row r="6" spans="1:18">
      <c r="A6" s="32" t="s">
        <v>53</v>
      </c>
      <c r="B6" s="37">
        <f>B26</f>
        <v>4049.2557119999997</v>
      </c>
      <c r="C6" s="33"/>
      <c r="D6" s="37">
        <f>IF(ISERROR(TER_kantoor_gas_kWh/1000),0,TER_kantoor_gas_kWh/1000)*0.902</f>
        <v>5926.7854414339999</v>
      </c>
      <c r="E6" s="33">
        <f>$C$26*'E Balans VL '!I12/100/3.6*1000000</f>
        <v>32.583062420800047</v>
      </c>
      <c r="F6" s="33">
        <f>$C$26*('E Balans VL '!L12+'E Balans VL '!N12)/100/3.6*1000000</f>
        <v>495.06410759832545</v>
      </c>
      <c r="G6" s="34"/>
      <c r="H6" s="33"/>
      <c r="I6" s="33"/>
      <c r="J6" s="33">
        <f>$C$26*('E Balans VL '!D12+'E Balans VL '!E12)/100/3.6*1000000</f>
        <v>0</v>
      </c>
      <c r="K6" s="33"/>
      <c r="L6" s="33"/>
      <c r="M6" s="33"/>
      <c r="N6" s="33">
        <f>$C$26*'E Balans VL '!Y12/100/3.6*1000000</f>
        <v>2.1762755409386036</v>
      </c>
      <c r="O6" s="33"/>
      <c r="P6" s="33"/>
      <c r="R6" s="32"/>
    </row>
    <row r="7" spans="1:18">
      <c r="A7" s="32" t="s">
        <v>52</v>
      </c>
      <c r="B7" s="37">
        <f t="shared" ref="B7:B12" si="0">B27</f>
        <v>1328.346489</v>
      </c>
      <c r="C7" s="33"/>
      <c r="D7" s="37">
        <f>IF(ISERROR(TER_horeca_gas_kWh/1000),0,TER_horeca_gas_kWh/1000)*0.902</f>
        <v>1954.2617509140002</v>
      </c>
      <c r="E7" s="33">
        <f>$C$27*'E Balans VL '!I9/100/3.6*1000000</f>
        <v>14.263179443146376</v>
      </c>
      <c r="F7" s="33">
        <f>$C$27*('E Balans VL '!L9+'E Balans VL '!N9)/100/3.6*1000000</f>
        <v>159.76787196088191</v>
      </c>
      <c r="G7" s="34"/>
      <c r="H7" s="33"/>
      <c r="I7" s="33"/>
      <c r="J7" s="33">
        <f>$C$27*('E Balans VL '!D9+'E Balans VL '!E9)/100/3.6*1000000</f>
        <v>0</v>
      </c>
      <c r="K7" s="33"/>
      <c r="L7" s="33"/>
      <c r="M7" s="33"/>
      <c r="N7" s="33">
        <f>$C$27*'E Balans VL '!Y9/100/3.6*1000000</f>
        <v>0.19914606115877417</v>
      </c>
      <c r="O7" s="33"/>
      <c r="P7" s="33"/>
      <c r="R7" s="32"/>
    </row>
    <row r="8" spans="1:18">
      <c r="A8" s="6" t="s">
        <v>51</v>
      </c>
      <c r="B8" s="37">
        <f t="shared" si="0"/>
        <v>4989.0900820000006</v>
      </c>
      <c r="C8" s="33"/>
      <c r="D8" s="37">
        <f>IF(ISERROR(TER_handel_gas_kWh/1000),0,TER_handel_gas_kWh/1000)*0.902</f>
        <v>2330.0412730319999</v>
      </c>
      <c r="E8" s="33">
        <f>$C$28*'E Balans VL '!I13/100/3.6*1000000</f>
        <v>133.89190384976339</v>
      </c>
      <c r="F8" s="33">
        <f>$C$28*('E Balans VL '!L13+'E Balans VL '!N13)/100/3.6*1000000</f>
        <v>476.11296154398997</v>
      </c>
      <c r="G8" s="34"/>
      <c r="H8" s="33"/>
      <c r="I8" s="33"/>
      <c r="J8" s="33">
        <f>$C$28*('E Balans VL '!D13+'E Balans VL '!E13)/100/3.6*1000000</f>
        <v>0</v>
      </c>
      <c r="K8" s="33"/>
      <c r="L8" s="33"/>
      <c r="M8" s="33"/>
      <c r="N8" s="33">
        <f>$C$28*'E Balans VL '!Y13/100/3.6*1000000</f>
        <v>1.9777320363822304</v>
      </c>
      <c r="O8" s="33"/>
      <c r="P8" s="33"/>
      <c r="R8" s="32"/>
    </row>
    <row r="9" spans="1:18">
      <c r="A9" s="32" t="s">
        <v>50</v>
      </c>
      <c r="B9" s="37">
        <f t="shared" si="0"/>
        <v>437.69780599999996</v>
      </c>
      <c r="C9" s="33"/>
      <c r="D9" s="37">
        <f>IF(ISERROR(TER_gezond_gas_kWh/1000),0,TER_gezond_gas_kWh/1000)*0.902</f>
        <v>1038.488911768</v>
      </c>
      <c r="E9" s="33">
        <f>$C$29*'E Balans VL '!I10/100/3.6*1000000</f>
        <v>0.82038820903841891</v>
      </c>
      <c r="F9" s="33">
        <f>$C$29*('E Balans VL '!L10+'E Balans VL '!N10)/100/3.6*1000000</f>
        <v>35.982753337953099</v>
      </c>
      <c r="G9" s="34"/>
      <c r="H9" s="33"/>
      <c r="I9" s="33"/>
      <c r="J9" s="33">
        <f>$C$29*('E Balans VL '!D10+'E Balans VL '!E10)/100/3.6*1000000</f>
        <v>0</v>
      </c>
      <c r="K9" s="33"/>
      <c r="L9" s="33"/>
      <c r="M9" s="33"/>
      <c r="N9" s="33">
        <f>$C$29*'E Balans VL '!Y10/100/3.6*1000000</f>
        <v>3.4056155001670501</v>
      </c>
      <c r="O9" s="33"/>
      <c r="P9" s="33"/>
      <c r="R9" s="32"/>
    </row>
    <row r="10" spans="1:18">
      <c r="A10" s="32" t="s">
        <v>49</v>
      </c>
      <c r="B10" s="37">
        <f t="shared" si="0"/>
        <v>1466.135722</v>
      </c>
      <c r="C10" s="33"/>
      <c r="D10" s="37">
        <f>IF(ISERROR(TER_ander_gas_kWh/1000),0,TER_ander_gas_kWh/1000)*0.902</f>
        <v>975.18626854000001</v>
      </c>
      <c r="E10" s="33">
        <f>$C$30*'E Balans VL '!I14/100/3.6*1000000</f>
        <v>2.2600630715867251</v>
      </c>
      <c r="F10" s="33">
        <f>$C$30*('E Balans VL '!L14+'E Balans VL '!N14)/100/3.6*1000000</f>
        <v>227.61797558951872</v>
      </c>
      <c r="G10" s="34"/>
      <c r="H10" s="33"/>
      <c r="I10" s="33"/>
      <c r="J10" s="33">
        <f>$C$30*('E Balans VL '!D14+'E Balans VL '!E14)/100/3.6*1000000</f>
        <v>2.4889200104042341E-2</v>
      </c>
      <c r="K10" s="33"/>
      <c r="L10" s="33"/>
      <c r="M10" s="33"/>
      <c r="N10" s="33">
        <f>$C$30*'E Balans VL '!Y14/100/3.6*1000000</f>
        <v>969.94840437802907</v>
      </c>
      <c r="O10" s="33"/>
      <c r="P10" s="33"/>
      <c r="R10" s="32"/>
    </row>
    <row r="11" spans="1:18">
      <c r="A11" s="32" t="s">
        <v>54</v>
      </c>
      <c r="B11" s="37">
        <f t="shared" si="0"/>
        <v>351.76824599999998</v>
      </c>
      <c r="C11" s="33"/>
      <c r="D11" s="37">
        <f>IF(ISERROR(TER_onderwijs_gas_kWh/1000),0,TER_onderwijs_gas_kWh/1000)*0.902</f>
        <v>1112.697958108</v>
      </c>
      <c r="E11" s="33">
        <f>$C$31*'E Balans VL '!I11/100/3.6*1000000</f>
        <v>8.9724928699716404</v>
      </c>
      <c r="F11" s="33">
        <f>$C$31*('E Balans VL '!L11+'E Balans VL '!N11)/100/3.6*1000000</f>
        <v>42.303442550317463</v>
      </c>
      <c r="G11" s="34"/>
      <c r="H11" s="33"/>
      <c r="I11" s="33"/>
      <c r="J11" s="33">
        <f>$C$31*('E Balans VL '!D11+'E Balans VL '!E11)/100/3.6*1000000</f>
        <v>0</v>
      </c>
      <c r="K11" s="33"/>
      <c r="L11" s="33"/>
      <c r="M11" s="33"/>
      <c r="N11" s="33">
        <f>$C$31*'E Balans VL '!Y11/100/3.6*1000000</f>
        <v>0.7823239958848387</v>
      </c>
      <c r="O11" s="33"/>
      <c r="P11" s="33"/>
      <c r="R11" s="32"/>
    </row>
    <row r="12" spans="1:18">
      <c r="A12" s="32" t="s">
        <v>259</v>
      </c>
      <c r="B12" s="37">
        <f t="shared" si="0"/>
        <v>2756.6502930000001</v>
      </c>
      <c r="C12" s="33"/>
      <c r="D12" s="37">
        <f>IF(ISERROR(TER_rest_gas_kWh/1000),0,TER_rest_gas_kWh/1000)*0.902</f>
        <v>3349.8477190640006</v>
      </c>
      <c r="E12" s="33">
        <f>$C$32*'E Balans VL '!I8/100/3.6*1000000</f>
        <v>35.583910958346642</v>
      </c>
      <c r="F12" s="33">
        <f>$C$32*('E Balans VL '!L8+'E Balans VL '!N8)/100/3.6*1000000</f>
        <v>316.70135006144716</v>
      </c>
      <c r="G12" s="34"/>
      <c r="H12" s="33"/>
      <c r="I12" s="33"/>
      <c r="J12" s="33">
        <f>$C$32*('E Balans VL '!D8+'E Balans VL '!E8)/100/3.6*1000000</f>
        <v>5.282974436508635E-3</v>
      </c>
      <c r="K12" s="33"/>
      <c r="L12" s="33"/>
      <c r="M12" s="33"/>
      <c r="N12" s="33">
        <f>$C$32*'E Balans VL '!Y8/100/3.6*1000000</f>
        <v>208.72482971371724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15378.94435</v>
      </c>
      <c r="C16" s="21">
        <f t="shared" ca="1" si="1"/>
        <v>0</v>
      </c>
      <c r="D16" s="21">
        <f t="shared" ca="1" si="1"/>
        <v>16687.309322859997</v>
      </c>
      <c r="E16" s="21">
        <f t="shared" si="1"/>
        <v>228.37500082265325</v>
      </c>
      <c r="F16" s="21">
        <f t="shared" ca="1" si="1"/>
        <v>1753.5504626424336</v>
      </c>
      <c r="G16" s="21">
        <f t="shared" si="1"/>
        <v>0</v>
      </c>
      <c r="H16" s="21">
        <f t="shared" si="1"/>
        <v>0</v>
      </c>
      <c r="I16" s="21">
        <f t="shared" si="1"/>
        <v>0</v>
      </c>
      <c r="J16" s="21">
        <f t="shared" si="1"/>
        <v>3.0172174540550975E-2</v>
      </c>
      <c r="K16" s="21">
        <f t="shared" si="1"/>
        <v>0</v>
      </c>
      <c r="L16" s="21">
        <f t="shared" ca="1" si="1"/>
        <v>0</v>
      </c>
      <c r="M16" s="21">
        <f t="shared" si="1"/>
        <v>0</v>
      </c>
      <c r="N16" s="21">
        <f t="shared" ca="1" si="1"/>
        <v>1187.2143272262779</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0.12504281388464217</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1923.0264760993191</v>
      </c>
      <c r="C20" s="23">
        <f t="shared" ref="C20:P20" ca="1" si="2">C16*C18</f>
        <v>0</v>
      </c>
      <c r="D20" s="23">
        <f t="shared" ca="1" si="2"/>
        <v>3370.8364832177199</v>
      </c>
      <c r="E20" s="23">
        <f t="shared" si="2"/>
        <v>51.841125186742289</v>
      </c>
      <c r="F20" s="23">
        <f t="shared" ca="1" si="2"/>
        <v>468.19797352552979</v>
      </c>
      <c r="G20" s="23">
        <f t="shared" si="2"/>
        <v>0</v>
      </c>
      <c r="H20" s="23">
        <f t="shared" si="2"/>
        <v>0</v>
      </c>
      <c r="I20" s="23">
        <f t="shared" si="2"/>
        <v>0</v>
      </c>
      <c r="J20" s="23">
        <f t="shared" si="2"/>
        <v>1.0680949787355044E-2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4049.2557119999997</v>
      </c>
      <c r="C26" s="39">
        <f>IF(ISERROR(B26*3.6/1000000/'E Balans VL '!Z12*100),0,B26*3.6/1000000/'E Balans VL '!Z12*100)</f>
        <v>8.5901255286521316E-2</v>
      </c>
      <c r="D26" s="237" t="s">
        <v>716</v>
      </c>
      <c r="F26" s="6"/>
    </row>
    <row r="27" spans="1:18">
      <c r="A27" s="231" t="s">
        <v>52</v>
      </c>
      <c r="B27" s="33">
        <f>IF(ISERROR(TER_horeca_ele_kWh/1000),0,TER_horeca_ele_kWh/1000)</f>
        <v>1328.346489</v>
      </c>
      <c r="C27" s="39">
        <f>IF(ISERROR(B27*3.6/1000000/'E Balans VL '!Z9*100),0,B27*3.6/1000000/'E Balans VL '!Z9*100)</f>
        <v>0.10003625778778355</v>
      </c>
      <c r="D27" s="237" t="s">
        <v>716</v>
      </c>
      <c r="F27" s="6"/>
    </row>
    <row r="28" spans="1:18">
      <c r="A28" s="171" t="s">
        <v>51</v>
      </c>
      <c r="B28" s="33">
        <f>IF(ISERROR(TER_handel_ele_kWh/1000),0,TER_handel_ele_kWh/1000)</f>
        <v>4989.0900820000006</v>
      </c>
      <c r="C28" s="39">
        <f>IF(ISERROR(B28*3.6/1000000/'E Balans VL '!Z13*100),0,B28*3.6/1000000/'E Balans VL '!Z13*100)</f>
        <v>0.14481560735505145</v>
      </c>
      <c r="D28" s="237" t="s">
        <v>716</v>
      </c>
      <c r="F28" s="6"/>
    </row>
    <row r="29" spans="1:18">
      <c r="A29" s="231" t="s">
        <v>50</v>
      </c>
      <c r="B29" s="33">
        <f>IF(ISERROR(TER_gezond_ele_kWh/1000),0,TER_gezond_ele_kWh/1000)</f>
        <v>437.69780599999996</v>
      </c>
      <c r="C29" s="39">
        <f>IF(ISERROR(B29*3.6/1000000/'E Balans VL '!Z10*100),0,B29*3.6/1000000/'E Balans VL '!Z10*100)</f>
        <v>4.4142345710993264E-2</v>
      </c>
      <c r="D29" s="237" t="s">
        <v>716</v>
      </c>
      <c r="F29" s="6"/>
    </row>
    <row r="30" spans="1:18">
      <c r="A30" s="231" t="s">
        <v>49</v>
      </c>
      <c r="B30" s="33">
        <f>IF(ISERROR(TER_ander_ele_kWh/1000),0,TER_ander_ele_kWh/1000)</f>
        <v>1466.135722</v>
      </c>
      <c r="C30" s="39">
        <f>IF(ISERROR(B30*3.6/1000000/'E Balans VL '!Z14*100),0,B30*3.6/1000000/'E Balans VL '!Z14*100)</f>
        <v>0.10638814838977223</v>
      </c>
      <c r="D30" s="237" t="s">
        <v>716</v>
      </c>
      <c r="F30" s="6"/>
    </row>
    <row r="31" spans="1:18">
      <c r="A31" s="231" t="s">
        <v>54</v>
      </c>
      <c r="B31" s="33">
        <f>IF(ISERROR(TER_onderwijs_ele_kWh/1000),0,TER_onderwijs_ele_kWh/1000)</f>
        <v>351.76824599999998</v>
      </c>
      <c r="C31" s="39">
        <f>IF(ISERROR(B31*3.6/1000000/'E Balans VL '!Z11*100),0,B31*3.6/1000000/'E Balans VL '!Z11*100)</f>
        <v>0.10026827477998569</v>
      </c>
      <c r="D31" s="237" t="s">
        <v>716</v>
      </c>
    </row>
    <row r="32" spans="1:18">
      <c r="A32" s="231" t="s">
        <v>259</v>
      </c>
      <c r="B32" s="33">
        <f>IF(ISERROR(TER_rest_ele_kWh/1000),0,TER_rest_ele_kWh/1000)</f>
        <v>2756.6502930000001</v>
      </c>
      <c r="C32" s="39">
        <f>IF(ISERROR(B32*3.6/1000000/'E Balans VL '!Z8*100),0,B32*3.6/1000000/'E Balans VL '!Z8*100)</f>
        <v>2.2581917696879703E-2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5774.2072889999999</v>
      </c>
      <c r="C5" s="17">
        <f>IF(ISERROR('Eigen informatie GS &amp; warmtenet'!B61),0,'Eigen informatie GS &amp; warmtenet'!B61)</f>
        <v>0</v>
      </c>
      <c r="D5" s="30">
        <f>SUM(D6:D15)</f>
        <v>3431.2281633080001</v>
      </c>
      <c r="E5" s="17">
        <f>SUM(E6:E15)</f>
        <v>793.47493384665199</v>
      </c>
      <c r="F5" s="17">
        <f>SUM(F6:F15)</f>
        <v>2548.4588166745189</v>
      </c>
      <c r="G5" s="18"/>
      <c r="H5" s="17"/>
      <c r="I5" s="17"/>
      <c r="J5" s="17">
        <f>SUM(J6:J15)</f>
        <v>12.18777976925807</v>
      </c>
      <c r="K5" s="17"/>
      <c r="L5" s="17"/>
      <c r="M5" s="17"/>
      <c r="N5" s="17">
        <f>SUM(N6:N15)</f>
        <v>279.9054354191411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1506.6462429999999</v>
      </c>
      <c r="C8" s="33"/>
      <c r="D8" s="37">
        <f>IF( ISERROR(IND_metaal_Gas_kWH/1000),0,IND_metaal_Gas_kWH/1000)*0.902</f>
        <v>586.61129824</v>
      </c>
      <c r="E8" s="33">
        <f>C30*'E Balans VL '!I18/100/3.6*1000000</f>
        <v>10.869395180081613</v>
      </c>
      <c r="F8" s="33">
        <f>C30*'E Balans VL '!L18/100/3.6*1000000+C30*'E Balans VL '!N18/100/3.6*1000000</f>
        <v>142.50095397711672</v>
      </c>
      <c r="G8" s="34"/>
      <c r="H8" s="33"/>
      <c r="I8" s="33"/>
      <c r="J8" s="40">
        <f>C30*'E Balans VL '!D18/100/3.6*1000000+C30*'E Balans VL '!E18/100/3.6*1000000</f>
        <v>1.5153935466292101</v>
      </c>
      <c r="K8" s="33"/>
      <c r="L8" s="33"/>
      <c r="M8" s="33"/>
      <c r="N8" s="33">
        <f>C30*'E Balans VL '!Y18/100/3.6*1000000</f>
        <v>19.047994703936343</v>
      </c>
      <c r="O8" s="33"/>
      <c r="P8" s="33"/>
      <c r="R8" s="32"/>
    </row>
    <row r="9" spans="1:18">
      <c r="A9" s="6" t="s">
        <v>32</v>
      </c>
      <c r="B9" s="37">
        <f t="shared" si="0"/>
        <v>2601.4211299999997</v>
      </c>
      <c r="C9" s="33"/>
      <c r="D9" s="37">
        <f>IF( ISERROR(IND_andere_gas_kWh/1000),0,IND_andere_gas_kWh/1000)*0.902</f>
        <v>1745.753127206</v>
      </c>
      <c r="E9" s="33">
        <f>C31*'E Balans VL '!I19/100/3.6*1000000</f>
        <v>720.88858048149541</v>
      </c>
      <c r="F9" s="33">
        <f>C31*'E Balans VL '!L19/100/3.6*1000000+C31*'E Balans VL '!N19/100/3.6*1000000</f>
        <v>2156.063454258388</v>
      </c>
      <c r="G9" s="34"/>
      <c r="H9" s="33"/>
      <c r="I9" s="33"/>
      <c r="J9" s="40">
        <f>C31*'E Balans VL '!D19/100/3.6*1000000+C31*'E Balans VL '!E19/100/3.6*1000000</f>
        <v>0</v>
      </c>
      <c r="K9" s="33"/>
      <c r="L9" s="33"/>
      <c r="M9" s="33"/>
      <c r="N9" s="33">
        <f>C31*'E Balans VL '!Y19/100/3.6*1000000</f>
        <v>188.83135521292934</v>
      </c>
      <c r="O9" s="33"/>
      <c r="P9" s="33"/>
      <c r="R9" s="32"/>
    </row>
    <row r="10" spans="1:18">
      <c r="A10" s="6" t="s">
        <v>40</v>
      </c>
      <c r="B10" s="37">
        <f t="shared" si="0"/>
        <v>374.27326500000004</v>
      </c>
      <c r="C10" s="33"/>
      <c r="D10" s="37">
        <f>IF( ISERROR(IND_voed_gas_kWh/1000),0,IND_voed_gas_kWh/1000)*0.902</f>
        <v>436.782715688</v>
      </c>
      <c r="E10" s="33">
        <f>C32*'E Balans VL '!I20/100/3.6*1000000</f>
        <v>0.66259045353273083</v>
      </c>
      <c r="F10" s="33">
        <f>C32*'E Balans VL '!L20/100/3.6*1000000+C32*'E Balans VL '!N20/100/3.6*1000000</f>
        <v>20.214073464192335</v>
      </c>
      <c r="G10" s="34"/>
      <c r="H10" s="33"/>
      <c r="I10" s="33"/>
      <c r="J10" s="40">
        <f>C32*'E Balans VL '!D20/100/3.6*1000000+C32*'E Balans VL '!E20/100/3.6*1000000</f>
        <v>0</v>
      </c>
      <c r="K10" s="33"/>
      <c r="L10" s="33"/>
      <c r="M10" s="33"/>
      <c r="N10" s="33">
        <f>C32*'E Balans VL '!Y20/100/3.6*1000000</f>
        <v>21.748135057042518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1291.866651</v>
      </c>
      <c r="C15" s="33"/>
      <c r="D15" s="37">
        <f>IF( ISERROR(IND_rest_gas_kWh/1000),0,IND_rest_gas_kWh/1000)*0.902</f>
        <v>662.08102217400005</v>
      </c>
      <c r="E15" s="33">
        <f>C37*'E Balans VL '!I15/100/3.6*1000000</f>
        <v>61.054367731542278</v>
      </c>
      <c r="F15" s="33">
        <f>C37*'E Balans VL '!L15/100/3.6*1000000+C37*'E Balans VL '!N15/100/3.6*1000000</f>
        <v>229.68033497482156</v>
      </c>
      <c r="G15" s="34"/>
      <c r="H15" s="33"/>
      <c r="I15" s="33"/>
      <c r="J15" s="40">
        <f>C37*'E Balans VL '!D15/100/3.6*1000000+C37*'E Balans VL '!E15/100/3.6*1000000</f>
        <v>10.672386222628859</v>
      </c>
      <c r="K15" s="33"/>
      <c r="L15" s="33"/>
      <c r="M15" s="33"/>
      <c r="N15" s="33">
        <f>C37*'E Balans VL '!Y15/100/3.6*1000000</f>
        <v>50.277950445232854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5774.2072889999999</v>
      </c>
      <c r="C18" s="21">
        <f>C5+C16</f>
        <v>0</v>
      </c>
      <c r="D18" s="21">
        <f>MAX((D5+D16),0)</f>
        <v>3431.2281633080001</v>
      </c>
      <c r="E18" s="21">
        <f>MAX((E5+E16),0)</f>
        <v>793.47493384665199</v>
      </c>
      <c r="F18" s="21">
        <f>MAX((F5+F16),0)</f>
        <v>2548.4588166745189</v>
      </c>
      <c r="G18" s="21"/>
      <c r="H18" s="21"/>
      <c r="I18" s="21"/>
      <c r="J18" s="21">
        <f>MAX((J5+J16),0)</f>
        <v>12.18777976925807</v>
      </c>
      <c r="K18" s="21"/>
      <c r="L18" s="21">
        <f>MAX((L5+L16),0)</f>
        <v>0</v>
      </c>
      <c r="M18" s="21"/>
      <c r="N18" s="21">
        <f>MAX((N5+N16),0)</f>
        <v>279.9054354191411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0.12504281388464217</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722.02312736977126</v>
      </c>
      <c r="C22" s="23">
        <f ca="1">C18*C20</f>
        <v>0</v>
      </c>
      <c r="D22" s="23">
        <f>D18*D20</f>
        <v>693.10808898821608</v>
      </c>
      <c r="E22" s="23">
        <f>E18*E20</f>
        <v>180.11880998319</v>
      </c>
      <c r="F22" s="23">
        <f>F18*F20</f>
        <v>680.43850405209662</v>
      </c>
      <c r="G22" s="23"/>
      <c r="H22" s="23"/>
      <c r="I22" s="23"/>
      <c r="J22" s="23">
        <f>J18*J20</f>
        <v>4.3144740383173561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1506.6462429999999</v>
      </c>
      <c r="C30" s="39">
        <f>IF(ISERROR(B30*3.6/1000000/'E Balans VL '!Z18*100),0,B30*3.6/1000000/'E Balans VL '!Z18*100)</f>
        <v>8.6976336716438521E-2</v>
      </c>
      <c r="D30" s="237" t="s">
        <v>716</v>
      </c>
    </row>
    <row r="31" spans="1:18">
      <c r="A31" s="6" t="s">
        <v>32</v>
      </c>
      <c r="B31" s="37">
        <f>IF( ISERROR(IND_ander_ele_kWh/1000),0,IND_ander_ele_kWh/1000)</f>
        <v>2601.4211299999997</v>
      </c>
      <c r="C31" s="39">
        <f>IF(ISERROR(B31*3.6/1000000/'E Balans VL '!Z19*100),0,B31*3.6/1000000/'E Balans VL '!Z19*100)</f>
        <v>0.13084305065890933</v>
      </c>
      <c r="D31" s="237" t="s">
        <v>716</v>
      </c>
    </row>
    <row r="32" spans="1:18">
      <c r="A32" s="171" t="s">
        <v>40</v>
      </c>
      <c r="B32" s="37">
        <f>IF( ISERROR(IND_voed_ele_kWh/1000),0,IND_voed_ele_kWh/1000)</f>
        <v>374.27326500000004</v>
      </c>
      <c r="C32" s="39">
        <f>IF(ISERROR(B32*3.6/1000000/'E Balans VL '!Z20*100),0,B32*3.6/1000000/'E Balans VL '!Z20*100)</f>
        <v>1.2465522251999293E-2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1291.866651</v>
      </c>
      <c r="C37" s="39">
        <f>IF(ISERROR(B37*3.6/1000000/'E Balans VL '!Z15*100),0,B37*3.6/1000000/'E Balans VL '!Z15*100)</f>
        <v>1.0080092656641164E-2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13925.408696999999</v>
      </c>
      <c r="C5" s="17">
        <f>'Eigen informatie GS &amp; warmtenet'!B62</f>
        <v>0</v>
      </c>
      <c r="D5" s="30">
        <f>IF(ISERROR(SUM(LB_lb_gas_kWh,LB_rest_gas_kWh)/1000),0,SUM(LB_lb_gas_kWh,LB_rest_gas_kWh)/1000)*0.902</f>
        <v>134056.60819869998</v>
      </c>
      <c r="E5" s="17">
        <f>B17*'E Balans VL '!I25/3.6*1000000/100</f>
        <v>434.6074134000911</v>
      </c>
      <c r="F5" s="17">
        <f>B17*('E Balans VL '!L25/3.6*1000000+'E Balans VL '!N25/3.6*1000000)/100</f>
        <v>49213.936950359865</v>
      </c>
      <c r="G5" s="18"/>
      <c r="H5" s="17"/>
      <c r="I5" s="17"/>
      <c r="J5" s="17">
        <f>('E Balans VL '!D25+'E Balans VL '!E25)/3.6*1000000*landbouw!B17/100</f>
        <v>3836.5466678864632</v>
      </c>
      <c r="K5" s="17"/>
      <c r="L5" s="17">
        <f>L6*(-1)</f>
        <v>0</v>
      </c>
      <c r="M5" s="17"/>
      <c r="N5" s="17">
        <f>N6*(-1)</f>
        <v>374.14285714285711</v>
      </c>
      <c r="O5" s="17"/>
      <c r="P5" s="17"/>
      <c r="R5" s="32"/>
    </row>
    <row r="6" spans="1:18">
      <c r="A6" s="16" t="s">
        <v>482</v>
      </c>
      <c r="B6" s="17" t="s">
        <v>210</v>
      </c>
      <c r="C6" s="17">
        <f>'lokale energieproductie'!O92+'lokale energieproductie'!O61</f>
        <v>83334.21428571429</v>
      </c>
      <c r="D6" s="310">
        <f>('lokale energieproductie'!P61+'lokale energieproductie'!P92)*(-1)</f>
        <v>-166294.28571428571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13925.408696999999</v>
      </c>
      <c r="C8" s="21">
        <f>C5+C6</f>
        <v>83334.21428571429</v>
      </c>
      <c r="D8" s="21">
        <f>MAX((D5+D6),0)</f>
        <v>0</v>
      </c>
      <c r="E8" s="21">
        <f>MAX((E5+E6),0)</f>
        <v>434.6074134000911</v>
      </c>
      <c r="F8" s="21">
        <f>MAX((F5+F6),0)</f>
        <v>49213.936950359865</v>
      </c>
      <c r="G8" s="21"/>
      <c r="H8" s="21"/>
      <c r="I8" s="21"/>
      <c r="J8" s="21">
        <f>MAX((J5+J6),0)</f>
        <v>3836.5466678864632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0.12504281388464217</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1741.2722879665482</v>
      </c>
      <c r="C12" s="23">
        <f ca="1">C8*C10</f>
        <v>19759.673949579828</v>
      </c>
      <c r="D12" s="23">
        <f>D8*D10</f>
        <v>0</v>
      </c>
      <c r="E12" s="23">
        <f>E8*E10</f>
        <v>98.655882841820684</v>
      </c>
      <c r="F12" s="23">
        <f>F8*F10</f>
        <v>13140.121165746084</v>
      </c>
      <c r="G12" s="23"/>
      <c r="H12" s="23"/>
      <c r="I12" s="23"/>
      <c r="J12" s="23">
        <f>J8*J10</f>
        <v>1358.1375204318078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2.0701118295944001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2050.5702044931268</v>
      </c>
      <c r="C26" s="247">
        <f>B26*'GWP N2O_CH4'!B5</f>
        <v>43061.974294355663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1078.1372462210788</v>
      </c>
      <c r="C27" s="247">
        <f>B27*'GWP N2O_CH4'!B5</f>
        <v>22640.882170642657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28.523119704376768</v>
      </c>
      <c r="C28" s="247">
        <f>B28*'GWP N2O_CH4'!B4</f>
        <v>8842.1671083567981</v>
      </c>
      <c r="D28" s="50"/>
    </row>
    <row r="29" spans="1:4">
      <c r="A29" s="41" t="s">
        <v>276</v>
      </c>
      <c r="B29" s="247">
        <f>B34*'ha_N2O bodem landbouw'!B4</f>
        <v>39.498508024276902</v>
      </c>
      <c r="C29" s="247">
        <f>B29*'GWP N2O_CH4'!B4</f>
        <v>12244.53748752584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8.6613116550771294E-3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3.54643042905E-4</v>
      </c>
      <c r="C5" s="463" t="s">
        <v>210</v>
      </c>
      <c r="D5" s="448">
        <f>SUM(D6:D11)</f>
        <v>1.3340685785414403E-3</v>
      </c>
      <c r="E5" s="448">
        <f>SUM(E6:E11)</f>
        <v>1.175028521626975E-3</v>
      </c>
      <c r="F5" s="461" t="s">
        <v>210</v>
      </c>
      <c r="G5" s="448">
        <f>SUM(G6:G11)</f>
        <v>0.59766133014917666</v>
      </c>
      <c r="H5" s="448">
        <f>SUM(H6:H11)</f>
        <v>0.1020498383511447</v>
      </c>
      <c r="I5" s="463" t="s">
        <v>210</v>
      </c>
      <c r="J5" s="463" t="s">
        <v>210</v>
      </c>
      <c r="K5" s="463" t="s">
        <v>210</v>
      </c>
      <c r="L5" s="463" t="s">
        <v>210</v>
      </c>
      <c r="M5" s="448">
        <f>SUM(M6:M11)</f>
        <v>4.1166487584983702E-2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1.3761445192E-4</v>
      </c>
      <c r="C6" s="449"/>
      <c r="D6" s="917">
        <f>vkm_2011_GW_PW*SUMIFS(TableVerdeelsleutelVkm[CNG],TableVerdeelsleutelVkm[Voertuigtype],"Lichte voertuigen")*SUMIFS(TableECFTransport[EnergieConsumptieFactor (PJ per km)],TableECFTransport[Index],CONCATENATE($A6,"_CNG_CNG"))</f>
        <v>4.7850888953683205E-4</v>
      </c>
      <c r="E6" s="917">
        <f>vkm_2011_GW_PW*SUMIFS(TableVerdeelsleutelVkm[LPG],TableVerdeelsleutelVkm[Voertuigtype],"Lichte voertuigen")*SUMIFS(TableECFTransport[EnergieConsumptieFactor (PJ per km)],TableECFTransport[Index],CONCATENATE($A6,"_LPG_LPG"))</f>
        <v>3.7698616813439996E-4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0.10262001835052914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3.5910190561250221E-2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8.2780506930649374E-3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4.9223706317761289E-2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1.2401037848390224E-5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2.8383926918499535E-3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2.6637295324999999E-5</v>
      </c>
      <c r="C8" s="449"/>
      <c r="D8" s="451">
        <f>vkm_2011_NGW_PW*SUMIFS(TableVerdeelsleutelVkm[CNG],TableVerdeelsleutelVkm[Voertuigtype],"Lichte voertuigen")*SUMIFS(TableECFTransport[EnergieConsumptieFactor (PJ per km)],TableECFTransport[Index],CONCATENATE($A8,"_CNG_CNG"))</f>
        <v>1.639178765532E-4</v>
      </c>
      <c r="E8" s="451">
        <f>vkm_2011_NGW_PW*SUMIFS(TableVerdeelsleutelVkm[LPG],TableVerdeelsleutelVkm[Voertuigtype],"Lichte voertuigen")*SUMIFS(TableECFTransport[EnergieConsumptieFactor (PJ per km)],TableECFTransport[Index],CONCATENATE($A8,"_LPG_LPG"))</f>
        <v>1.19721017270875E-4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3.0242019007285573E-2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1.1986567021574683E-2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2.5318873025506855E-3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4.322255030136681E-3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1.0274511935283978E-6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2.4923068526989532E-4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1.9039129566E-4</v>
      </c>
      <c r="C10" s="449"/>
      <c r="D10" s="451">
        <f>vkm_2011_SW_PW*SUMIFS(TableVerdeelsleutelVkm[CNG],TableVerdeelsleutelVkm[Voertuigtype],"Lichte voertuigen")*SUMIFS(TableECFTransport[EnergieConsumptieFactor (PJ per km)],TableECFTransport[Index],CONCATENATE($A10,"_CNG_CNG"))</f>
        <v>6.9164181245140813E-4</v>
      </c>
      <c r="E10" s="451">
        <f>vkm_2011_SW_PW*SUMIFS(TableVerdeelsleutelVkm[LPG],TableVerdeelsleutelVkm[Voertuigtype],"Lichte voertuigen")*SUMIFS(TableECFTransport[EnergieConsumptieFactor (PJ per km)],TableECFTransport[Index],CONCATENATE($A10,"_LPG_LPG"))</f>
        <v>6.7832133622169996E-4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0.16402171941895163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5.4072192008445569E-2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1.3012438641257514E-2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0.24723161202451241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6.7460270832312517E-5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1.4256487570990718E-2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98.511956362500001</v>
      </c>
      <c r="C14" s="21"/>
      <c r="D14" s="21">
        <f t="shared" ref="D14:M14" si="0">((D5)*10^9/3600)+D12</f>
        <v>370.57460515040015</v>
      </c>
      <c r="E14" s="21">
        <f t="shared" si="0"/>
        <v>326.39681156304857</v>
      </c>
      <c r="F14" s="21"/>
      <c r="G14" s="21">
        <f t="shared" si="0"/>
        <v>166017.03615254909</v>
      </c>
      <c r="H14" s="21">
        <f t="shared" si="0"/>
        <v>28347.177319762417</v>
      </c>
      <c r="I14" s="21"/>
      <c r="J14" s="21"/>
      <c r="K14" s="21"/>
      <c r="L14" s="21"/>
      <c r="M14" s="21">
        <f t="shared" si="0"/>
        <v>11435.13544027325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0.12504281388464217</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12.318212224848079</v>
      </c>
      <c r="C18" s="23"/>
      <c r="D18" s="23">
        <f t="shared" ref="D18:M18" si="1">D14*D16</f>
        <v>74.856070240380831</v>
      </c>
      <c r="E18" s="23">
        <f t="shared" si="1"/>
        <v>74.092076224812033</v>
      </c>
      <c r="F18" s="23"/>
      <c r="G18" s="23">
        <f t="shared" si="1"/>
        <v>44326.548652730606</v>
      </c>
      <c r="H18" s="23">
        <f t="shared" si="1"/>
        <v>7058.4471526208417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6.4665508786405455E-3</v>
      </c>
      <c r="H50" s="321">
        <f t="shared" si="2"/>
        <v>0</v>
      </c>
      <c r="I50" s="321">
        <f t="shared" si="2"/>
        <v>0</v>
      </c>
      <c r="J50" s="321">
        <f t="shared" si="2"/>
        <v>0</v>
      </c>
      <c r="K50" s="321">
        <f t="shared" si="2"/>
        <v>0</v>
      </c>
      <c r="L50" s="321">
        <f t="shared" si="2"/>
        <v>0</v>
      </c>
      <c r="M50" s="321">
        <f t="shared" si="2"/>
        <v>3.5941161331939101E-4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6.4665508786405455E-3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3.5941161331939101E-4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1796.2641329557071</v>
      </c>
      <c r="H54" s="21">
        <f t="shared" si="3"/>
        <v>0</v>
      </c>
      <c r="I54" s="21">
        <f t="shared" si="3"/>
        <v>0</v>
      </c>
      <c r="J54" s="21">
        <f t="shared" si="3"/>
        <v>0</v>
      </c>
      <c r="K54" s="21">
        <f t="shared" si="3"/>
        <v>0</v>
      </c>
      <c r="L54" s="21">
        <f t="shared" si="3"/>
        <v>0</v>
      </c>
      <c r="M54" s="21">
        <f t="shared" si="3"/>
        <v>99.836559255386405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0.12504281388464217</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479.6025234991738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16473.253349999999</v>
      </c>
      <c r="D10" s="712">
        <f ca="1">tertiair!C16</f>
        <v>0</v>
      </c>
      <c r="E10" s="712">
        <f ca="1">tertiair!D16</f>
        <v>16687.309322859997</v>
      </c>
      <c r="F10" s="712">
        <f>tertiair!E16</f>
        <v>228.37500082265325</v>
      </c>
      <c r="G10" s="712">
        <f ca="1">tertiair!F16</f>
        <v>1753.5504626424336</v>
      </c>
      <c r="H10" s="712">
        <f>tertiair!G16</f>
        <v>0</v>
      </c>
      <c r="I10" s="712">
        <f>tertiair!H16</f>
        <v>0</v>
      </c>
      <c r="J10" s="712">
        <f>tertiair!I16</f>
        <v>0</v>
      </c>
      <c r="K10" s="712">
        <f>tertiair!J16</f>
        <v>3.0172174540550975E-2</v>
      </c>
      <c r="L10" s="712">
        <f>tertiair!K16</f>
        <v>0</v>
      </c>
      <c r="M10" s="712">
        <f ca="1">tertiair!L16</f>
        <v>0</v>
      </c>
      <c r="N10" s="712">
        <f>tertiair!M16</f>
        <v>0</v>
      </c>
      <c r="O10" s="712">
        <f ca="1">tertiair!N16</f>
        <v>1187.2143272262779</v>
      </c>
      <c r="P10" s="712">
        <f>tertiair!O16</f>
        <v>9.7945215316823084</v>
      </c>
      <c r="Q10" s="713">
        <f>tertiair!P16</f>
        <v>210.15655322598008</v>
      </c>
      <c r="R10" s="715">
        <f ca="1">SUM(C10:Q10)</f>
        <v>36549.683710483565</v>
      </c>
      <c r="S10" s="67"/>
    </row>
    <row r="11" spans="1:19" s="474" customFormat="1">
      <c r="A11" s="834" t="s">
        <v>224</v>
      </c>
      <c r="B11" s="839"/>
      <c r="C11" s="712">
        <f>huishoudens!B8</f>
        <v>39235.44624844283</v>
      </c>
      <c r="D11" s="712">
        <f>huishoudens!C8</f>
        <v>0</v>
      </c>
      <c r="E11" s="712">
        <f>huishoudens!D8</f>
        <v>80832.285512440008</v>
      </c>
      <c r="F11" s="712">
        <f>huishoudens!E8</f>
        <v>18566.991123279902</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25395.992728991278</v>
      </c>
      <c r="P11" s="712">
        <f>huishoudens!O8</f>
        <v>410.67935141311563</v>
      </c>
      <c r="Q11" s="713">
        <f>huishoudens!P8</f>
        <v>1485.2882623835883</v>
      </c>
      <c r="R11" s="715">
        <f>SUM(C11:Q11)</f>
        <v>165926.68322695073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5774.2072889999999</v>
      </c>
      <c r="D13" s="712">
        <f>industrie!C18</f>
        <v>0</v>
      </c>
      <c r="E13" s="712">
        <f>industrie!D18</f>
        <v>3431.2281633080001</v>
      </c>
      <c r="F13" s="712">
        <f>industrie!E18</f>
        <v>793.47493384665199</v>
      </c>
      <c r="G13" s="712">
        <f>industrie!F18</f>
        <v>2548.4588166745189</v>
      </c>
      <c r="H13" s="712">
        <f>industrie!G18</f>
        <v>0</v>
      </c>
      <c r="I13" s="712">
        <f>industrie!H18</f>
        <v>0</v>
      </c>
      <c r="J13" s="712">
        <f>industrie!I18</f>
        <v>0</v>
      </c>
      <c r="K13" s="712">
        <f>industrie!J18</f>
        <v>12.18777976925807</v>
      </c>
      <c r="L13" s="712">
        <f>industrie!K18</f>
        <v>0</v>
      </c>
      <c r="M13" s="712">
        <f>industrie!L18</f>
        <v>0</v>
      </c>
      <c r="N13" s="712">
        <f>industrie!M18</f>
        <v>0</v>
      </c>
      <c r="O13" s="712">
        <f>industrie!N18</f>
        <v>279.9054354191411</v>
      </c>
      <c r="P13" s="712">
        <f>industrie!O18</f>
        <v>0</v>
      </c>
      <c r="Q13" s="713">
        <f>industrie!P18</f>
        <v>0</v>
      </c>
      <c r="R13" s="715">
        <f>SUM(C13:Q13)</f>
        <v>12839.462418017569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61482.906887442827</v>
      </c>
      <c r="D16" s="748">
        <f t="shared" ref="D16:R16" ca="1" si="0">SUM(D9:D15)</f>
        <v>0</v>
      </c>
      <c r="E16" s="748">
        <f t="shared" ca="1" si="0"/>
        <v>100950.822998608</v>
      </c>
      <c r="F16" s="748">
        <f t="shared" si="0"/>
        <v>19588.841057949208</v>
      </c>
      <c r="G16" s="748">
        <f t="shared" ca="1" si="0"/>
        <v>4302.0092793169524</v>
      </c>
      <c r="H16" s="748">
        <f t="shared" si="0"/>
        <v>0</v>
      </c>
      <c r="I16" s="748">
        <f t="shared" si="0"/>
        <v>0</v>
      </c>
      <c r="J16" s="748">
        <f t="shared" si="0"/>
        <v>0</v>
      </c>
      <c r="K16" s="748">
        <f t="shared" si="0"/>
        <v>12.217951943798621</v>
      </c>
      <c r="L16" s="748">
        <f t="shared" si="0"/>
        <v>0</v>
      </c>
      <c r="M16" s="748">
        <f t="shared" ca="1" si="0"/>
        <v>0</v>
      </c>
      <c r="N16" s="748">
        <f t="shared" si="0"/>
        <v>0</v>
      </c>
      <c r="O16" s="748">
        <f t="shared" ca="1" si="0"/>
        <v>26863.112491636693</v>
      </c>
      <c r="P16" s="748">
        <f t="shared" si="0"/>
        <v>420.47387294479796</v>
      </c>
      <c r="Q16" s="748">
        <f t="shared" si="0"/>
        <v>1695.4448156095684</v>
      </c>
      <c r="R16" s="748">
        <f t="shared" ca="1" si="0"/>
        <v>215315.82935545186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1796.2641329557071</v>
      </c>
      <c r="I19" s="712">
        <f>transport!H54</f>
        <v>0</v>
      </c>
      <c r="J19" s="712">
        <f>transport!I54</f>
        <v>0</v>
      </c>
      <c r="K19" s="712">
        <f>transport!J54</f>
        <v>0</v>
      </c>
      <c r="L19" s="712">
        <f>transport!K54</f>
        <v>0</v>
      </c>
      <c r="M19" s="712">
        <f>transport!L54</f>
        <v>0</v>
      </c>
      <c r="N19" s="712">
        <f>transport!M54</f>
        <v>99.836559255386405</v>
      </c>
      <c r="O19" s="712">
        <f>transport!N54</f>
        <v>0</v>
      </c>
      <c r="P19" s="712">
        <f>transport!O54</f>
        <v>0</v>
      </c>
      <c r="Q19" s="713">
        <f>transport!P54</f>
        <v>0</v>
      </c>
      <c r="R19" s="715">
        <f>SUM(C19:Q19)</f>
        <v>1896.1006922110935</v>
      </c>
      <c r="S19" s="67"/>
    </row>
    <row r="20" spans="1:19" s="474" customFormat="1">
      <c r="A20" s="834" t="s">
        <v>306</v>
      </c>
      <c r="B20" s="839"/>
      <c r="C20" s="712">
        <f>transport!B14</f>
        <v>98.511956362500001</v>
      </c>
      <c r="D20" s="712">
        <f>transport!C14</f>
        <v>0</v>
      </c>
      <c r="E20" s="712">
        <f>transport!D14</f>
        <v>370.57460515040015</v>
      </c>
      <c r="F20" s="712">
        <f>transport!E14</f>
        <v>326.39681156304857</v>
      </c>
      <c r="G20" s="712">
        <f>transport!F14</f>
        <v>0</v>
      </c>
      <c r="H20" s="712">
        <f>transport!G14</f>
        <v>166017.03615254909</v>
      </c>
      <c r="I20" s="712">
        <f>transport!H14</f>
        <v>28347.177319762417</v>
      </c>
      <c r="J20" s="712">
        <f>transport!I14</f>
        <v>0</v>
      </c>
      <c r="K20" s="712">
        <f>transport!J14</f>
        <v>0</v>
      </c>
      <c r="L20" s="712">
        <f>transport!K14</f>
        <v>0</v>
      </c>
      <c r="M20" s="712">
        <f>transport!L14</f>
        <v>0</v>
      </c>
      <c r="N20" s="712">
        <f>transport!M14</f>
        <v>11435.13544027325</v>
      </c>
      <c r="O20" s="712">
        <f>transport!N14</f>
        <v>0</v>
      </c>
      <c r="P20" s="712">
        <f>transport!O14</f>
        <v>0</v>
      </c>
      <c r="Q20" s="713">
        <f>transport!P14</f>
        <v>0</v>
      </c>
      <c r="R20" s="715">
        <f>SUM(C20:Q20)</f>
        <v>206594.8322856607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98.511956362500001</v>
      </c>
      <c r="D22" s="837">
        <f t="shared" ref="D22:R22" si="1">SUM(D18:D21)</f>
        <v>0</v>
      </c>
      <c r="E22" s="837">
        <f t="shared" si="1"/>
        <v>370.57460515040015</v>
      </c>
      <c r="F22" s="837">
        <f t="shared" si="1"/>
        <v>326.39681156304857</v>
      </c>
      <c r="G22" s="837">
        <f t="shared" si="1"/>
        <v>0</v>
      </c>
      <c r="H22" s="837">
        <f t="shared" si="1"/>
        <v>167813.30028550478</v>
      </c>
      <c r="I22" s="837">
        <f t="shared" si="1"/>
        <v>28347.177319762417</v>
      </c>
      <c r="J22" s="837">
        <f t="shared" si="1"/>
        <v>0</v>
      </c>
      <c r="K22" s="837">
        <f t="shared" si="1"/>
        <v>0</v>
      </c>
      <c r="L22" s="837">
        <f t="shared" si="1"/>
        <v>0</v>
      </c>
      <c r="M22" s="837">
        <f t="shared" si="1"/>
        <v>0</v>
      </c>
      <c r="N22" s="837">
        <f t="shared" si="1"/>
        <v>11534.971999528636</v>
      </c>
      <c r="O22" s="837">
        <f t="shared" si="1"/>
        <v>0</v>
      </c>
      <c r="P22" s="837">
        <f t="shared" si="1"/>
        <v>0</v>
      </c>
      <c r="Q22" s="837">
        <f t="shared" si="1"/>
        <v>0</v>
      </c>
      <c r="R22" s="837">
        <f t="shared" si="1"/>
        <v>208490.93297787179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13925.408696999999</v>
      </c>
      <c r="D24" s="712">
        <f>+landbouw!C8</f>
        <v>83334.21428571429</v>
      </c>
      <c r="E24" s="712">
        <f>+landbouw!D8</f>
        <v>0</v>
      </c>
      <c r="F24" s="712">
        <f>+landbouw!E8</f>
        <v>434.6074134000911</v>
      </c>
      <c r="G24" s="712">
        <f>+landbouw!F8</f>
        <v>49213.936950359865</v>
      </c>
      <c r="H24" s="712">
        <f>+landbouw!G8</f>
        <v>0</v>
      </c>
      <c r="I24" s="712">
        <f>+landbouw!H8</f>
        <v>0</v>
      </c>
      <c r="J24" s="712">
        <f>+landbouw!I8</f>
        <v>0</v>
      </c>
      <c r="K24" s="712">
        <f>+landbouw!J8</f>
        <v>3836.5466678864632</v>
      </c>
      <c r="L24" s="712">
        <f>+landbouw!K8</f>
        <v>0</v>
      </c>
      <c r="M24" s="712">
        <f>+landbouw!L8</f>
        <v>0</v>
      </c>
      <c r="N24" s="712">
        <f>+landbouw!M8</f>
        <v>0</v>
      </c>
      <c r="O24" s="712">
        <f>+landbouw!N8</f>
        <v>0</v>
      </c>
      <c r="P24" s="712">
        <f>+landbouw!O8</f>
        <v>0</v>
      </c>
      <c r="Q24" s="713">
        <f>+landbouw!P8</f>
        <v>0</v>
      </c>
      <c r="R24" s="715">
        <f>SUM(C24:Q24)</f>
        <v>150744.71401436071</v>
      </c>
      <c r="S24" s="67"/>
    </row>
    <row r="25" spans="1:19" s="474" customFormat="1" ht="15" thickBot="1">
      <c r="A25" s="856" t="s">
        <v>734</v>
      </c>
      <c r="B25" s="982"/>
      <c r="C25" s="983">
        <f>IF(Onbekend_ele_kWh="---",0,Onbekend_ele_kWh)/1000+IF(REST_rest_ele_kWh="---",0,REST_rest_ele_kWh)/1000</f>
        <v>993.57692399999996</v>
      </c>
      <c r="D25" s="983"/>
      <c r="E25" s="983">
        <f>IF(onbekend_gas_kWh="---",0,onbekend_gas_kWh)/1000+IF(REST_rest_gas_kWh="---",0,REST_rest_gas_kWh)/1000</f>
        <v>1223.030092</v>
      </c>
      <c r="F25" s="983"/>
      <c r="G25" s="983"/>
      <c r="H25" s="983"/>
      <c r="I25" s="983"/>
      <c r="J25" s="983"/>
      <c r="K25" s="983"/>
      <c r="L25" s="983"/>
      <c r="M25" s="983"/>
      <c r="N25" s="983"/>
      <c r="O25" s="983"/>
      <c r="P25" s="983"/>
      <c r="Q25" s="984"/>
      <c r="R25" s="715">
        <f>SUM(C25:Q25)</f>
        <v>2216.6070159999999</v>
      </c>
      <c r="S25" s="67"/>
    </row>
    <row r="26" spans="1:19" s="474" customFormat="1" ht="15.75" thickBot="1">
      <c r="A26" s="720" t="s">
        <v>735</v>
      </c>
      <c r="B26" s="842"/>
      <c r="C26" s="837">
        <f>SUM(C24:C25)</f>
        <v>14918.985621</v>
      </c>
      <c r="D26" s="837">
        <f t="shared" ref="D26:R26" si="2">SUM(D24:D25)</f>
        <v>83334.21428571429</v>
      </c>
      <c r="E26" s="837">
        <f t="shared" si="2"/>
        <v>1223.030092</v>
      </c>
      <c r="F26" s="837">
        <f t="shared" si="2"/>
        <v>434.6074134000911</v>
      </c>
      <c r="G26" s="837">
        <f t="shared" si="2"/>
        <v>49213.936950359865</v>
      </c>
      <c r="H26" s="837">
        <f t="shared" si="2"/>
        <v>0</v>
      </c>
      <c r="I26" s="837">
        <f t="shared" si="2"/>
        <v>0</v>
      </c>
      <c r="J26" s="837">
        <f t="shared" si="2"/>
        <v>0</v>
      </c>
      <c r="K26" s="837">
        <f t="shared" si="2"/>
        <v>3836.5466678864632</v>
      </c>
      <c r="L26" s="837">
        <f t="shared" si="2"/>
        <v>0</v>
      </c>
      <c r="M26" s="837">
        <f t="shared" si="2"/>
        <v>0</v>
      </c>
      <c r="N26" s="837">
        <f t="shared" si="2"/>
        <v>0</v>
      </c>
      <c r="O26" s="837">
        <f t="shared" si="2"/>
        <v>0</v>
      </c>
      <c r="P26" s="837">
        <f t="shared" si="2"/>
        <v>0</v>
      </c>
      <c r="Q26" s="837">
        <f t="shared" si="2"/>
        <v>0</v>
      </c>
      <c r="R26" s="837">
        <f t="shared" si="2"/>
        <v>152961.3210303607</v>
      </c>
      <c r="S26" s="67"/>
    </row>
    <row r="27" spans="1:19" s="474" customFormat="1" ht="17.25" thickTop="1" thickBot="1">
      <c r="A27" s="721" t="s">
        <v>115</v>
      </c>
      <c r="B27" s="829"/>
      <c r="C27" s="722">
        <f ca="1">C22+C16+C26</f>
        <v>76500.404464805324</v>
      </c>
      <c r="D27" s="722">
        <f t="shared" ref="D27:R27" ca="1" si="3">D22+D16+D26</f>
        <v>83334.21428571429</v>
      </c>
      <c r="E27" s="722">
        <f t="shared" ca="1" si="3"/>
        <v>102544.42769575839</v>
      </c>
      <c r="F27" s="722">
        <f t="shared" si="3"/>
        <v>20349.845282912349</v>
      </c>
      <c r="G27" s="722">
        <f t="shared" ca="1" si="3"/>
        <v>53515.946229676818</v>
      </c>
      <c r="H27" s="722">
        <f t="shared" si="3"/>
        <v>167813.30028550478</v>
      </c>
      <c r="I27" s="722">
        <f t="shared" si="3"/>
        <v>28347.177319762417</v>
      </c>
      <c r="J27" s="722">
        <f t="shared" si="3"/>
        <v>0</v>
      </c>
      <c r="K27" s="722">
        <f t="shared" si="3"/>
        <v>3848.7646198302618</v>
      </c>
      <c r="L27" s="722">
        <f t="shared" si="3"/>
        <v>0</v>
      </c>
      <c r="M27" s="722">
        <f t="shared" ca="1" si="3"/>
        <v>0</v>
      </c>
      <c r="N27" s="722">
        <f t="shared" si="3"/>
        <v>11534.971999528636</v>
      </c>
      <c r="O27" s="722">
        <f t="shared" ca="1" si="3"/>
        <v>26863.112491636693</v>
      </c>
      <c r="P27" s="722">
        <f t="shared" si="3"/>
        <v>420.47387294479796</v>
      </c>
      <c r="Q27" s="722">
        <f t="shared" si="3"/>
        <v>1695.4448156095684</v>
      </c>
      <c r="R27" s="722">
        <f t="shared" ca="1" si="3"/>
        <v>576768.08336368436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2059.8619527186079</v>
      </c>
      <c r="D40" s="712">
        <f ca="1">tertiair!C20</f>
        <v>0</v>
      </c>
      <c r="E40" s="712">
        <f ca="1">tertiair!D20</f>
        <v>3370.8364832177199</v>
      </c>
      <c r="F40" s="712">
        <f>tertiair!E20</f>
        <v>51.841125186742289</v>
      </c>
      <c r="G40" s="712">
        <f ca="1">tertiair!F20</f>
        <v>468.19797352552979</v>
      </c>
      <c r="H40" s="712">
        <f>tertiair!G20</f>
        <v>0</v>
      </c>
      <c r="I40" s="712">
        <f>tertiair!H20</f>
        <v>0</v>
      </c>
      <c r="J40" s="712">
        <f>tertiair!I20</f>
        <v>0</v>
      </c>
      <c r="K40" s="712">
        <f>tertiair!J20</f>
        <v>1.0680949787355044E-2</v>
      </c>
      <c r="L40" s="712">
        <f>tertiair!K20</f>
        <v>0</v>
      </c>
      <c r="M40" s="712">
        <f ca="1">tertiair!L20</f>
        <v>0</v>
      </c>
      <c r="N40" s="712">
        <f>tertiair!M20</f>
        <v>0</v>
      </c>
      <c r="O40" s="712">
        <f ca="1">tertiair!N20</f>
        <v>0</v>
      </c>
      <c r="P40" s="712">
        <f>tertiair!O20</f>
        <v>0</v>
      </c>
      <c r="Q40" s="795">
        <f>tertiair!P20</f>
        <v>0</v>
      </c>
      <c r="R40" s="875">
        <f t="shared" ca="1" si="4"/>
        <v>5950.7482155983871</v>
      </c>
    </row>
    <row r="41" spans="1:18">
      <c r="A41" s="847" t="s">
        <v>224</v>
      </c>
      <c r="B41" s="854"/>
      <c r="C41" s="712">
        <f ca="1">huishoudens!B12</f>
        <v>4906.1106029249186</v>
      </c>
      <c r="D41" s="712">
        <f ca="1">huishoudens!C12</f>
        <v>0</v>
      </c>
      <c r="E41" s="712">
        <f>huishoudens!D12</f>
        <v>16328.121673512882</v>
      </c>
      <c r="F41" s="712">
        <f>huishoudens!E12</f>
        <v>4214.7069849845384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25448.93926142234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722.02312736977126</v>
      </c>
      <c r="D43" s="712">
        <f ca="1">industrie!C22</f>
        <v>0</v>
      </c>
      <c r="E43" s="712">
        <f>industrie!D22</f>
        <v>693.10808898821608</v>
      </c>
      <c r="F43" s="712">
        <f>industrie!E22</f>
        <v>180.11880998319</v>
      </c>
      <c r="G43" s="712">
        <f>industrie!F22</f>
        <v>680.43850405209662</v>
      </c>
      <c r="H43" s="712">
        <f>industrie!G22</f>
        <v>0</v>
      </c>
      <c r="I43" s="712">
        <f>industrie!H22</f>
        <v>0</v>
      </c>
      <c r="J43" s="712">
        <f>industrie!I22</f>
        <v>0</v>
      </c>
      <c r="K43" s="712">
        <f>industrie!J22</f>
        <v>4.3144740383173561</v>
      </c>
      <c r="L43" s="712">
        <f>industrie!K22</f>
        <v>0</v>
      </c>
      <c r="M43" s="712">
        <f>industrie!L22</f>
        <v>0</v>
      </c>
      <c r="N43" s="712">
        <f>industrie!M22</f>
        <v>0</v>
      </c>
      <c r="O43" s="712">
        <f>industrie!N22</f>
        <v>0</v>
      </c>
      <c r="P43" s="712">
        <f>industrie!O22</f>
        <v>0</v>
      </c>
      <c r="Q43" s="795">
        <f>industrie!P22</f>
        <v>0</v>
      </c>
      <c r="R43" s="874">
        <f t="shared" ca="1" si="4"/>
        <v>2280.0030044315913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7687.9956830132969</v>
      </c>
      <c r="D46" s="748">
        <f t="shared" ref="D46:Q46" ca="1" si="5">SUM(D39:D45)</f>
        <v>0</v>
      </c>
      <c r="E46" s="748">
        <f t="shared" ca="1" si="5"/>
        <v>20392.066245718819</v>
      </c>
      <c r="F46" s="748">
        <f t="shared" si="5"/>
        <v>4446.6669201544701</v>
      </c>
      <c r="G46" s="748">
        <f t="shared" ca="1" si="5"/>
        <v>1148.6364775776265</v>
      </c>
      <c r="H46" s="748">
        <f t="shared" si="5"/>
        <v>0</v>
      </c>
      <c r="I46" s="748">
        <f t="shared" si="5"/>
        <v>0</v>
      </c>
      <c r="J46" s="748">
        <f t="shared" si="5"/>
        <v>0</v>
      </c>
      <c r="K46" s="748">
        <f t="shared" si="5"/>
        <v>4.3251549881047113</v>
      </c>
      <c r="L46" s="748">
        <f t="shared" si="5"/>
        <v>0</v>
      </c>
      <c r="M46" s="748">
        <f t="shared" ca="1" si="5"/>
        <v>0</v>
      </c>
      <c r="N46" s="748">
        <f t="shared" si="5"/>
        <v>0</v>
      </c>
      <c r="O46" s="748">
        <f t="shared" ca="1" si="5"/>
        <v>0</v>
      </c>
      <c r="P46" s="748">
        <f t="shared" si="5"/>
        <v>0</v>
      </c>
      <c r="Q46" s="748">
        <f t="shared" si="5"/>
        <v>0</v>
      </c>
      <c r="R46" s="748">
        <f ca="1">SUM(R39:R45)</f>
        <v>33679.690481452322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479.6025234991738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479.6025234991738</v>
      </c>
    </row>
    <row r="50" spans="1:18">
      <c r="A50" s="850" t="s">
        <v>306</v>
      </c>
      <c r="B50" s="860"/>
      <c r="C50" s="718">
        <f ca="1">transport!B18</f>
        <v>12.318212224848079</v>
      </c>
      <c r="D50" s="718">
        <f>transport!C18</f>
        <v>0</v>
      </c>
      <c r="E50" s="718">
        <f>transport!D18</f>
        <v>74.856070240380831</v>
      </c>
      <c r="F50" s="718">
        <f>transport!E18</f>
        <v>74.092076224812033</v>
      </c>
      <c r="G50" s="718">
        <f>transport!F18</f>
        <v>0</v>
      </c>
      <c r="H50" s="718">
        <f>transport!G18</f>
        <v>44326.548652730606</v>
      </c>
      <c r="I50" s="718">
        <f>transport!H18</f>
        <v>7058.4471526208417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51546.262164041487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12.318212224848079</v>
      </c>
      <c r="D52" s="748">
        <f t="shared" ref="D52:Q52" ca="1" si="6">SUM(D48:D51)</f>
        <v>0</v>
      </c>
      <c r="E52" s="748">
        <f t="shared" si="6"/>
        <v>74.856070240380831</v>
      </c>
      <c r="F52" s="748">
        <f t="shared" si="6"/>
        <v>74.092076224812033</v>
      </c>
      <c r="G52" s="748">
        <f t="shared" si="6"/>
        <v>0</v>
      </c>
      <c r="H52" s="748">
        <f t="shared" si="6"/>
        <v>44806.151176229781</v>
      </c>
      <c r="I52" s="748">
        <f t="shared" si="6"/>
        <v>7058.4471526208417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52025.864687540663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1741.2722879665482</v>
      </c>
      <c r="D54" s="718">
        <f ca="1">+landbouw!C12</f>
        <v>19759.673949579828</v>
      </c>
      <c r="E54" s="718">
        <f>+landbouw!D12</f>
        <v>0</v>
      </c>
      <c r="F54" s="718">
        <f>+landbouw!E12</f>
        <v>98.655882841820684</v>
      </c>
      <c r="G54" s="718">
        <f>+landbouw!F12</f>
        <v>13140.121165746084</v>
      </c>
      <c r="H54" s="718">
        <f>+landbouw!G12</f>
        <v>0</v>
      </c>
      <c r="I54" s="718">
        <f>+landbouw!H12</f>
        <v>0</v>
      </c>
      <c r="J54" s="718">
        <f>+landbouw!I12</f>
        <v>0</v>
      </c>
      <c r="K54" s="718">
        <f>+landbouw!J12</f>
        <v>1358.1375204318078</v>
      </c>
      <c r="L54" s="718">
        <f>+landbouw!K12</f>
        <v>0</v>
      </c>
      <c r="M54" s="718">
        <f>+landbouw!L12</f>
        <v>0</v>
      </c>
      <c r="N54" s="718">
        <f>+landbouw!M12</f>
        <v>0</v>
      </c>
      <c r="O54" s="718">
        <f>+landbouw!N12</f>
        <v>0</v>
      </c>
      <c r="P54" s="718">
        <f>+landbouw!O12</f>
        <v>0</v>
      </c>
      <c r="Q54" s="719">
        <f>+landbouw!P12</f>
        <v>0</v>
      </c>
      <c r="R54" s="747">
        <f ca="1">SUM(C54:Q54)</f>
        <v>36097.860806566088</v>
      </c>
    </row>
    <row r="55" spans="1:18" ht="15" thickBot="1">
      <c r="A55" s="850" t="s">
        <v>734</v>
      </c>
      <c r="B55" s="860"/>
      <c r="C55" s="718">
        <f ca="1">C25*'EF ele_warmte'!B12</f>
        <v>124.23965438780725</v>
      </c>
      <c r="D55" s="718"/>
      <c r="E55" s="718">
        <f>E25*EF_CO2_aardgas</f>
        <v>247.05207858400001</v>
      </c>
      <c r="F55" s="718"/>
      <c r="G55" s="718"/>
      <c r="H55" s="718"/>
      <c r="I55" s="718"/>
      <c r="J55" s="718"/>
      <c r="K55" s="718"/>
      <c r="L55" s="718"/>
      <c r="M55" s="718"/>
      <c r="N55" s="718"/>
      <c r="O55" s="718"/>
      <c r="P55" s="718"/>
      <c r="Q55" s="719"/>
      <c r="R55" s="747">
        <f ca="1">SUM(C55:Q55)</f>
        <v>371.29173297180728</v>
      </c>
    </row>
    <row r="56" spans="1:18" ht="15.75" thickBot="1">
      <c r="A56" s="848" t="s">
        <v>735</v>
      </c>
      <c r="B56" s="861"/>
      <c r="C56" s="748">
        <f ca="1">SUM(C54:C55)</f>
        <v>1865.5119423543554</v>
      </c>
      <c r="D56" s="748">
        <f t="shared" ref="D56:Q56" ca="1" si="7">SUM(D54:D55)</f>
        <v>19759.673949579828</v>
      </c>
      <c r="E56" s="748">
        <f t="shared" si="7"/>
        <v>247.05207858400001</v>
      </c>
      <c r="F56" s="748">
        <f t="shared" si="7"/>
        <v>98.655882841820684</v>
      </c>
      <c r="G56" s="748">
        <f t="shared" si="7"/>
        <v>13140.121165746084</v>
      </c>
      <c r="H56" s="748">
        <f t="shared" si="7"/>
        <v>0</v>
      </c>
      <c r="I56" s="748">
        <f t="shared" si="7"/>
        <v>0</v>
      </c>
      <c r="J56" s="748">
        <f t="shared" si="7"/>
        <v>0</v>
      </c>
      <c r="K56" s="748">
        <f t="shared" si="7"/>
        <v>1358.1375204318078</v>
      </c>
      <c r="L56" s="748">
        <f t="shared" si="7"/>
        <v>0</v>
      </c>
      <c r="M56" s="748">
        <f t="shared" si="7"/>
        <v>0</v>
      </c>
      <c r="N56" s="748">
        <f t="shared" si="7"/>
        <v>0</v>
      </c>
      <c r="O56" s="748">
        <f t="shared" si="7"/>
        <v>0</v>
      </c>
      <c r="P56" s="748">
        <f t="shared" si="7"/>
        <v>0</v>
      </c>
      <c r="Q56" s="749">
        <f t="shared" si="7"/>
        <v>0</v>
      </c>
      <c r="R56" s="750">
        <f ca="1">SUM(R54:R55)</f>
        <v>36469.152539537892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9565.8258375924997</v>
      </c>
      <c r="D61" s="756">
        <f t="shared" ref="D61:Q61" ca="1" si="8">D46+D52+D56</f>
        <v>19759.673949579828</v>
      </c>
      <c r="E61" s="756">
        <f t="shared" ca="1" si="8"/>
        <v>20713.974394543202</v>
      </c>
      <c r="F61" s="756">
        <f t="shared" si="8"/>
        <v>4619.4148792211035</v>
      </c>
      <c r="G61" s="756">
        <f t="shared" ca="1" si="8"/>
        <v>14288.757643323712</v>
      </c>
      <c r="H61" s="756">
        <f t="shared" si="8"/>
        <v>44806.151176229781</v>
      </c>
      <c r="I61" s="756">
        <f t="shared" si="8"/>
        <v>7058.4471526208417</v>
      </c>
      <c r="J61" s="756">
        <f t="shared" si="8"/>
        <v>0</v>
      </c>
      <c r="K61" s="756">
        <f t="shared" si="8"/>
        <v>1362.4626754199126</v>
      </c>
      <c r="L61" s="756">
        <f t="shared" si="8"/>
        <v>0</v>
      </c>
      <c r="M61" s="756">
        <f t="shared" ca="1" si="8"/>
        <v>0</v>
      </c>
      <c r="N61" s="756">
        <f t="shared" si="8"/>
        <v>0</v>
      </c>
      <c r="O61" s="756">
        <f t="shared" ca="1" si="8"/>
        <v>0</v>
      </c>
      <c r="P61" s="756">
        <f t="shared" si="8"/>
        <v>0</v>
      </c>
      <c r="Q61" s="756">
        <f t="shared" si="8"/>
        <v>0</v>
      </c>
      <c r="R61" s="756">
        <f ca="1">R46+R52+R56</f>
        <v>122174.70770853088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0.12504281388464214</v>
      </c>
      <c r="D63" s="802">
        <f t="shared" ca="1" si="9"/>
        <v>0.23711358076567554</v>
      </c>
      <c r="E63" s="1008">
        <f t="shared" ca="1" si="9"/>
        <v>0.20200000000000007</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42291.864233579348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9990.4725805220878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130.94999999999999</v>
      </c>
      <c r="C76" s="769">
        <f>'lokale energieproductie'!B8*IFERROR(SUM(D76:H76)/SUM(D76:O76),0)</f>
        <v>58203.000000000007</v>
      </c>
      <c r="D76" s="991">
        <f>'lokale energieproductie'!C8</f>
        <v>68474.117647058825</v>
      </c>
      <c r="E76" s="992">
        <f>'lokale energieproductie'!D8</f>
        <v>0</v>
      </c>
      <c r="F76" s="992">
        <f>'lokale energieproductie'!E8</f>
        <v>0</v>
      </c>
      <c r="G76" s="992">
        <f>'lokale energieproductie'!F8</f>
        <v>0</v>
      </c>
      <c r="H76" s="992">
        <f>'lokale energieproductie'!G8</f>
        <v>0</v>
      </c>
      <c r="I76" s="992">
        <f>'lokale energieproductie'!I8</f>
        <v>0</v>
      </c>
      <c r="J76" s="992">
        <f>'lokale energieproductie'!J8</f>
        <v>154.05882352941174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13831.771764705883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52413.286814101433</v>
      </c>
      <c r="C78" s="774">
        <f>SUM(C72:C77)</f>
        <v>58203.000000000007</v>
      </c>
      <c r="D78" s="775">
        <f t="shared" ref="D78:H78" si="10">SUM(D76:D77)</f>
        <v>68474.117647058825</v>
      </c>
      <c r="E78" s="775">
        <f t="shared" si="10"/>
        <v>0</v>
      </c>
      <c r="F78" s="775">
        <f t="shared" si="10"/>
        <v>0</v>
      </c>
      <c r="G78" s="775">
        <f t="shared" si="10"/>
        <v>0</v>
      </c>
      <c r="H78" s="775">
        <f t="shared" si="10"/>
        <v>0</v>
      </c>
      <c r="I78" s="775">
        <f>SUM(I76:I77)</f>
        <v>0</v>
      </c>
      <c r="J78" s="775">
        <f>SUM(J76:J77)</f>
        <v>154.05882352941174</v>
      </c>
      <c r="K78" s="775">
        <f t="shared" ref="K78:L78" si="11">SUM(K76:K77)</f>
        <v>0</v>
      </c>
      <c r="L78" s="775">
        <f t="shared" si="11"/>
        <v>0</v>
      </c>
      <c r="M78" s="775">
        <f>SUM(M76:M77)</f>
        <v>0</v>
      </c>
      <c r="N78" s="775">
        <f>SUM(N76:N77)</f>
        <v>0</v>
      </c>
      <c r="O78" s="885">
        <f>SUM(O76:O77)</f>
        <v>0</v>
      </c>
      <c r="P78" s="776">
        <v>0</v>
      </c>
      <c r="Q78" s="776">
        <f>SUM(Q76:Q77)</f>
        <v>13831.771764705883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187.07142857142858</v>
      </c>
      <c r="C87" s="787">
        <f>'lokale energieproductie'!B17*IFERROR(SUM(D87:H87)/SUM(D87:O87),0)</f>
        <v>83147.142857142855</v>
      </c>
      <c r="D87" s="798">
        <f>'lokale energieproductie'!C17</f>
        <v>97820.16806722687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220.08403361344531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19759.673949579828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187.07142857142858</v>
      </c>
      <c r="C90" s="774">
        <f>SUM(C87:C89)</f>
        <v>83147.142857142855</v>
      </c>
      <c r="D90" s="774">
        <f t="shared" ref="D90:H90" si="12">SUM(D87:D89)</f>
        <v>97820.16806722687</v>
      </c>
      <c r="E90" s="774">
        <f t="shared" si="12"/>
        <v>0</v>
      </c>
      <c r="F90" s="774">
        <f t="shared" si="12"/>
        <v>0</v>
      </c>
      <c r="G90" s="774">
        <f t="shared" si="12"/>
        <v>0</v>
      </c>
      <c r="H90" s="774">
        <f t="shared" si="12"/>
        <v>0</v>
      </c>
      <c r="I90" s="774">
        <f>SUM(I87:I89)</f>
        <v>0</v>
      </c>
      <c r="J90" s="774">
        <f>SUM(J87:J89)</f>
        <v>220.08403361344531</v>
      </c>
      <c r="K90" s="774">
        <f t="shared" ref="K90:L90" si="13">SUM(K87:K89)</f>
        <v>0</v>
      </c>
      <c r="L90" s="774">
        <f t="shared" si="13"/>
        <v>0</v>
      </c>
      <c r="M90" s="774">
        <f>SUM(M87:M89)</f>
        <v>0</v>
      </c>
      <c r="N90" s="774">
        <f>SUM(N87:N89)</f>
        <v>0</v>
      </c>
      <c r="O90" s="774">
        <f>SUM(O87:O89)</f>
        <v>0</v>
      </c>
      <c r="P90" s="774">
        <v>0</v>
      </c>
      <c r="Q90" s="774">
        <f>SUM(Q87:Q89)</f>
        <v>19759.673949579828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42291.864233579348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9990.4725805220878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58333.950000000004</v>
      </c>
      <c r="C8" s="574">
        <f>B101</f>
        <v>68474.117647058825</v>
      </c>
      <c r="D8" s="575"/>
      <c r="E8" s="575">
        <f>E101</f>
        <v>0</v>
      </c>
      <c r="F8" s="576"/>
      <c r="G8" s="577"/>
      <c r="H8" s="575">
        <f>I101</f>
        <v>0</v>
      </c>
      <c r="I8" s="575">
        <f>G101+F101</f>
        <v>0</v>
      </c>
      <c r="J8" s="575">
        <f>H101+D101+C101</f>
        <v>154.05882352941174</v>
      </c>
      <c r="K8" s="575"/>
      <c r="L8" s="575"/>
      <c r="M8" s="575"/>
      <c r="N8" s="578"/>
      <c r="O8" s="579">
        <f>C8*$C$12+D8*$D$12+E8*$E$12+F8*$F$12+G8*$G$12+H8*$H$12+I8*$I$12+J8*$J$12</f>
        <v>13831.771764705883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110616.28681410145</v>
      </c>
      <c r="C10" s="589">
        <f t="shared" ref="C10:L10" si="0">SUM(C8:C9)</f>
        <v>68474.117647058825</v>
      </c>
      <c r="D10" s="589">
        <f t="shared" si="0"/>
        <v>0</v>
      </c>
      <c r="E10" s="589">
        <f t="shared" si="0"/>
        <v>0</v>
      </c>
      <c r="F10" s="589">
        <f t="shared" si="0"/>
        <v>0</v>
      </c>
      <c r="G10" s="589">
        <f t="shared" si="0"/>
        <v>0</v>
      </c>
      <c r="H10" s="589">
        <f t="shared" si="0"/>
        <v>0</v>
      </c>
      <c r="I10" s="589">
        <f t="shared" si="0"/>
        <v>0</v>
      </c>
      <c r="J10" s="589">
        <f t="shared" si="0"/>
        <v>154.05882352941174</v>
      </c>
      <c r="K10" s="589">
        <f t="shared" si="0"/>
        <v>0</v>
      </c>
      <c r="L10" s="589">
        <f t="shared" si="0"/>
        <v>0</v>
      </c>
      <c r="M10" s="1004"/>
      <c r="N10" s="1004"/>
      <c r="O10" s="590">
        <f>SUM(O4:O9)</f>
        <v>13831.771764705883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83334.21428571429</v>
      </c>
      <c r="C17" s="605">
        <f>B102</f>
        <v>97820.16806722687</v>
      </c>
      <c r="D17" s="606"/>
      <c r="E17" s="606">
        <f>E102</f>
        <v>0</v>
      </c>
      <c r="F17" s="607"/>
      <c r="G17" s="608"/>
      <c r="H17" s="605">
        <f>I102</f>
        <v>0</v>
      </c>
      <c r="I17" s="606">
        <f>G102+F102</f>
        <v>0</v>
      </c>
      <c r="J17" s="606">
        <f>H102+D102+C102</f>
        <v>220.08403361344531</v>
      </c>
      <c r="K17" s="606"/>
      <c r="L17" s="606"/>
      <c r="M17" s="606"/>
      <c r="N17" s="1005"/>
      <c r="O17" s="609">
        <f>C17*$C$22+E17*$E$22+H17*$H$22+I17*$I$22+J17*$J$22+D17*$D$22+F17*$F$22+G17*$G$22+K17*$K$22+L17*$L$22</f>
        <v>19759.673949579828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83334.21428571429</v>
      </c>
      <c r="C20" s="588">
        <f>SUM(C17:C19)</f>
        <v>97820.16806722687</v>
      </c>
      <c r="D20" s="588">
        <f t="shared" ref="D20:L20" si="1">SUM(D17:D19)</f>
        <v>0</v>
      </c>
      <c r="E20" s="588">
        <f t="shared" si="1"/>
        <v>0</v>
      </c>
      <c r="F20" s="588">
        <f t="shared" si="1"/>
        <v>0</v>
      </c>
      <c r="G20" s="588">
        <f t="shared" si="1"/>
        <v>0</v>
      </c>
      <c r="H20" s="588">
        <f t="shared" si="1"/>
        <v>0</v>
      </c>
      <c r="I20" s="588">
        <f t="shared" si="1"/>
        <v>0</v>
      </c>
      <c r="J20" s="588">
        <f t="shared" si="1"/>
        <v>220.08403361344531</v>
      </c>
      <c r="K20" s="588">
        <f t="shared" si="1"/>
        <v>0</v>
      </c>
      <c r="L20" s="588">
        <f t="shared" si="1"/>
        <v>0</v>
      </c>
      <c r="M20" s="588"/>
      <c r="N20" s="588"/>
      <c r="O20" s="614">
        <f>SUM(O17:O19)</f>
        <v>19759.673949579828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11053</v>
      </c>
      <c r="C28" s="817">
        <v>2990</v>
      </c>
      <c r="D28" s="666" t="s">
        <v>886</v>
      </c>
      <c r="E28" s="665" t="s">
        <v>887</v>
      </c>
      <c r="F28" s="665" t="s">
        <v>888</v>
      </c>
      <c r="G28" s="665" t="s">
        <v>889</v>
      </c>
      <c r="H28" s="665" t="s">
        <v>890</v>
      </c>
      <c r="I28" s="665" t="s">
        <v>887</v>
      </c>
      <c r="J28" s="816">
        <v>40259</v>
      </c>
      <c r="K28" s="816">
        <v>39255</v>
      </c>
      <c r="L28" s="665" t="s">
        <v>891</v>
      </c>
      <c r="M28" s="665">
        <v>3435</v>
      </c>
      <c r="N28" s="665">
        <v>15457.5</v>
      </c>
      <c r="O28" s="665">
        <v>22082.142857142859</v>
      </c>
      <c r="P28" s="665">
        <v>44164.285714285717</v>
      </c>
      <c r="Q28" s="665">
        <v>0</v>
      </c>
      <c r="R28" s="665">
        <v>0</v>
      </c>
      <c r="S28" s="665">
        <v>0</v>
      </c>
      <c r="T28" s="665">
        <v>0</v>
      </c>
      <c r="U28" s="665">
        <v>0</v>
      </c>
      <c r="V28" s="665">
        <v>0</v>
      </c>
      <c r="W28" s="665">
        <v>0</v>
      </c>
      <c r="X28" s="665">
        <v>10</v>
      </c>
      <c r="Y28" s="665" t="s">
        <v>111</v>
      </c>
      <c r="Z28" s="667" t="s">
        <v>111</v>
      </c>
    </row>
    <row r="29" spans="1:26" s="619" customFormat="1" ht="25.5">
      <c r="A29" s="618"/>
      <c r="B29" s="817">
        <v>11053</v>
      </c>
      <c r="C29" s="817">
        <v>2990</v>
      </c>
      <c r="D29" s="666" t="s">
        <v>892</v>
      </c>
      <c r="E29" s="665" t="s">
        <v>893</v>
      </c>
      <c r="F29" s="665" t="s">
        <v>894</v>
      </c>
      <c r="G29" s="665" t="s">
        <v>889</v>
      </c>
      <c r="H29" s="665" t="s">
        <v>890</v>
      </c>
      <c r="I29" s="665" t="s">
        <v>893</v>
      </c>
      <c r="J29" s="816">
        <v>39623</v>
      </c>
      <c r="K29" s="816">
        <v>39623</v>
      </c>
      <c r="L29" s="665" t="s">
        <v>891</v>
      </c>
      <c r="M29" s="665">
        <v>5140</v>
      </c>
      <c r="N29" s="665">
        <v>23130</v>
      </c>
      <c r="O29" s="665">
        <v>33042.857142857145</v>
      </c>
      <c r="P29" s="665">
        <v>66085.71428571429</v>
      </c>
      <c r="Q29" s="665">
        <v>0</v>
      </c>
      <c r="R29" s="665">
        <v>0</v>
      </c>
      <c r="S29" s="665">
        <v>0</v>
      </c>
      <c r="T29" s="665">
        <v>0</v>
      </c>
      <c r="U29" s="665">
        <v>0</v>
      </c>
      <c r="V29" s="665">
        <v>0</v>
      </c>
      <c r="W29" s="665">
        <v>0</v>
      </c>
      <c r="X29" s="665">
        <v>10</v>
      </c>
      <c r="Y29" s="665" t="s">
        <v>111</v>
      </c>
      <c r="Z29" s="667" t="s">
        <v>111</v>
      </c>
    </row>
    <row r="30" spans="1:26" s="619" customFormat="1" ht="25.5">
      <c r="A30" s="618"/>
      <c r="B30" s="817">
        <v>11053</v>
      </c>
      <c r="C30" s="817">
        <v>2990</v>
      </c>
      <c r="D30" s="666" t="s">
        <v>895</v>
      </c>
      <c r="E30" s="665" t="s">
        <v>896</v>
      </c>
      <c r="F30" s="665" t="s">
        <v>897</v>
      </c>
      <c r="G30" s="665" t="s">
        <v>889</v>
      </c>
      <c r="H30" s="665" t="s">
        <v>890</v>
      </c>
      <c r="I30" s="665" t="s">
        <v>896</v>
      </c>
      <c r="J30" s="816">
        <v>39798</v>
      </c>
      <c r="K30" s="816">
        <v>39798</v>
      </c>
      <c r="L30" s="665" t="s">
        <v>891</v>
      </c>
      <c r="M30" s="665">
        <v>1558</v>
      </c>
      <c r="N30" s="665">
        <v>7011</v>
      </c>
      <c r="O30" s="665">
        <v>10015.714285714286</v>
      </c>
      <c r="P30" s="665">
        <v>20031.428571428572</v>
      </c>
      <c r="Q30" s="665">
        <v>0</v>
      </c>
      <c r="R30" s="665">
        <v>0</v>
      </c>
      <c r="S30" s="665">
        <v>0</v>
      </c>
      <c r="T30" s="665">
        <v>0</v>
      </c>
      <c r="U30" s="665">
        <v>0</v>
      </c>
      <c r="V30" s="665">
        <v>0</v>
      </c>
      <c r="W30" s="665">
        <v>0</v>
      </c>
      <c r="X30" s="665">
        <v>10</v>
      </c>
      <c r="Y30" s="665" t="s">
        <v>111</v>
      </c>
      <c r="Z30" s="667" t="s">
        <v>111</v>
      </c>
    </row>
    <row r="31" spans="1:26" s="619" customFormat="1" ht="25.5">
      <c r="A31" s="618"/>
      <c r="B31" s="817">
        <v>11053</v>
      </c>
      <c r="C31" s="817">
        <v>2990</v>
      </c>
      <c r="D31" s="666" t="s">
        <v>898</v>
      </c>
      <c r="E31" s="665" t="s">
        <v>899</v>
      </c>
      <c r="F31" s="665" t="s">
        <v>900</v>
      </c>
      <c r="G31" s="665" t="s">
        <v>889</v>
      </c>
      <c r="H31" s="665" t="s">
        <v>890</v>
      </c>
      <c r="I31" s="665" t="s">
        <v>901</v>
      </c>
      <c r="J31" s="816">
        <v>39778</v>
      </c>
      <c r="K31" s="816">
        <v>39806</v>
      </c>
      <c r="L31" s="665" t="s">
        <v>891</v>
      </c>
      <c r="M31" s="665">
        <v>801</v>
      </c>
      <c r="N31" s="665">
        <v>3604.5</v>
      </c>
      <c r="O31" s="665">
        <v>5149.2857142857147</v>
      </c>
      <c r="P31" s="665">
        <v>10298.571428571429</v>
      </c>
      <c r="Q31" s="665">
        <v>0</v>
      </c>
      <c r="R31" s="665">
        <v>0</v>
      </c>
      <c r="S31" s="665">
        <v>0</v>
      </c>
      <c r="T31" s="665">
        <v>0</v>
      </c>
      <c r="U31" s="665">
        <v>0</v>
      </c>
      <c r="V31" s="665">
        <v>0</v>
      </c>
      <c r="W31" s="665">
        <v>0</v>
      </c>
      <c r="X31" s="665">
        <v>10</v>
      </c>
      <c r="Y31" s="665" t="s">
        <v>111</v>
      </c>
      <c r="Z31" s="667" t="s">
        <v>111</v>
      </c>
    </row>
    <row r="32" spans="1:26" s="619" customFormat="1" ht="25.5">
      <c r="A32" s="618"/>
      <c r="B32" s="817">
        <v>11053</v>
      </c>
      <c r="C32" s="817">
        <v>2990</v>
      </c>
      <c r="D32" s="666" t="s">
        <v>902</v>
      </c>
      <c r="E32" s="665" t="s">
        <v>903</v>
      </c>
      <c r="F32" s="665" t="s">
        <v>904</v>
      </c>
      <c r="G32" s="665" t="s">
        <v>889</v>
      </c>
      <c r="H32" s="665" t="s">
        <v>890</v>
      </c>
      <c r="I32" s="665" t="s">
        <v>903</v>
      </c>
      <c r="J32" s="816">
        <v>40941</v>
      </c>
      <c r="K32" s="816">
        <v>40941</v>
      </c>
      <c r="L32" s="665" t="s">
        <v>891</v>
      </c>
      <c r="M32" s="665">
        <v>2000</v>
      </c>
      <c r="N32" s="665">
        <v>9000</v>
      </c>
      <c r="O32" s="665">
        <v>12857.142857142857</v>
      </c>
      <c r="P32" s="665">
        <v>25714.285714285717</v>
      </c>
      <c r="Q32" s="665">
        <v>0</v>
      </c>
      <c r="R32" s="665">
        <v>0</v>
      </c>
      <c r="S32" s="665">
        <v>0</v>
      </c>
      <c r="T32" s="665">
        <v>0</v>
      </c>
      <c r="U32" s="665">
        <v>0</v>
      </c>
      <c r="V32" s="665">
        <v>0</v>
      </c>
      <c r="W32" s="665">
        <v>0</v>
      </c>
      <c r="X32" s="665">
        <v>10</v>
      </c>
      <c r="Y32" s="665" t="s">
        <v>111</v>
      </c>
      <c r="Z32" s="667" t="s">
        <v>111</v>
      </c>
    </row>
    <row r="33" spans="1:26" s="619" customFormat="1" ht="25.5">
      <c r="A33" s="618"/>
      <c r="B33" s="817">
        <v>11053</v>
      </c>
      <c r="C33" s="817">
        <v>2990</v>
      </c>
      <c r="D33" s="666" t="s">
        <v>905</v>
      </c>
      <c r="E33" s="665" t="s">
        <v>906</v>
      </c>
      <c r="F33" s="665" t="s">
        <v>907</v>
      </c>
      <c r="G33" s="665" t="s">
        <v>889</v>
      </c>
      <c r="H33" s="665" t="s">
        <v>890</v>
      </c>
      <c r="I33" s="665" t="s">
        <v>908</v>
      </c>
      <c r="J33" s="816">
        <v>41086</v>
      </c>
      <c r="K33" s="816">
        <v>41214</v>
      </c>
      <c r="L33" s="665" t="s">
        <v>891</v>
      </c>
      <c r="M33" s="665">
        <v>9.6999999999999993</v>
      </c>
      <c r="N33" s="665">
        <v>43.649999999999991</v>
      </c>
      <c r="O33" s="665">
        <v>62.357142857142847</v>
      </c>
      <c r="P33" s="665">
        <v>0</v>
      </c>
      <c r="Q33" s="665">
        <v>124.71428571428569</v>
      </c>
      <c r="R33" s="665">
        <v>0</v>
      </c>
      <c r="S33" s="665">
        <v>0</v>
      </c>
      <c r="T33" s="665">
        <v>0</v>
      </c>
      <c r="U33" s="665">
        <v>0</v>
      </c>
      <c r="V33" s="665">
        <v>0</v>
      </c>
      <c r="W33" s="665">
        <v>0</v>
      </c>
      <c r="X33" s="665">
        <v>10</v>
      </c>
      <c r="Y33" s="665" t="s">
        <v>111</v>
      </c>
      <c r="Z33" s="667" t="s">
        <v>111</v>
      </c>
    </row>
    <row r="34" spans="1:26" s="619" customFormat="1" ht="25.5">
      <c r="A34" s="618"/>
      <c r="B34" s="817">
        <v>11053</v>
      </c>
      <c r="C34" s="817">
        <v>2990</v>
      </c>
      <c r="D34" s="666" t="s">
        <v>905</v>
      </c>
      <c r="E34" s="665" t="s">
        <v>906</v>
      </c>
      <c r="F34" s="665" t="s">
        <v>909</v>
      </c>
      <c r="G34" s="665" t="s">
        <v>889</v>
      </c>
      <c r="H34" s="665" t="s">
        <v>890</v>
      </c>
      <c r="I34" s="665" t="s">
        <v>910</v>
      </c>
      <c r="J34" s="816">
        <v>41086</v>
      </c>
      <c r="K34" s="816">
        <v>41244</v>
      </c>
      <c r="L34" s="665" t="s">
        <v>891</v>
      </c>
      <c r="M34" s="665">
        <v>9.6999999999999993</v>
      </c>
      <c r="N34" s="665">
        <v>43.649999999999991</v>
      </c>
      <c r="O34" s="665">
        <v>62.357142857142847</v>
      </c>
      <c r="P34" s="665">
        <v>0</v>
      </c>
      <c r="Q34" s="665">
        <v>124.71428571428569</v>
      </c>
      <c r="R34" s="665">
        <v>0</v>
      </c>
      <c r="S34" s="665">
        <v>0</v>
      </c>
      <c r="T34" s="665">
        <v>0</v>
      </c>
      <c r="U34" s="665">
        <v>0</v>
      </c>
      <c r="V34" s="665">
        <v>0</v>
      </c>
      <c r="W34" s="665">
        <v>0</v>
      </c>
      <c r="X34" s="665">
        <v>10</v>
      </c>
      <c r="Y34" s="665" t="s">
        <v>111</v>
      </c>
      <c r="Z34" s="667" t="s">
        <v>111</v>
      </c>
    </row>
    <row r="35" spans="1:26" s="619" customFormat="1" ht="25.5">
      <c r="A35" s="618"/>
      <c r="B35" s="817">
        <v>11053</v>
      </c>
      <c r="C35" s="817">
        <v>2990</v>
      </c>
      <c r="D35" s="666" t="s">
        <v>905</v>
      </c>
      <c r="E35" s="665" t="s">
        <v>906</v>
      </c>
      <c r="F35" s="665" t="s">
        <v>911</v>
      </c>
      <c r="G35" s="665" t="s">
        <v>889</v>
      </c>
      <c r="H35" s="665" t="s">
        <v>890</v>
      </c>
      <c r="I35" s="665" t="s">
        <v>912</v>
      </c>
      <c r="J35" s="816">
        <v>41086</v>
      </c>
      <c r="K35" s="816">
        <v>41244</v>
      </c>
      <c r="L35" s="665" t="s">
        <v>891</v>
      </c>
      <c r="M35" s="665">
        <v>9.6999999999999993</v>
      </c>
      <c r="N35" s="665">
        <v>43.649999999999991</v>
      </c>
      <c r="O35" s="665">
        <v>62.357142857142847</v>
      </c>
      <c r="P35" s="665">
        <v>0</v>
      </c>
      <c r="Q35" s="665">
        <v>124.71428571428569</v>
      </c>
      <c r="R35" s="665">
        <v>0</v>
      </c>
      <c r="S35" s="665">
        <v>0</v>
      </c>
      <c r="T35" s="665">
        <v>0</v>
      </c>
      <c r="U35" s="665">
        <v>0</v>
      </c>
      <c r="V35" s="665">
        <v>0</v>
      </c>
      <c r="W35" s="665">
        <v>0</v>
      </c>
      <c r="X35" s="665">
        <v>10</v>
      </c>
      <c r="Y35" s="665" t="s">
        <v>111</v>
      </c>
      <c r="Z35" s="667" t="s">
        <v>111</v>
      </c>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12963.100000000002</v>
      </c>
      <c r="N58" s="623">
        <f>SUM(N28:N57)</f>
        <v>58333.950000000004</v>
      </c>
      <c r="O58" s="623">
        <f t="shared" ref="O58:W58" si="2">SUM(O28:O57)</f>
        <v>83334.21428571429</v>
      </c>
      <c r="P58" s="623">
        <f t="shared" si="2"/>
        <v>166294.28571428571</v>
      </c>
      <c r="Q58" s="623">
        <f t="shared" si="2"/>
        <v>374.14285714285711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12963.100000000002</v>
      </c>
      <c r="N61" s="628">
        <f t="shared" si="4"/>
        <v>58333.950000000004</v>
      </c>
      <c r="O61" s="628">
        <f t="shared" si="4"/>
        <v>83334.21428571429</v>
      </c>
      <c r="P61" s="628">
        <f t="shared" si="4"/>
        <v>166294.28571428571</v>
      </c>
      <c r="Q61" s="628">
        <f t="shared" si="4"/>
        <v>374.14285714285711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68474.117647058825</v>
      </c>
      <c r="C101" s="657">
        <f t="shared" si="9"/>
        <v>154.05882352941174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97820.16806722687</v>
      </c>
      <c r="C102" s="660">
        <f t="shared" si="10"/>
        <v>220.08403361344531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39235.44624844283</v>
      </c>
      <c r="C4" s="478">
        <f>huishoudens!C8</f>
        <v>0</v>
      </c>
      <c r="D4" s="478">
        <f>huishoudens!D8</f>
        <v>80832.285512440008</v>
      </c>
      <c r="E4" s="478">
        <f>huishoudens!E8</f>
        <v>18566.991123279902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25395.992728991278</v>
      </c>
      <c r="O4" s="478">
        <f>huishoudens!O8</f>
        <v>410.67935141311563</v>
      </c>
      <c r="P4" s="479">
        <f>huishoudens!P8</f>
        <v>1485.2882623835883</v>
      </c>
      <c r="Q4" s="480">
        <f>SUM(B4:P4)</f>
        <v>165926.68322695073</v>
      </c>
    </row>
    <row r="5" spans="1:17">
      <c r="A5" s="477" t="s">
        <v>155</v>
      </c>
      <c r="B5" s="478">
        <f ca="1">tertiair!B16</f>
        <v>15378.94435</v>
      </c>
      <c r="C5" s="478">
        <f ca="1">tertiair!C16</f>
        <v>0</v>
      </c>
      <c r="D5" s="478">
        <f ca="1">tertiair!D16</f>
        <v>16687.309322859997</v>
      </c>
      <c r="E5" s="478">
        <f>tertiair!E16</f>
        <v>228.37500082265325</v>
      </c>
      <c r="F5" s="478">
        <f ca="1">tertiair!F16</f>
        <v>1753.5504626424336</v>
      </c>
      <c r="G5" s="478">
        <f>tertiair!G16</f>
        <v>0</v>
      </c>
      <c r="H5" s="478">
        <f>tertiair!H16</f>
        <v>0</v>
      </c>
      <c r="I5" s="478">
        <f>tertiair!I16</f>
        <v>0</v>
      </c>
      <c r="J5" s="478">
        <f>tertiair!J16</f>
        <v>3.0172174540550975E-2</v>
      </c>
      <c r="K5" s="478">
        <f>tertiair!K16</f>
        <v>0</v>
      </c>
      <c r="L5" s="478">
        <f ca="1">tertiair!L16</f>
        <v>0</v>
      </c>
      <c r="M5" s="478">
        <f>tertiair!M16</f>
        <v>0</v>
      </c>
      <c r="N5" s="478">
        <f ca="1">tertiair!N16</f>
        <v>1187.2143272262779</v>
      </c>
      <c r="O5" s="478">
        <f>tertiair!O16</f>
        <v>9.7945215316823084</v>
      </c>
      <c r="P5" s="479">
        <f>tertiair!P16</f>
        <v>210.15655322598008</v>
      </c>
      <c r="Q5" s="477">
        <f t="shared" ref="Q5:Q14" ca="1" si="0">SUM(B5:P5)</f>
        <v>35455.374710483557</v>
      </c>
    </row>
    <row r="6" spans="1:17">
      <c r="A6" s="477" t="s">
        <v>193</v>
      </c>
      <c r="B6" s="478">
        <f>'openbare verlichting'!B8</f>
        <v>1094.309</v>
      </c>
      <c r="C6" s="478"/>
      <c r="D6" s="478"/>
      <c r="E6" s="478"/>
      <c r="F6" s="478"/>
      <c r="G6" s="478"/>
      <c r="H6" s="478"/>
      <c r="I6" s="478"/>
      <c r="J6" s="478"/>
      <c r="K6" s="478"/>
      <c r="L6" s="478"/>
      <c r="M6" s="478"/>
      <c r="N6" s="478"/>
      <c r="O6" s="478"/>
      <c r="P6" s="479"/>
      <c r="Q6" s="477">
        <f t="shared" si="0"/>
        <v>1094.309</v>
      </c>
    </row>
    <row r="7" spans="1:17">
      <c r="A7" s="477" t="s">
        <v>111</v>
      </c>
      <c r="B7" s="478">
        <f>landbouw!B8</f>
        <v>13925.408696999999</v>
      </c>
      <c r="C7" s="478">
        <f>landbouw!C8</f>
        <v>83334.21428571429</v>
      </c>
      <c r="D7" s="478">
        <f>landbouw!D8</f>
        <v>0</v>
      </c>
      <c r="E7" s="478">
        <f>landbouw!E8</f>
        <v>434.6074134000911</v>
      </c>
      <c r="F7" s="478">
        <f>landbouw!F8</f>
        <v>49213.936950359865</v>
      </c>
      <c r="G7" s="478">
        <f>landbouw!G8</f>
        <v>0</v>
      </c>
      <c r="H7" s="478">
        <f>landbouw!H8</f>
        <v>0</v>
      </c>
      <c r="I7" s="478">
        <f>landbouw!I8</f>
        <v>0</v>
      </c>
      <c r="J7" s="478">
        <f>landbouw!J8</f>
        <v>3836.5466678864632</v>
      </c>
      <c r="K7" s="478">
        <f>landbouw!K8</f>
        <v>0</v>
      </c>
      <c r="L7" s="478">
        <f>landbouw!L8</f>
        <v>0</v>
      </c>
      <c r="M7" s="478">
        <f>landbouw!M8</f>
        <v>0</v>
      </c>
      <c r="N7" s="478">
        <f>landbouw!N8</f>
        <v>0</v>
      </c>
      <c r="O7" s="478">
        <f>landbouw!O8</f>
        <v>0</v>
      </c>
      <c r="P7" s="479">
        <f>landbouw!P8</f>
        <v>0</v>
      </c>
      <c r="Q7" s="477">
        <f t="shared" si="0"/>
        <v>150744.71401436071</v>
      </c>
    </row>
    <row r="8" spans="1:17">
      <c r="A8" s="477" t="s">
        <v>629</v>
      </c>
      <c r="B8" s="478">
        <f>industrie!B18</f>
        <v>5774.2072889999999</v>
      </c>
      <c r="C8" s="478">
        <f>industrie!C18</f>
        <v>0</v>
      </c>
      <c r="D8" s="478">
        <f>industrie!D18</f>
        <v>3431.2281633080001</v>
      </c>
      <c r="E8" s="478">
        <f>industrie!E18</f>
        <v>793.47493384665199</v>
      </c>
      <c r="F8" s="478">
        <f>industrie!F18</f>
        <v>2548.4588166745189</v>
      </c>
      <c r="G8" s="478">
        <f>industrie!G18</f>
        <v>0</v>
      </c>
      <c r="H8" s="478">
        <f>industrie!H18</f>
        <v>0</v>
      </c>
      <c r="I8" s="478">
        <f>industrie!I18</f>
        <v>0</v>
      </c>
      <c r="J8" s="478">
        <f>industrie!J18</f>
        <v>12.18777976925807</v>
      </c>
      <c r="K8" s="478">
        <f>industrie!K18</f>
        <v>0</v>
      </c>
      <c r="L8" s="478">
        <f>industrie!L18</f>
        <v>0</v>
      </c>
      <c r="M8" s="478">
        <f>industrie!M18</f>
        <v>0</v>
      </c>
      <c r="N8" s="478">
        <f>industrie!N18</f>
        <v>279.9054354191411</v>
      </c>
      <c r="O8" s="478">
        <f>industrie!O18</f>
        <v>0</v>
      </c>
      <c r="P8" s="479">
        <f>industrie!P18</f>
        <v>0</v>
      </c>
      <c r="Q8" s="477">
        <f t="shared" si="0"/>
        <v>12839.462418017569</v>
      </c>
    </row>
    <row r="9" spans="1:17" s="483" customFormat="1">
      <c r="A9" s="481" t="s">
        <v>555</v>
      </c>
      <c r="B9" s="482">
        <f>transport!B14</f>
        <v>98.511956362500001</v>
      </c>
      <c r="C9" s="482">
        <f>transport!C14</f>
        <v>0</v>
      </c>
      <c r="D9" s="482">
        <f>transport!D14</f>
        <v>370.57460515040015</v>
      </c>
      <c r="E9" s="482">
        <f>transport!E14</f>
        <v>326.39681156304857</v>
      </c>
      <c r="F9" s="482">
        <f>transport!F14</f>
        <v>0</v>
      </c>
      <c r="G9" s="482">
        <f>transport!G14</f>
        <v>166017.03615254909</v>
      </c>
      <c r="H9" s="482">
        <f>transport!H14</f>
        <v>28347.177319762417</v>
      </c>
      <c r="I9" s="482">
        <f>transport!I14</f>
        <v>0</v>
      </c>
      <c r="J9" s="482">
        <f>transport!J14</f>
        <v>0</v>
      </c>
      <c r="K9" s="482">
        <f>transport!K14</f>
        <v>0</v>
      </c>
      <c r="L9" s="482">
        <f>transport!L14</f>
        <v>0</v>
      </c>
      <c r="M9" s="482">
        <f>transport!M14</f>
        <v>11435.13544027325</v>
      </c>
      <c r="N9" s="482">
        <f>transport!N14</f>
        <v>0</v>
      </c>
      <c r="O9" s="482">
        <f>transport!O14</f>
        <v>0</v>
      </c>
      <c r="P9" s="482">
        <f>transport!P14</f>
        <v>0</v>
      </c>
      <c r="Q9" s="481">
        <f>SUM(B9:P9)</f>
        <v>206594.8322856607</v>
      </c>
    </row>
    <row r="10" spans="1:17">
      <c r="A10" s="477" t="s">
        <v>545</v>
      </c>
      <c r="B10" s="478">
        <f>transport!B54</f>
        <v>0</v>
      </c>
      <c r="C10" s="478">
        <f>transport!C54</f>
        <v>0</v>
      </c>
      <c r="D10" s="478">
        <f>transport!D54</f>
        <v>0</v>
      </c>
      <c r="E10" s="478">
        <f>transport!E54</f>
        <v>0</v>
      </c>
      <c r="F10" s="478">
        <f>transport!F54</f>
        <v>0</v>
      </c>
      <c r="G10" s="478">
        <f>transport!G54</f>
        <v>1796.2641329557071</v>
      </c>
      <c r="H10" s="478">
        <f>transport!H54</f>
        <v>0</v>
      </c>
      <c r="I10" s="478">
        <f>transport!I54</f>
        <v>0</v>
      </c>
      <c r="J10" s="478">
        <f>transport!J54</f>
        <v>0</v>
      </c>
      <c r="K10" s="478">
        <f>transport!K54</f>
        <v>0</v>
      </c>
      <c r="L10" s="478">
        <f>transport!L54</f>
        <v>0</v>
      </c>
      <c r="M10" s="478">
        <f>transport!M54</f>
        <v>99.836559255386405</v>
      </c>
      <c r="N10" s="478">
        <f>transport!N54</f>
        <v>0</v>
      </c>
      <c r="O10" s="478">
        <f>transport!O54</f>
        <v>0</v>
      </c>
      <c r="P10" s="479">
        <f>transport!P54</f>
        <v>0</v>
      </c>
      <c r="Q10" s="477">
        <f t="shared" si="0"/>
        <v>1896.1006922110935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993.57692399999996</v>
      </c>
      <c r="C14" s="485"/>
      <c r="D14" s="485">
        <f>'SEAP template'!E25</f>
        <v>1223.030092</v>
      </c>
      <c r="E14" s="485"/>
      <c r="F14" s="485"/>
      <c r="G14" s="485"/>
      <c r="H14" s="485"/>
      <c r="I14" s="485"/>
      <c r="J14" s="485"/>
      <c r="K14" s="485"/>
      <c r="L14" s="485"/>
      <c r="M14" s="485"/>
      <c r="N14" s="485"/>
      <c r="O14" s="485"/>
      <c r="P14" s="486"/>
      <c r="Q14" s="477">
        <f t="shared" si="0"/>
        <v>2216.6070159999999</v>
      </c>
    </row>
    <row r="15" spans="1:17" s="489" customFormat="1">
      <c r="A15" s="487" t="s">
        <v>549</v>
      </c>
      <c r="B15" s="488">
        <f ca="1">SUM(B4:B14)</f>
        <v>76500.404464805324</v>
      </c>
      <c r="C15" s="488">
        <f t="shared" ref="C15:Q15" ca="1" si="1">SUM(C4:C14)</f>
        <v>83334.21428571429</v>
      </c>
      <c r="D15" s="488">
        <f t="shared" ca="1" si="1"/>
        <v>102544.42769575839</v>
      </c>
      <c r="E15" s="488">
        <f t="shared" si="1"/>
        <v>20349.845282912349</v>
      </c>
      <c r="F15" s="488">
        <f t="shared" ca="1" si="1"/>
        <v>53515.946229676811</v>
      </c>
      <c r="G15" s="488">
        <f t="shared" si="1"/>
        <v>167813.30028550478</v>
      </c>
      <c r="H15" s="488">
        <f t="shared" si="1"/>
        <v>28347.177319762417</v>
      </c>
      <c r="I15" s="488">
        <f t="shared" si="1"/>
        <v>0</v>
      </c>
      <c r="J15" s="488">
        <f t="shared" si="1"/>
        <v>3848.7646198302618</v>
      </c>
      <c r="K15" s="488">
        <f t="shared" si="1"/>
        <v>0</v>
      </c>
      <c r="L15" s="488">
        <f t="shared" ca="1" si="1"/>
        <v>0</v>
      </c>
      <c r="M15" s="488">
        <f t="shared" si="1"/>
        <v>11534.971999528636</v>
      </c>
      <c r="N15" s="488">
        <f t="shared" ca="1" si="1"/>
        <v>26863.112491636693</v>
      </c>
      <c r="O15" s="488">
        <f t="shared" si="1"/>
        <v>420.47387294479796</v>
      </c>
      <c r="P15" s="488">
        <f t="shared" si="1"/>
        <v>1695.4448156095684</v>
      </c>
      <c r="Q15" s="488">
        <f t="shared" ca="1" si="1"/>
        <v>576768.08336368424</v>
      </c>
    </row>
    <row r="17" spans="1:17">
      <c r="A17" s="490" t="s">
        <v>550</v>
      </c>
      <c r="B17" s="807">
        <f ca="1">huishoudens!B10</f>
        <v>0.12504281388464217</v>
      </c>
      <c r="C17" s="807">
        <f ca="1">huishoudens!C10</f>
        <v>0.23711358076567554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4906.1106029249186</v>
      </c>
      <c r="C22" s="478">
        <f t="shared" ref="C22:C32" ca="1" si="3">C4*$C$17</f>
        <v>0</v>
      </c>
      <c r="D22" s="478">
        <f t="shared" ref="D22:D32" si="4">D4*$D$17</f>
        <v>16328.121673512882</v>
      </c>
      <c r="E22" s="478">
        <f t="shared" ref="E22:E32" si="5">E4*$E$17</f>
        <v>4214.7069849845384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25448.93926142234</v>
      </c>
    </row>
    <row r="23" spans="1:17">
      <c r="A23" s="477" t="s">
        <v>155</v>
      </c>
      <c r="B23" s="478">
        <f t="shared" ca="1" si="2"/>
        <v>1923.0264760993191</v>
      </c>
      <c r="C23" s="478">
        <f t="shared" ca="1" si="3"/>
        <v>0</v>
      </c>
      <c r="D23" s="478">
        <f t="shared" ca="1" si="4"/>
        <v>3370.8364832177199</v>
      </c>
      <c r="E23" s="478">
        <f t="shared" si="5"/>
        <v>51.841125186742289</v>
      </c>
      <c r="F23" s="478">
        <f t="shared" ca="1" si="6"/>
        <v>468.19797352552979</v>
      </c>
      <c r="G23" s="478">
        <f t="shared" si="7"/>
        <v>0</v>
      </c>
      <c r="H23" s="478">
        <f t="shared" si="8"/>
        <v>0</v>
      </c>
      <c r="I23" s="478">
        <f t="shared" si="9"/>
        <v>0</v>
      </c>
      <c r="J23" s="478">
        <f t="shared" si="10"/>
        <v>1.0680949787355044E-2</v>
      </c>
      <c r="K23" s="478">
        <f t="shared" si="11"/>
        <v>0</v>
      </c>
      <c r="L23" s="478">
        <f t="shared" ca="1" si="12"/>
        <v>0</v>
      </c>
      <c r="M23" s="478">
        <f t="shared" si="13"/>
        <v>0</v>
      </c>
      <c r="N23" s="478">
        <f t="shared" ca="1" si="14"/>
        <v>0</v>
      </c>
      <c r="O23" s="478">
        <f t="shared" si="15"/>
        <v>0</v>
      </c>
      <c r="P23" s="479">
        <f t="shared" si="16"/>
        <v>0</v>
      </c>
      <c r="Q23" s="477">
        <f t="shared" ref="Q23:Q31" ca="1" si="17">SUM(B23:P23)</f>
        <v>5813.9127389790983</v>
      </c>
    </row>
    <row r="24" spans="1:17">
      <c r="A24" s="477" t="s">
        <v>193</v>
      </c>
      <c r="B24" s="478">
        <f t="shared" ca="1" si="2"/>
        <v>136.83547661928887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136.83547661928887</v>
      </c>
    </row>
    <row r="25" spans="1:17">
      <c r="A25" s="477" t="s">
        <v>111</v>
      </c>
      <c r="B25" s="478">
        <f t="shared" ca="1" si="2"/>
        <v>1741.2722879665482</v>
      </c>
      <c r="C25" s="478">
        <f t="shared" ca="1" si="3"/>
        <v>19759.673949579828</v>
      </c>
      <c r="D25" s="478">
        <f t="shared" si="4"/>
        <v>0</v>
      </c>
      <c r="E25" s="478">
        <f t="shared" si="5"/>
        <v>98.655882841820684</v>
      </c>
      <c r="F25" s="478">
        <f t="shared" si="6"/>
        <v>13140.121165746084</v>
      </c>
      <c r="G25" s="478">
        <f t="shared" si="7"/>
        <v>0</v>
      </c>
      <c r="H25" s="478">
        <f t="shared" si="8"/>
        <v>0</v>
      </c>
      <c r="I25" s="478">
        <f t="shared" si="9"/>
        <v>0</v>
      </c>
      <c r="J25" s="478">
        <f t="shared" si="10"/>
        <v>1358.1375204318078</v>
      </c>
      <c r="K25" s="478">
        <f t="shared" si="11"/>
        <v>0</v>
      </c>
      <c r="L25" s="478">
        <f t="shared" si="12"/>
        <v>0</v>
      </c>
      <c r="M25" s="478">
        <f t="shared" si="13"/>
        <v>0</v>
      </c>
      <c r="N25" s="478">
        <f t="shared" si="14"/>
        <v>0</v>
      </c>
      <c r="O25" s="478">
        <f t="shared" si="15"/>
        <v>0</v>
      </c>
      <c r="P25" s="479">
        <f t="shared" si="16"/>
        <v>0</v>
      </c>
      <c r="Q25" s="477">
        <f t="shared" ca="1" si="17"/>
        <v>36097.860806566088</v>
      </c>
    </row>
    <row r="26" spans="1:17">
      <c r="A26" s="477" t="s">
        <v>629</v>
      </c>
      <c r="B26" s="478">
        <f t="shared" ca="1" si="2"/>
        <v>722.02312736977126</v>
      </c>
      <c r="C26" s="478">
        <f t="shared" ca="1" si="3"/>
        <v>0</v>
      </c>
      <c r="D26" s="478">
        <f t="shared" si="4"/>
        <v>693.10808898821608</v>
      </c>
      <c r="E26" s="478">
        <f t="shared" si="5"/>
        <v>180.11880998319</v>
      </c>
      <c r="F26" s="478">
        <f t="shared" si="6"/>
        <v>680.43850405209662</v>
      </c>
      <c r="G26" s="478">
        <f t="shared" si="7"/>
        <v>0</v>
      </c>
      <c r="H26" s="478">
        <f t="shared" si="8"/>
        <v>0</v>
      </c>
      <c r="I26" s="478">
        <f t="shared" si="9"/>
        <v>0</v>
      </c>
      <c r="J26" s="478">
        <f t="shared" si="10"/>
        <v>4.3144740383173561</v>
      </c>
      <c r="K26" s="478">
        <f t="shared" si="11"/>
        <v>0</v>
      </c>
      <c r="L26" s="478">
        <f t="shared" si="12"/>
        <v>0</v>
      </c>
      <c r="M26" s="478">
        <f t="shared" si="13"/>
        <v>0</v>
      </c>
      <c r="N26" s="478">
        <f t="shared" si="14"/>
        <v>0</v>
      </c>
      <c r="O26" s="478">
        <f t="shared" si="15"/>
        <v>0</v>
      </c>
      <c r="P26" s="479">
        <f t="shared" si="16"/>
        <v>0</v>
      </c>
      <c r="Q26" s="477">
        <f t="shared" ca="1" si="17"/>
        <v>2280.0030044315913</v>
      </c>
    </row>
    <row r="27" spans="1:17" s="483" customFormat="1">
      <c r="A27" s="481" t="s">
        <v>555</v>
      </c>
      <c r="B27" s="801">
        <f t="shared" ca="1" si="2"/>
        <v>12.318212224848079</v>
      </c>
      <c r="C27" s="482">
        <f t="shared" ca="1" si="3"/>
        <v>0</v>
      </c>
      <c r="D27" s="482">
        <f t="shared" si="4"/>
        <v>74.856070240380831</v>
      </c>
      <c r="E27" s="482">
        <f t="shared" si="5"/>
        <v>74.092076224812033</v>
      </c>
      <c r="F27" s="482">
        <f t="shared" si="6"/>
        <v>0</v>
      </c>
      <c r="G27" s="482">
        <f t="shared" si="7"/>
        <v>44326.548652730606</v>
      </c>
      <c r="H27" s="482">
        <f t="shared" si="8"/>
        <v>7058.4471526208417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51546.262164041487</v>
      </c>
    </row>
    <row r="28" spans="1:17" ht="16.5" customHeight="1">
      <c r="A28" s="477" t="s">
        <v>545</v>
      </c>
      <c r="B28" s="478">
        <f t="shared" ca="1" si="2"/>
        <v>0</v>
      </c>
      <c r="C28" s="478">
        <f t="shared" ca="1" si="3"/>
        <v>0</v>
      </c>
      <c r="D28" s="478">
        <f t="shared" si="4"/>
        <v>0</v>
      </c>
      <c r="E28" s="478">
        <f t="shared" si="5"/>
        <v>0</v>
      </c>
      <c r="F28" s="478">
        <f t="shared" si="6"/>
        <v>0</v>
      </c>
      <c r="G28" s="478">
        <f t="shared" si="7"/>
        <v>479.6025234991738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479.6025234991738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124.23965438780725</v>
      </c>
      <c r="C32" s="478">
        <f t="shared" ca="1" si="3"/>
        <v>0</v>
      </c>
      <c r="D32" s="478">
        <f t="shared" si="4"/>
        <v>247.05207858400001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371.29173297180728</v>
      </c>
    </row>
    <row r="33" spans="1:17" s="489" customFormat="1">
      <c r="A33" s="487" t="s">
        <v>549</v>
      </c>
      <c r="B33" s="488">
        <f ca="1">SUM(B22:B32)</f>
        <v>9565.8258375925016</v>
      </c>
      <c r="C33" s="488">
        <f t="shared" ref="C33:Q33" ca="1" si="19">SUM(C22:C32)</f>
        <v>19759.673949579828</v>
      </c>
      <c r="D33" s="488">
        <f t="shared" ca="1" si="19"/>
        <v>20713.974394543202</v>
      </c>
      <c r="E33" s="488">
        <f t="shared" si="19"/>
        <v>4619.4148792211035</v>
      </c>
      <c r="F33" s="488">
        <f t="shared" ca="1" si="19"/>
        <v>14288.757643323712</v>
      </c>
      <c r="G33" s="488">
        <f t="shared" si="19"/>
        <v>44806.151176229781</v>
      </c>
      <c r="H33" s="488">
        <f t="shared" si="19"/>
        <v>7058.4471526208417</v>
      </c>
      <c r="I33" s="488">
        <f t="shared" si="19"/>
        <v>0</v>
      </c>
      <c r="J33" s="488">
        <f t="shared" si="19"/>
        <v>1362.4626754199126</v>
      </c>
      <c r="K33" s="488">
        <f t="shared" si="19"/>
        <v>0</v>
      </c>
      <c r="L33" s="488">
        <f t="shared" ca="1" si="19"/>
        <v>0</v>
      </c>
      <c r="M33" s="488">
        <f t="shared" si="19"/>
        <v>0</v>
      </c>
      <c r="N33" s="488">
        <f t="shared" ca="1" si="19"/>
        <v>0</v>
      </c>
      <c r="O33" s="488">
        <f t="shared" si="19"/>
        <v>0</v>
      </c>
      <c r="P33" s="488">
        <f t="shared" si="19"/>
        <v>0</v>
      </c>
      <c r="Q33" s="488">
        <f t="shared" ca="1" si="19"/>
        <v>122174.70770853087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42291.864233579348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9990.4725805220878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130.94999999999999</v>
      </c>
      <c r="C8" s="1062">
        <f>'SEAP template'!C76</f>
        <v>58203.000000000007</v>
      </c>
      <c r="D8" s="1062">
        <f>'SEAP template'!D76</f>
        <v>68474.117647058825</v>
      </c>
      <c r="E8" s="1062">
        <f>'SEAP template'!E76</f>
        <v>0</v>
      </c>
      <c r="F8" s="1062">
        <f>'SEAP template'!F76</f>
        <v>0</v>
      </c>
      <c r="G8" s="1062">
        <f>'SEAP template'!G76</f>
        <v>0</v>
      </c>
      <c r="H8" s="1062">
        <f>'SEAP template'!H76</f>
        <v>0</v>
      </c>
      <c r="I8" s="1062">
        <f>'SEAP template'!I76</f>
        <v>0</v>
      </c>
      <c r="J8" s="1062">
        <f>'SEAP template'!J76</f>
        <v>154.05882352941174</v>
      </c>
      <c r="K8" s="1062">
        <f>'SEAP template'!K76</f>
        <v>0</v>
      </c>
      <c r="L8" s="1062">
        <f>'SEAP template'!L76</f>
        <v>0</v>
      </c>
      <c r="M8" s="1062">
        <f>'SEAP template'!M76</f>
        <v>0</v>
      </c>
      <c r="N8" s="1062">
        <f>'SEAP template'!N76</f>
        <v>0</v>
      </c>
      <c r="O8" s="1062">
        <f>'SEAP template'!O76</f>
        <v>0</v>
      </c>
      <c r="P8" s="1063">
        <f>'SEAP template'!Q76</f>
        <v>13831.771764705883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52413.286814101433</v>
      </c>
      <c r="C10" s="1064">
        <f>SUM(C4:C9)</f>
        <v>58203.000000000007</v>
      </c>
      <c r="D10" s="1064">
        <f t="shared" ref="D10:H10" si="0">SUM(D8:D9)</f>
        <v>68474.117647058825</v>
      </c>
      <c r="E10" s="1064">
        <f t="shared" si="0"/>
        <v>0</v>
      </c>
      <c r="F10" s="1064">
        <f t="shared" si="0"/>
        <v>0</v>
      </c>
      <c r="G10" s="1064">
        <f t="shared" si="0"/>
        <v>0</v>
      </c>
      <c r="H10" s="1064">
        <f t="shared" si="0"/>
        <v>0</v>
      </c>
      <c r="I10" s="1064">
        <f>SUM(I8:I9)</f>
        <v>0</v>
      </c>
      <c r="J10" s="1064">
        <f>SUM(J8:J9)</f>
        <v>154.05882352941174</v>
      </c>
      <c r="K10" s="1064">
        <f t="shared" ref="K10:L10" si="1">SUM(K8:K9)</f>
        <v>0</v>
      </c>
      <c r="L10" s="1064">
        <f t="shared" si="1"/>
        <v>0</v>
      </c>
      <c r="M10" s="1064">
        <f>SUM(M8:M9)</f>
        <v>0</v>
      </c>
      <c r="N10" s="1064">
        <f>SUM(N8:N9)</f>
        <v>0</v>
      </c>
      <c r="O10" s="1064">
        <f>SUM(O8:O9)</f>
        <v>0</v>
      </c>
      <c r="P10" s="1064">
        <f>SUM(P8:P9)</f>
        <v>13831.771764705883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0.12504281388464217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187.07142857142858</v>
      </c>
      <c r="C17" s="1065">
        <f>'SEAP template'!C87</f>
        <v>83147.142857142855</v>
      </c>
      <c r="D17" s="1063">
        <f>'SEAP template'!D87</f>
        <v>97820.16806722687</v>
      </c>
      <c r="E17" s="1063">
        <f>'SEAP template'!E87</f>
        <v>0</v>
      </c>
      <c r="F17" s="1063">
        <f>'SEAP template'!F87</f>
        <v>0</v>
      </c>
      <c r="G17" s="1063">
        <f>'SEAP template'!G87</f>
        <v>0</v>
      </c>
      <c r="H17" s="1063">
        <f>'SEAP template'!H87</f>
        <v>0</v>
      </c>
      <c r="I17" s="1063">
        <f>'SEAP template'!I87</f>
        <v>0</v>
      </c>
      <c r="J17" s="1063">
        <f>'SEAP template'!J87</f>
        <v>220.08403361344531</v>
      </c>
      <c r="K17" s="1063">
        <f>'SEAP template'!K87</f>
        <v>0</v>
      </c>
      <c r="L17" s="1063">
        <f>'SEAP template'!L87</f>
        <v>0</v>
      </c>
      <c r="M17" s="1063">
        <f>'SEAP template'!M87</f>
        <v>0</v>
      </c>
      <c r="N17" s="1063">
        <f>'SEAP template'!N87</f>
        <v>0</v>
      </c>
      <c r="O17" s="1063">
        <f>'SEAP template'!O87</f>
        <v>0</v>
      </c>
      <c r="P17" s="1063">
        <f>'SEAP template'!Q87</f>
        <v>19759.673949579828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187.07142857142858</v>
      </c>
      <c r="C20" s="1064">
        <f>SUM(C17:C19)</f>
        <v>83147.142857142855</v>
      </c>
      <c r="D20" s="1064">
        <f t="shared" ref="D20:H20" si="2">SUM(D17:D19)</f>
        <v>97820.16806722687</v>
      </c>
      <c r="E20" s="1064">
        <f t="shared" si="2"/>
        <v>0</v>
      </c>
      <c r="F20" s="1064">
        <f t="shared" si="2"/>
        <v>0</v>
      </c>
      <c r="G20" s="1064">
        <f t="shared" si="2"/>
        <v>0</v>
      </c>
      <c r="H20" s="1064">
        <f t="shared" si="2"/>
        <v>0</v>
      </c>
      <c r="I20" s="1064">
        <f>SUM(I17:I19)</f>
        <v>0</v>
      </c>
      <c r="J20" s="1064">
        <f>SUM(J17:J19)</f>
        <v>220.08403361344531</v>
      </c>
      <c r="K20" s="1064">
        <f t="shared" ref="K20:L20" si="3">SUM(K17:K19)</f>
        <v>0</v>
      </c>
      <c r="L20" s="1064">
        <f t="shared" si="3"/>
        <v>0</v>
      </c>
      <c r="M20" s="1064">
        <f>SUM(M17:M19)</f>
        <v>0</v>
      </c>
      <c r="N20" s="1064">
        <f>SUM(N17:N19)</f>
        <v>0</v>
      </c>
      <c r="O20" s="1064">
        <f>SUM(O17:O19)</f>
        <v>0</v>
      </c>
      <c r="P20" s="1064">
        <f>SUM(P17:P19)</f>
        <v>19759.673949579828</v>
      </c>
    </row>
    <row r="21" spans="1:16">
      <c r="B21" s="913"/>
    </row>
    <row r="22" spans="1:16">
      <c r="A22" s="490" t="s">
        <v>814</v>
      </c>
      <c r="B22" s="807" t="s">
        <v>812</v>
      </c>
      <c r="C22" s="807">
        <f ca="1">'EF ele_warmte'!B22</f>
        <v>0.23711358076567554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0.12504281388464217</v>
      </c>
      <c r="C17" s="527">
        <f ca="1">'EF ele_warmte'!B22</f>
        <v>0.23711358076567554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3</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4.6900000000000004</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2019-08-12T08:37:53Z</dcterms:modified>
</cp:coreProperties>
</file>