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L20"/>
  <c r="K1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G20"/>
  <c r="C13" i="15"/>
  <c r="C16" s="1"/>
  <c r="L6" i="17"/>
  <c r="L5" s="1"/>
  <c r="E20" i="59"/>
  <c r="B13" i="15"/>
  <c r="F6" i="17"/>
  <c r="D16" i="16"/>
  <c r="J15"/>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E78" i="14"/>
  <c r="E9" i="59"/>
  <c r="E10" s="1"/>
  <c r="O78" i="14"/>
  <c r="O9" i="59"/>
  <c r="O10" s="1"/>
  <c r="G78" i="14"/>
  <c r="G9" i="59"/>
  <c r="G10" s="1"/>
  <c r="H90" i="14"/>
  <c r="H18" i="59"/>
  <c r="H20" s="1"/>
  <c r="H78" i="14"/>
  <c r="H9" i="59"/>
  <c r="H10" s="1"/>
  <c r="N78" i="14"/>
  <c r="N9" i="59"/>
  <c r="N10" s="1"/>
  <c r="I15" i="48"/>
  <c r="I33"/>
  <c r="J16" i="14"/>
  <c r="J27" s="1"/>
  <c r="I20" i="15"/>
  <c r="J40" i="14" s="1"/>
  <c r="K15" i="48"/>
  <c r="J7"/>
  <c r="J25" s="1"/>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16"/>
  <c r="E27" s="1"/>
  <c r="C10" i="18"/>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B22" i="6"/>
  <c r="C56" i="22" s="1"/>
  <c r="C58" s="1"/>
  <c r="D49" i="14" s="1"/>
  <c r="D52" s="1"/>
  <c r="Q5" i="48"/>
  <c r="G33"/>
  <c r="Q9"/>
  <c r="H15"/>
  <c r="F22" i="16"/>
  <c r="G43" i="14" s="1"/>
  <c r="G46" s="1"/>
  <c r="G61" s="1"/>
  <c r="G63" s="1"/>
  <c r="Q78" s="1"/>
  <c r="B9" i="6" s="1"/>
  <c r="F8" i="48"/>
  <c r="F15" s="1"/>
  <c r="O13" i="14"/>
  <c r="O16" s="1"/>
  <c r="O27" s="1"/>
  <c r="C20" i="16"/>
  <c r="C22" s="1"/>
  <c r="D43" i="14" s="1"/>
  <c r="C10" i="17"/>
  <c r="C12" s="1"/>
  <c r="D54" i="14" s="1"/>
  <c r="D56" s="1"/>
  <c r="C87"/>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17" i="49"/>
  <c r="C10" i="13"/>
  <c r="C12" s="1"/>
  <c r="D41" i="14" s="1"/>
  <c r="D46" s="1"/>
  <c r="D61" s="1"/>
  <c r="D63" s="1"/>
  <c r="C18" i="15"/>
  <c r="C20" s="1"/>
  <c r="D40" i="14" s="1"/>
  <c r="F26" i="48"/>
  <c r="F33" s="1"/>
  <c r="C29" i="20"/>
  <c r="C22" i="59"/>
  <c r="C17" i="19"/>
  <c r="C19" s="1"/>
  <c r="D39" i="14" s="1"/>
  <c r="C16" i="22"/>
  <c r="J26" i="48"/>
  <c r="J33" s="1"/>
  <c r="J15"/>
  <c r="E15"/>
  <c r="O46" i="14"/>
  <c r="O61" s="1"/>
  <c r="O63" s="1"/>
  <c r="K46"/>
  <c r="K61" s="1"/>
  <c r="K63" s="1"/>
  <c r="F16"/>
  <c r="R13"/>
  <c r="R16" s="1"/>
  <c r="R27" s="1"/>
  <c r="Q8" i="48"/>
  <c r="Q15" s="1"/>
  <c r="C17" l="1"/>
  <c r="C24" s="1"/>
  <c r="C27"/>
  <c r="C29"/>
  <c r="C32"/>
  <c r="C25"/>
  <c r="C31"/>
  <c r="C26"/>
  <c r="F27" i="14"/>
  <c r="F63" s="1"/>
  <c r="C78"/>
  <c r="B78"/>
  <c r="B12" i="6" l="1"/>
  <c r="B10" i="17" s="1"/>
  <c r="B12" s="1"/>
  <c r="B4" i="6"/>
  <c r="C22" i="48"/>
  <c r="C28"/>
  <c r="C23"/>
  <c r="C33" s="1"/>
  <c r="C30"/>
  <c r="C12" i="59"/>
  <c r="C55" i="14"/>
  <c r="R55" s="1"/>
  <c r="B16" i="22"/>
  <c r="B18" s="1"/>
  <c r="B18" i="15"/>
  <c r="B20" s="1"/>
  <c r="B20" i="16"/>
  <c r="B22" s="1"/>
  <c r="B17" i="19"/>
  <c r="B19" s="1"/>
  <c r="B29" i="20"/>
  <c r="B31" s="1"/>
  <c r="B10" i="9"/>
  <c r="B12" s="1"/>
  <c r="B10" i="13" l="1"/>
  <c r="B56" i="22"/>
  <c r="B58" s="1"/>
  <c r="B17" i="49"/>
  <c r="B19"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<sst xmlns="http://schemas.openxmlformats.org/spreadsheetml/2006/main" count="2454" uniqueCount="913">
  <si>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</si>
  <si>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</si>
  <si>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</si>
  <si>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</si>
  <si>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</si>
  <si>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</si>
  <si>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</si>
  <si>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</si>
  <si>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</si>
  <si>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</si>
  <si>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</si>
  <si>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</si>
  <si>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</si>
  <si>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</si>
  <si>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</si>
  <si>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</si>
  <si>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</si>
  <si>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</si>
  <si>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</si>
  <si>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</si>
  <si>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</si>
  <si>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</si>
  <si>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</si>
  <si>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</si>
  <si>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</si>
  <si>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</si>
  <si>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</si>
  <si>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</si>
  <si>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</si>
  <si>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</si>
  <si>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</si>
  <si>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</si>
  <si>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</si>
  <si>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</si>
  <si>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</si>
  <si>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</si>
  <si>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</si>
  <si>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</si>
  <si>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</si>
  <si>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</si>
  <si>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</si>
  <si>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</si>
  <si>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</si>
  <si>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</si>
  <si>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</si>
  <si>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</si>
  <si>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</si>
  <si>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</si>
  <si>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</si>
  <si>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</si>
  <si>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</si>
  <si>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</si>
  <si>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</si>
  <si>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</si>
  <si>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</si>
  <si>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</si>
  <si>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</si>
  <si>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</si>
  <si>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</si>
  <si>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</si>
  <si>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</si>
  <si>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</si>
  <si>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</si>
  <si>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</si>
  <si>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</si>
  <si>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</si>
  <si>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</si>
  <si>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</si>
  <si>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</si>
  <si>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</si>
  <si>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</si>
  <si>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</si>
  <si>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</si>
  <si>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</si>
  <si>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</si>
  <si>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</si>
  <si>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</si>
  <si>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</si>
  <si>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</si>
  <si>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</si>
  <si>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</si>
  <si>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</si>
  <si>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</si>
  <si>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</si>
  <si>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</si>
  <si>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</si>
  <si>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</si>
  <si>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</si>
  <si>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</si>
  <si>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</si>
  <si>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</si>
  <si>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</si>
  <si>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</si>
  <si>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</si>
  <si>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</si>
  <si>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</si>
  <si>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</si>
  <si>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</si>
  <si>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</si>
  <si>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</si>
  <si>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</si>
  <si>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</si>
  <si>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</si>
  <si>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</si>
  <si>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</si>
  <si>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</si>
  <si>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</si>
  <si>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</si>
  <si>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</si>
  <si>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</si>
  <si>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</si>
  <si>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</si>
  <si>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</si>
  <si>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</si>
  <si>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</si>
  <si>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</si>
  <si>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</si>
  <si>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</si>
  <si>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</si>
  <si>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</si>
  <si>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</si>
  <si>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</si>
  <si>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</si>
  <si>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</si>
  <si>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</si>
  <si>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</si>
  <si>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</si>
  <si>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</si>
  <si>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</si>
  <si>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</si>
  <si>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</si>
  <si>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</si>
  <si>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</si>
  <si>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</si>
  <si>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</si>
  <si>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</si>
  <si>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</si>
  <si>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</si>
  <si>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</si>
  <si>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</si>
  <si>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</si>
  <si>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</si>
  <si>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</si>
  <si>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</si>
  <si>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</si>
  <si>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</si>
  <si>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</si>
  <si>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</si>
  <si>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</si>
  <si>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</si>
  <si>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</si>
  <si>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</si>
  <si>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</si>
  <si>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</si>
  <si>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</si>
  <si>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</si>
  <si>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</si>
  <si>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</si>
  <si>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</si>
  <si>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</si>
  <si>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</si>
  <si>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</si>
  <si>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</si>
  <si>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</si>
  <si>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</si>
  <si>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</si>
  <si>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</si>
  <si>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</si>
  <si>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</si>
  <si>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</si>
  <si>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</si>
  <si>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</si>
  <si>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</si>
  <si>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</si>
  <si>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</si>
  <si>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</si>
  <si>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</si>
  <si>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</si>
  <si>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</si>
  <si>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</si>
  <si>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</si>
  <si>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</si>
  <si>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</si>
  <si>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</si>
  <si>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</si>
  <si>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</si>
  <si>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</si>
  <si>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</si>
  <si>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</si>
  <si>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</si>
  <si>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</si>
  <si>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</si>
  <si>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</si>
  <si>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</si>
  <si>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</si>
  <si>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</si>
  <si>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</si>
  <si>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</si>
  <si>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</si>
  <si>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</si>
  <si>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</si>
  <si>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</si>
  <si>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</si>
  <si>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</si>
  <si>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</si>
  <si>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</si>
  <si>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</si>
  <si>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</si>
  <si>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</si>
  <si>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</si>
  <si>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</si>
  <si>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</si>
  <si>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</si>
  <si>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</si>
  <si>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</si>
  <si>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</si>
  <si>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</si>
  <si>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</si>
  <si>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</si>
  <si>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</si>
  <si>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</si>
  <si>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</si>
  <si>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</si>
  <si>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</si>
  <si>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</si>
  <si>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</si>
  <si>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</si>
  <si>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</si>
  <si>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</si>
  <si>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</si>
  <si>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</si>
  <si>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</si>
  <si>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</si>
  <si>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</si>
  <si>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</si>
  <si>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</si>
  <si>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</si>
  <si>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</si>
  <si>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</si>
  <si>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</si>
  <si>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</si>
  <si>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</si>
  <si>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</si>
  <si>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</si>
  <si>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</si>
  <si>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</si>
  <si>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</si>
  <si>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</si>
  <si>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</si>
  <si>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</si>
  <si>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</si>
  <si>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</si>
  <si>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</si>
  <si>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</si>
  <si>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</si>
  <si>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</si>
  <si>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</si>
  <si>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</si>
  <si>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</si>
  <si>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</si>
  <si>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</si>
  <si>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</si>
  <si>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</si>
  <si>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</si>
  <si>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</si>
  <si>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</si>
  <si>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</si>
  <si>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</si>
  <si>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</si>
  <si>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</si>
  <si>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</si>
  <si>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</si>
  <si>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</si>
  <si>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</si>
  <si>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</si>
  <si>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</si>
  <si>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</si>
  <si>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</si>
  <si>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</si>
  <si>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</si>
  <si>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</si>
  <si>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</si>
  <si>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</si>
  <si>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</si>
  <si>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</si>
  <si>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</si>
  <si>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</si>
  <si>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</si>
  <si>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</si>
  <si>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</si>
  <si>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</si>
  <si>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</si>
  <si>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</si>
  <si>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</si>
  <si>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</si>
  <si>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</si>
  <si>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</si>
  <si>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</si>
  <si>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</si>
  <si>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</si>
  <si>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</si>
  <si>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</si>
  <si>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</si>
  <si>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</si>
  <si>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</si>
  <si>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</si>
  <si>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</si>
  <si>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</si>
  <si>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</si>
  <si>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</si>
  <si>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</si>
  <si>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</si>
  <si>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</si>
  <si>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</si>
  <si>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</si>
  <si>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</si>
  <si>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</si>
  <si>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</si>
  <si>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</si>
  <si>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</si>
  <si>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</si>
  <si>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</si>
  <si>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</si>
  <si>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</si>
  <si>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</si>
  <si>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</si>
  <si>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</si>
  <si>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</si>
  <si>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</si>
  <si>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</si>
  <si>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</si>
  <si>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</si>
  <si>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</si>
  <si>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</si>
  <si>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</si>
  <si>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</si>
  <si>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</si>
  <si>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</si>
  <si>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</si>
  <si>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</si>
  <si>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</si>
  <si>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</si>
  <si>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</si>
  <si>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</si>
  <si>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</si>
  <si>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</si>
  <si>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</si>
  <si>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</si>
  <si>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</si>
  <si>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</si>
  <si>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</si>
  <si>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</si>
  <si>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</si>
  <si>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</si>
  <si>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</si>
  <si>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</si>
  <si>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</si>
  <si>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</si>
  <si>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</si>
  <si>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</si>
  <si>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</si>
  <si>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</si>
  <si>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</si>
  <si>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</si>
  <si>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</si>
  <si>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</si>
  <si>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</si>
  <si>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</si>
  <si>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</si>
  <si>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</si>
  <si>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</si>
  <si>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</si>
  <si>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</si>
  <si>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</si>
  <si>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</si>
  <si>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</si>
  <si>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</si>
  <si>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</si>
  <si>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</si>
  <si>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</si>
  <si>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</si>
  <si>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</si>
  <si>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</si>
  <si>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</si>
  <si>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</si>
  <si>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</si>
  <si>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</si>
  <si>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</si>
  <si>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</si>
  <si>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</si>
  <si>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</si>
  <si>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</si>
  <si>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</si>
  <si>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</si>
  <si>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</si>
  <si>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</si>
  <si>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</si>
  <si>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</si>
  <si>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</si>
  <si>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</si>
  <si>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</si>
  <si>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</si>
  <si>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</si>
  <si>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</si>
  <si>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</si>
  <si>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</si>
  <si>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</si>
  <si>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</si>
  <si>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</si>
  <si>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</si>
  <si>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</si>
  <si>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</si>
  <si>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</si>
  <si>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</si>
  <si>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</si>
  <si>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</si>
  <si>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</si>
  <si>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</si>
  <si>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</si>
  <si>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</si>
  <si>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</si>
  <si>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</si>
  <si>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</si>
  <si>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</si>
  <si>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</si>
  <si>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</si>
  <si>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</si>
  <si>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</si>
  <si>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</si>
  <si>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</si>
  <si>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</si>
  <si>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</si>
  <si>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</si>
  <si>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</si>
  <si>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</si>
  <si>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</si>
  <si>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</si>
  <si>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</si>
  <si>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</si>
  <si>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</si>
  <si>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</si>
  <si>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</si>
  <si>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</si>
  <si>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</si>
  <si>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</si>
  <si>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</si>
  <si>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</si>
  <si>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</si>
  <si>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</si>
  <si>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</si>
  <si>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</si>
  <si>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</si>
  <si>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</si>
  <si>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</si>
  <si>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</si>
  <si>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</si>
  <si>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</si>
  <si>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</si>
  <si>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</si>
  <si>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</si>
  <si>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</si>
  <si>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</si>
  <si>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</si>
  <si>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</si>
  <si>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</si>
  <si>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</si>
  <si>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</si>
  <si>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</si>
  <si>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</si>
  <si>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</si>
  <si>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</si>
  <si>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</si>
  <si>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</si>
  <si>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</si>
  <si>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</si>
  <si>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</si>
  <si>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</si>
  <si>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</si>
  <si>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</si>
  <si>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</si>
  <si>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</si>
  <si>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</si>
  <si>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</si>
  <si>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</si>
  <si>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</si>
  <si>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</si>
  <si>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</si>
  <si>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</si>
  <si>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</si>
  <si>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</si>
  <si>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</si>
  <si>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</si>
  <si>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</si>
  <si>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</si>
  <si>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</si>
  <si>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</si>
  <si>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</si>
  <si>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</si>
  <si>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</si>
  <si>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</si>
  <si>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</si>
  <si>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</si>
  <si>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</si>
  <si>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</si>
  <si>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</si>
  <si>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</si>
  <si>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</si>
  <si>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</si>
  <si>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</si>
  <si>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</si>
  <si>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</si>
  <si>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</si>
  <si>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</si>
  <si>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</si>
  <si>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</si>
  <si>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</si>
  <si>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</si>
  <si>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</si>
  <si>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</si>
  <si>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</si>
  <si>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</si>
  <si>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</si>
  <si>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</si>
  <si>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</si>
  <si>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</si>
  <si>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</si>
  <si>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</si>
  <si>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</si>
  <si>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</si>
  <si>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</si>
  <si>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</si>
  <si>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</si>
  <si>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</si>
  <si>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</si>
  <si>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</si>
  <si>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</si>
  <si>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</si>
  <si>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</si>
  <si>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</si>
  <si>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</si>
  <si>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</si>
  <si>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</si>
  <si>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</si>
  <si>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</si>
  <si>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</si>
  <si>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</si>
  <si>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</si>
  <si>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</si>
  <si>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</si>
  <si>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</si>
  <si>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</si>
  <si>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</si>
  <si>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</si>
  <si>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</si>
  <si>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</si>
  <si>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</si>
  <si>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</si>
  <si>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</si>
  <si>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</si>
  <si>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</si>
  <si>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</si>
  <si>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</si>
  <si>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</si>
  <si>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</si>
  <si>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</si>
  <si>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</si>
  <si>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</si>
  <si>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</si>
  <si>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</si>
  <si>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</si>
  <si>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</si>
  <si>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</si>
  <si>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</si>
  <si>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</si>
  <si>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</si>
  <si>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</si>
  <si>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</si>
  <si>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</si>
  <si>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</si>
  <si>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</si>
  <si>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</si>
  <si>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</si>
  <si>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</si>
  <si>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</si>
  <si>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</si>
  <si>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</si>
  <si>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</si>
  <si>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</si>
  <si>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</si>
  <si>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</si>
  <si>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</si>
  <si>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</si>
  <si>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</si>
  <si>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</si>
  <si>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</si>
  <si>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</si>
  <si>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</si>
  <si>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</si>
  <si>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</si>
  <si>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</si>
  <si>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</si>
  <si>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</si>
  <si>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</si>
  <si>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</si>
  <si>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</si>
  <si>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</si>
  <si>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</si>
  <si>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</si>
  <si>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</si>
  <si>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</si>
  <si>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</si>
  <si>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</si>
  <si>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</si>
  <si>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</si>
  <si>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</si>
  <si>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</si>
  <si>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</si>
  <si>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</si>
  <si>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</si>
  <si>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</si>
  <si>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</si>
  <si>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</si>
  <si>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</si>
  <si>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</si>
  <si>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</si>
  <si>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</si>
  <si>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</si>
  <si>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</si>
  <si>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</si>
  <si>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</si>
  <si>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</si>
  <si>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</si>
  <si>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</si>
  <si>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</si>
  <si>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</si>
  <si>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</si>
  <si>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</si>
  <si>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</si>
  <si>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</si>
  <si>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</si>
  <si>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</si>
  <si>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</si>
  <si>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</si>
  <si>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</si>
  <si>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</si>
  <si>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</si>
  <si>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</si>
  <si>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</si>
  <si>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</si>
  <si>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</si>
  <si>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</si>
  <si>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</si>
  <si>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</si>
  <si>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</si>
  <si>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</si>
  <si>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</si>
  <si>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</si>
  <si>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</si>
  <si>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</si>
  <si>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</si>
  <si>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</si>
  <si>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</si>
  <si>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</si>
  <si>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</si>
  <si>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</si>
  <si>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</si>
  <si>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</si>
  <si>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</si>
  <si>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</si>
  <si>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</si>
  <si>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</si>
  <si>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</si>
  <si>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</si>
  <si>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</si>
  <si>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</si>
  <si>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</si>
  <si>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</si>
  <si>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</si>
  <si>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</si>
  <si>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</si>
  <si>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</si>
  <si>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</si>
  <si>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</si>
  <si>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</si>
  <si>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</si>
  <si>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</si>
  <si>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</si>
  <si>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</si>
  <si>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</si>
  <si>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</si>
  <si>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</si>
  <si>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</si>
  <si>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</si>
  <si>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</si>
  <si>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</si>
  <si>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</si>
  <si>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</si>
  <si>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</si>
  <si>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</si>
  <si>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</si>
  <si>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</si>
  <si>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</si>
  <si>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</si>
  <si>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</si>
  <si>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</si>
  <si>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</si>
  <si>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</si>
  <si>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</si>
  <si>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</si>
  <si>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</si>
  <si>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</si>
  <si>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</si>
  <si>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</si>
  <si>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</si>
  <si>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</si>
  <si>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</si>
  <si>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</si>
  <si>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</si>
  <si>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</si>
  <si>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</si>
  <si>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</si>
  <si>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</si>
  <si>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</si>
  <si>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</si>
  <si>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</si>
  <si>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</si>
  <si>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</si>
  <si>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</si>
  <si>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</si>
  <si>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</si>
  <si>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</si>
  <si>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</si>
  <si>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</si>
  <si>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</si>
  <si>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</si>
  <si>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</si>
  <si>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</si>
  <si>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</si>
  <si>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</si>
  <si>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</si>
  <si>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</si>
  <si>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</si>
  <si>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</si>
  <si>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</si>
  <si>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</si>
  <si>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</si>
  <si>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</si>
  <si>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</si>
  <si>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</si>
  <si>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</si>
  <si>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</si>
  <si>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</si>
  <si>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</si>
  <si>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</si>
  <si>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</si>
  <si>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</si>
  <si>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</si>
  <si>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</si>
  <si>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</si>
  <si>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</si>
  <si>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</si>
  <si>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</si>
  <si>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</si>
  <si>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</si>
  <si>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</si>
  <si>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</si>
  <si>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</si>
  <si>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</si>
  <si>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</si>
  <si>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</si>
  <si>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</si>
  <si>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</si>
  <si>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</si>
  <si>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</si>
  <si>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</si>
  <si>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</si>
  <si>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</si>
  <si>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</si>
  <si>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</si>
  <si>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</si>
  <si>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</si>
  <si>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</si>
  <si>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</si>
  <si>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</si>
  <si>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</si>
  <si>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</si>
  <si>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</si>
  <si>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</si>
  <si>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</si>
  <si>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</si>
  <si>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</si>
  <si>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</si>
  <si>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</si>
  <si>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</si>
  <si>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</si>
  <si>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</si>
  <si>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</si>
  <si>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</si>
  <si>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</si>
  <si>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</si>
  <si>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</si>
  <si>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</si>
  <si>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</si>
  <si>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</si>
  <si>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</si>
  <si>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</si>
  <si>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</si>
  <si>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</si>
  <si>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</si>
  <si>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</si>
  <si>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</si>
  <si>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</si>
  <si>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</si>
  <si>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</si>
  <si>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</si>
  <si>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</si>
  <si>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</si>
  <si>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</si>
  <si>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</si>
  <si>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</si>
  <si>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</si>
  <si>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</si>
  <si>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</si>
  <si>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</si>
  <si>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</si>
  <si>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</si>
  <si>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</si>
  <si>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</si>
  <si>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</si>
  <si>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</si>
  <si>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</si>
  <si>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</si>
  <si>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</si>
  <si>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</si>
  <si>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</si>
  <si>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</si>
  <si>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</si>
  <si>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</si>
  <si>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</si>
  <si>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</si>
  <si>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</si>
  <si>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</si>
  <si>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</si>
  <si>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</si>
  <si>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</si>
  <si>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</si>
  <si>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</si>
  <si>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</si>
  <si>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</si>
  <si>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</si>
  <si>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</si>
  <si>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</si>
  <si>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</si>
  <si>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</si>
  <si>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</si>
  <si>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</si>
  <si>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</si>
  <si>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</si>
  <si>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</si>
  <si>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</si>
  <si>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</si>
  <si>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</si>
  <si>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</si>
  <si>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</si>
  <si>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</si>
  <si>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</si>
  <si>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</si>
  <si>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</si>
  <si>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</si>
  <si>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</si>
  <si>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</si>
  <si>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</si>
  <si>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</si>
  <si>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</si>
  <si>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</si>
  <si>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</si>
  <si>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</si>
  <si>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</si>
  <si>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11035</t>
  </si>
  <si>
    <t>RANST</t>
  </si>
  <si>
    <t>Mestbank (maart 2019)</t>
  </si>
  <si>
    <t>Fluvius (februari 2019)</t>
  </si>
  <si>
    <t>referentietaak LNE (2017); Jaarverslag De Lijn (2018)</t>
  </si>
  <si>
    <t>VEA (30 april 2019)</t>
  </si>
  <si>
    <t>VEA (mei 2018)</t>
  </si>
  <si>
    <t>VEA (mei 2019)</t>
  </si>
  <si>
    <t>Groeikracht Broechem NV</t>
  </si>
  <si>
    <t>Bistweg 37, 2520 Broechem</t>
  </si>
  <si>
    <t>WKK-0040a Groeikracht Broechem</t>
  </si>
  <si>
    <t>interne verbrandingsmotor</t>
  </si>
  <si>
    <t>WKK interne verbrandinsgmotor (gas)</t>
  </si>
  <si>
    <t>IVEKA</t>
  </si>
  <si>
    <t>Groeikracht Abelebaan NV</t>
  </si>
  <si>
    <t>Abelebaan 66, 2520 Broechem</t>
  </si>
  <si>
    <t>WKK-0165 Groeikracht Abelebaan</t>
  </si>
  <si>
    <t>Verdonck-Van Dessel bvba</t>
  </si>
  <si>
    <t>Achterlo 17 , 2520 Broechem</t>
  </si>
  <si>
    <t>WKK-0191 Verdonck-Van Dessel</t>
  </si>
  <si>
    <t>Redgrow bvba</t>
  </si>
  <si>
    <t>Bistweg 37 , 2520 Broechem</t>
  </si>
  <si>
    <t>WKK-0232 Almo Energie</t>
  </si>
  <si>
    <t>Johan Bossaerts</t>
  </si>
  <si>
    <t>Laarstraat 35 , 2520 Ranst</t>
  </si>
  <si>
    <t>WKK-0268 Johan Bossaerts</t>
  </si>
  <si>
    <t>ABR Energy bvba</t>
  </si>
  <si>
    <t>Oelegemsteenweg 154 , 2160 Wommelgem</t>
  </si>
  <si>
    <t>WKK-0315 Biofors</t>
  </si>
  <si>
    <t>Ginnegemveld 154 , 2520 Ranst</t>
  </si>
  <si>
    <t>Rafael Bossaerts</t>
  </si>
  <si>
    <t>Moorstraat 21 , 2520 Broechem</t>
  </si>
  <si>
    <t>WKK-0273 Raf Bossaerts</t>
  </si>
  <si>
    <t>WKK-0496 Paul Van der Schoot</t>
  </si>
  <si>
    <t>Hallebaan 21 21a, 2520 Oelegem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</si>
</sst>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148991.21611017463</c:v>
                </c:pt>
                <c:pt idx="1">
                  <c:v>82205.073406309064</c:v>
                </c:pt>
                <c:pt idx="2">
                  <c:v>1241.0319999999999</c:v>
                </c:pt>
                <c:pt idx="3">
                  <c:v>82753.309930405943</c:v>
                </c:pt>
                <c:pt idx="4">
                  <c:v>139850.0326550467</c:v>
                </c:pt>
                <c:pt idx="5">
                  <c:v>409276.50074690167</c:v>
                </c:pt>
                <c:pt idx="6">
                  <c:v>3379.3298060454567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95328"/>
        <c:axId val="182196864"/>
      </c:barChart>
      <c:catAx>
        <c:axId val="182195328"/>
        <c:scaling>
          <c:orientation val="minMax"/>
        </c:scaling>
        <c:axPos val="b"/>
        <c:numFmt formatCode="General" sourceLinked="0"/>
        <c:tickLblPos val="nextTo"/>
        <c:crossAx val="182196864"/>
        <c:crosses val="autoZero"/>
        <c:auto val="1"/>
        <c:lblAlgn val="ctr"/>
        <c:lblOffset val="100"/>
      </c:catAx>
      <c:valAx>
        <c:axId val="182196864"/>
        <c:scaling>
          <c:orientation val="minMax"/>
        </c:scaling>
        <c:axPos val="l"/>
        <c:majorGridlines/>
        <c:numFmt formatCode="#,##0" sourceLinked="1"/>
        <c:tickLblPos val="nextTo"/>
        <c:crossAx val="1821953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148991.21611017463</c:v>
                </c:pt>
                <c:pt idx="1">
                  <c:v>82205.073406309064</c:v>
                </c:pt>
                <c:pt idx="2">
                  <c:v>1241.0319999999999</c:v>
                </c:pt>
                <c:pt idx="3">
                  <c:v>82753.309930405943</c:v>
                </c:pt>
                <c:pt idx="4">
                  <c:v>139850.0326550467</c:v>
                </c:pt>
                <c:pt idx="5">
                  <c:v>409276.50074690167</c:v>
                </c:pt>
                <c:pt idx="6">
                  <c:v>3379.3298060454567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25504.075229332175</c:v>
                </c:pt>
                <c:pt idx="1">
                  <c:v>14134.508739867004</c:v>
                </c:pt>
                <c:pt idx="2">
                  <c:v>248.23524142371866</c:v>
                </c:pt>
                <c:pt idx="3">
                  <c:v>17328.968567632517</c:v>
                </c:pt>
                <c:pt idx="4">
                  <c:v>28421.862918047598</c:v>
                </c:pt>
                <c:pt idx="5">
                  <c:v>102146.85513313957</c:v>
                </c:pt>
                <c:pt idx="6">
                  <c:v>854.77269713212979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40640"/>
        <c:axId val="182642176"/>
      </c:barChart>
      <c:catAx>
        <c:axId val="182640640"/>
        <c:scaling>
          <c:orientation val="minMax"/>
        </c:scaling>
        <c:axPos val="b"/>
        <c:numFmt formatCode="General" sourceLinked="0"/>
        <c:tickLblPos val="nextTo"/>
        <c:crossAx val="182642176"/>
        <c:crosses val="autoZero"/>
        <c:auto val="1"/>
        <c:lblAlgn val="ctr"/>
        <c:lblOffset val="100"/>
      </c:catAx>
      <c:valAx>
        <c:axId val="182642176"/>
        <c:scaling>
          <c:orientation val="minMax"/>
        </c:scaling>
        <c:axPos val="l"/>
        <c:majorGridlines/>
        <c:numFmt formatCode="#,##0" sourceLinked="1"/>
        <c:tickLblPos val="nextTo"/>
        <c:crossAx val="182640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25504.075229332175</c:v>
                </c:pt>
                <c:pt idx="1">
                  <c:v>14134.508739867004</c:v>
                </c:pt>
                <c:pt idx="2">
                  <c:v>248.23524142371866</c:v>
                </c:pt>
                <c:pt idx="3">
                  <c:v>17328.968567632517</c:v>
                </c:pt>
                <c:pt idx="4">
                  <c:v>28421.862918047598</c:v>
                </c:pt>
                <c:pt idx="5">
                  <c:v>102146.85513313957</c:v>
                </c:pt>
                <c:pt idx="6">
                  <c:v>854.77269713212979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11035</v>
      </c>
      <c r="B6" s="415"/>
      <c r="C6" s="416"/>
    </row>
    <row r="7" spans="1:7" s="413" customFormat="1" ht="15.75" customHeight="1">
      <c r="A7" s="417" t="str">
        <f>txtMunicipality</f>
        <v>RANST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0.20002323987110621</v>
      </c>
      <c r="C17" s="527">
        <f ca="1">'EF ele_warmte'!B22</f>
        <v>0.19948126680570022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0.20002323987110621</v>
      </c>
      <c r="C29" s="528">
        <f ca="1">'EF ele_warmte'!B22</f>
        <v>0.19948126680570022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7695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1454.57</v>
      </c>
    </row>
    <row r="15" spans="1:6">
      <c r="A15" s="348" t="s">
        <v>183</v>
      </c>
      <c r="B15" s="334">
        <v>1040</v>
      </c>
    </row>
    <row r="16" spans="1:6">
      <c r="A16" s="348" t="s">
        <v>6</v>
      </c>
      <c r="B16" s="334">
        <v>267</v>
      </c>
    </row>
    <row r="17" spans="1:6">
      <c r="A17" s="348" t="s">
        <v>7</v>
      </c>
      <c r="B17" s="334">
        <v>163</v>
      </c>
    </row>
    <row r="18" spans="1:6">
      <c r="A18" s="348" t="s">
        <v>8</v>
      </c>
      <c r="B18" s="334">
        <v>305</v>
      </c>
    </row>
    <row r="19" spans="1:6">
      <c r="A19" s="348" t="s">
        <v>9</v>
      </c>
      <c r="B19" s="334">
        <v>330</v>
      </c>
    </row>
    <row r="20" spans="1:6">
      <c r="A20" s="348" t="s">
        <v>10</v>
      </c>
      <c r="B20" s="334">
        <v>291</v>
      </c>
    </row>
    <row r="21" spans="1:6">
      <c r="A21" s="348" t="s">
        <v>11</v>
      </c>
      <c r="B21" s="334">
        <v>478</v>
      </c>
    </row>
    <row r="22" spans="1:6">
      <c r="A22" s="348" t="s">
        <v>12</v>
      </c>
      <c r="B22" s="334">
        <v>3934</v>
      </c>
    </row>
    <row r="23" spans="1:6">
      <c r="A23" s="348" t="s">
        <v>13</v>
      </c>
      <c r="B23" s="334">
        <v>53</v>
      </c>
    </row>
    <row r="24" spans="1:6">
      <c r="A24" s="348" t="s">
        <v>14</v>
      </c>
      <c r="B24" s="334">
        <v>2</v>
      </c>
    </row>
    <row r="25" spans="1:6">
      <c r="A25" s="348" t="s">
        <v>15</v>
      </c>
      <c r="B25" s="334">
        <v>230</v>
      </c>
    </row>
    <row r="26" spans="1:6">
      <c r="A26" s="348" t="s">
        <v>16</v>
      </c>
      <c r="B26" s="334">
        <v>279</v>
      </c>
    </row>
    <row r="27" spans="1:6">
      <c r="A27" s="348" t="s">
        <v>17</v>
      </c>
      <c r="B27" s="334">
        <v>2</v>
      </c>
    </row>
    <row r="28" spans="1:6" s="356" customFormat="1">
      <c r="A28" s="355" t="s">
        <v>18</v>
      </c>
      <c r="B28" s="355">
        <v>75665</v>
      </c>
    </row>
    <row r="29" spans="1:6">
      <c r="A29" s="355" t="s">
        <v>713</v>
      </c>
      <c r="B29" s="355">
        <v>249</v>
      </c>
      <c r="C29" s="356"/>
      <c r="D29" s="356"/>
      <c r="E29" s="356"/>
      <c r="F29" s="356"/>
    </row>
    <row r="30" spans="1:6">
      <c r="A30" s="341" t="s">
        <v>714</v>
      </c>
      <c r="B30" s="341">
        <v>52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51774.807999999997</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3</v>
      </c>
      <c r="D38" s="334">
        <v>22981145.100000001</v>
      </c>
      <c r="E38" s="334">
        <v>4</v>
      </c>
      <c r="F38" s="334">
        <v>112368.382</v>
      </c>
    </row>
    <row r="39" spans="1:6">
      <c r="A39" s="348" t="s">
        <v>29</v>
      </c>
      <c r="B39" s="348" t="s">
        <v>30</v>
      </c>
      <c r="C39" s="334">
        <v>5750</v>
      </c>
      <c r="D39" s="334">
        <v>96749579.329999998</v>
      </c>
      <c r="E39" s="334">
        <v>7361</v>
      </c>
      <c r="F39" s="334">
        <v>29690808.82</v>
      </c>
    </row>
    <row r="40" spans="1:6">
      <c r="A40" s="348" t="s">
        <v>29</v>
      </c>
      <c r="B40" s="348" t="s">
        <v>28</v>
      </c>
      <c r="C40" s="334">
        <v>0</v>
      </c>
      <c r="D40" s="334">
        <v>0</v>
      </c>
      <c r="E40" s="334">
        <v>0</v>
      </c>
      <c r="F40" s="334">
        <v>0</v>
      </c>
    </row>
    <row r="41" spans="1:6">
      <c r="A41" s="348" t="s">
        <v>31</v>
      </c>
      <c r="B41" s="348" t="s">
        <v>32</v>
      </c>
      <c r="C41" s="334">
        <v>95</v>
      </c>
      <c r="D41" s="334">
        <v>1580368.811</v>
      </c>
      <c r="E41" s="334">
        <v>180</v>
      </c>
      <c r="F41" s="334">
        <v>1159853.4099999999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6</v>
      </c>
      <c r="D44" s="334">
        <v>102596.85</v>
      </c>
      <c r="E44" s="334">
        <v>18</v>
      </c>
      <c r="F44" s="334">
        <v>210484.014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44</v>
      </c>
      <c r="D48" s="334">
        <v>103000957.3</v>
      </c>
      <c r="E48" s="334">
        <v>55</v>
      </c>
      <c r="F48" s="334">
        <v>31972181</v>
      </c>
    </row>
    <row r="49" spans="1:6">
      <c r="A49" s="348" t="s">
        <v>31</v>
      </c>
      <c r="B49" s="348" t="s">
        <v>39</v>
      </c>
      <c r="C49" s="334">
        <v>0</v>
      </c>
      <c r="D49" s="334">
        <v>0</v>
      </c>
      <c r="E49" s="334">
        <v>0</v>
      </c>
      <c r="F49" s="334">
        <v>0</v>
      </c>
    </row>
    <row r="50" spans="1:6">
      <c r="A50" s="348" t="s">
        <v>31</v>
      </c>
      <c r="B50" s="348" t="s">
        <v>40</v>
      </c>
      <c r="C50" s="334">
        <v>10</v>
      </c>
      <c r="D50" s="334">
        <v>705627.75100000005</v>
      </c>
      <c r="E50" s="334">
        <v>12</v>
      </c>
      <c r="F50" s="334">
        <v>1213011.838</v>
      </c>
    </row>
    <row r="51" spans="1:6">
      <c r="A51" s="348" t="s">
        <v>41</v>
      </c>
      <c r="B51" s="348" t="s">
        <v>42</v>
      </c>
      <c r="C51" s="334">
        <v>22</v>
      </c>
      <c r="D51" s="334">
        <v>48465639.57</v>
      </c>
      <c r="E51" s="334">
        <v>103</v>
      </c>
      <c r="F51" s="334">
        <v>2024439.0689999999</v>
      </c>
    </row>
    <row r="52" spans="1:6">
      <c r="A52" s="348" t="s">
        <v>41</v>
      </c>
      <c r="B52" s="348" t="s">
        <v>28</v>
      </c>
      <c r="C52" s="334">
        <v>7</v>
      </c>
      <c r="D52" s="334">
        <v>32297584.170000002</v>
      </c>
      <c r="E52" s="334">
        <v>7</v>
      </c>
      <c r="F52" s="334">
        <v>881651.20200000005</v>
      </c>
    </row>
    <row r="53" spans="1:6">
      <c r="A53" s="348" t="s">
        <v>43</v>
      </c>
      <c r="B53" s="348" t="s">
        <v>44</v>
      </c>
      <c r="C53" s="334">
        <v>143</v>
      </c>
      <c r="D53" s="334">
        <v>2350282.0860000001</v>
      </c>
      <c r="E53" s="334">
        <v>324</v>
      </c>
      <c r="F53" s="334">
        <v>1002403.112</v>
      </c>
    </row>
    <row r="54" spans="1:6">
      <c r="A54" s="348" t="s">
        <v>45</v>
      </c>
      <c r="B54" s="348" t="s">
        <v>46</v>
      </c>
      <c r="C54" s="334">
        <v>0</v>
      </c>
      <c r="D54" s="334">
        <v>0</v>
      </c>
      <c r="E54" s="334">
        <v>1</v>
      </c>
      <c r="F54" s="334">
        <v>1241032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66</v>
      </c>
      <c r="D57" s="334">
        <v>3373914.8939999999</v>
      </c>
      <c r="E57" s="334">
        <v>154</v>
      </c>
      <c r="F57" s="334">
        <v>19483735.690000001</v>
      </c>
    </row>
    <row r="58" spans="1:6">
      <c r="A58" s="348" t="s">
        <v>48</v>
      </c>
      <c r="B58" s="348" t="s">
        <v>50</v>
      </c>
      <c r="C58" s="334">
        <v>34</v>
      </c>
      <c r="D58" s="334">
        <v>5784424.2259999998</v>
      </c>
      <c r="E58" s="334">
        <v>45</v>
      </c>
      <c r="F58" s="334">
        <v>272553.62</v>
      </c>
    </row>
    <row r="59" spans="1:6">
      <c r="A59" s="348" t="s">
        <v>48</v>
      </c>
      <c r="B59" s="348" t="s">
        <v>51</v>
      </c>
      <c r="C59" s="334">
        <v>74</v>
      </c>
      <c r="D59" s="334">
        <v>2982491.2949999999</v>
      </c>
      <c r="E59" s="334">
        <v>177</v>
      </c>
      <c r="F59" s="334">
        <v>6184726.1189999999</v>
      </c>
    </row>
    <row r="60" spans="1:6">
      <c r="A60" s="348" t="s">
        <v>48</v>
      </c>
      <c r="B60" s="348" t="s">
        <v>52</v>
      </c>
      <c r="C60" s="334">
        <v>44</v>
      </c>
      <c r="D60" s="334">
        <v>2053621.8470000001</v>
      </c>
      <c r="E60" s="334">
        <v>66</v>
      </c>
      <c r="F60" s="334">
        <v>1297460.4439999999</v>
      </c>
    </row>
    <row r="61" spans="1:6">
      <c r="A61" s="348" t="s">
        <v>48</v>
      </c>
      <c r="B61" s="348" t="s">
        <v>53</v>
      </c>
      <c r="C61" s="334">
        <v>150</v>
      </c>
      <c r="D61" s="334">
        <v>4493658.45</v>
      </c>
      <c r="E61" s="334">
        <v>286</v>
      </c>
      <c r="F61" s="334">
        <v>4615235.1440000003</v>
      </c>
    </row>
    <row r="62" spans="1:6">
      <c r="A62" s="348" t="s">
        <v>48</v>
      </c>
      <c r="B62" s="348" t="s">
        <v>54</v>
      </c>
      <c r="C62" s="334">
        <v>8</v>
      </c>
      <c r="D62" s="334">
        <v>347957.91100000002</v>
      </c>
      <c r="E62" s="334">
        <v>17</v>
      </c>
      <c r="F62" s="334">
        <v>169309.05600000001</v>
      </c>
    </row>
    <row r="63" spans="1:6">
      <c r="A63" s="348" t="s">
        <v>48</v>
      </c>
      <c r="B63" s="348" t="s">
        <v>28</v>
      </c>
      <c r="C63" s="334">
        <v>98</v>
      </c>
      <c r="D63" s="334">
        <v>8481144.8570000008</v>
      </c>
      <c r="E63" s="334">
        <v>95</v>
      </c>
      <c r="F63" s="334">
        <v>6373988.102</v>
      </c>
    </row>
    <row r="64" spans="1:6">
      <c r="A64" s="348" t="s">
        <v>55</v>
      </c>
      <c r="B64" s="348" t="s">
        <v>56</v>
      </c>
      <c r="C64" s="334">
        <v>0</v>
      </c>
      <c r="D64" s="334">
        <v>0</v>
      </c>
      <c r="E64" s="334">
        <v>0</v>
      </c>
      <c r="F64" s="334">
        <v>0</v>
      </c>
    </row>
    <row r="65" spans="1:6">
      <c r="A65" s="348" t="s">
        <v>55</v>
      </c>
      <c r="B65" s="348" t="s">
        <v>28</v>
      </c>
      <c r="C65" s="334">
        <v>5</v>
      </c>
      <c r="D65" s="334">
        <v>209268.595</v>
      </c>
      <c r="E65" s="334">
        <v>5</v>
      </c>
      <c r="F65" s="334">
        <v>18883.231</v>
      </c>
    </row>
    <row r="66" spans="1:6">
      <c r="A66" s="348" t="s">
        <v>55</v>
      </c>
      <c r="B66" s="348" t="s">
        <v>57</v>
      </c>
      <c r="C66" s="334">
        <v>0</v>
      </c>
      <c r="D66" s="334">
        <v>0</v>
      </c>
      <c r="E66" s="334">
        <v>13</v>
      </c>
      <c r="F66" s="334">
        <v>525665.88899999997</v>
      </c>
    </row>
    <row r="67" spans="1:6">
      <c r="A67" s="355" t="s">
        <v>55</v>
      </c>
      <c r="B67" s="355" t="s">
        <v>58</v>
      </c>
      <c r="C67" s="334">
        <v>0</v>
      </c>
      <c r="D67" s="334">
        <v>0</v>
      </c>
      <c r="E67" s="334">
        <v>0</v>
      </c>
      <c r="F67" s="334">
        <v>0</v>
      </c>
    </row>
    <row r="68" spans="1:6">
      <c r="A68" s="341" t="s">
        <v>55</v>
      </c>
      <c r="B68" s="341" t="s">
        <v>59</v>
      </c>
      <c r="C68" s="334">
        <v>5</v>
      </c>
      <c r="D68" s="334">
        <v>125408.622</v>
      </c>
      <c r="E68" s="334">
        <v>23</v>
      </c>
      <c r="F68" s="334">
        <v>313096.14199999999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95797063</v>
      </c>
      <c r="E73" s="476"/>
    </row>
    <row r="74" spans="1:6">
      <c r="A74" s="348" t="s">
        <v>63</v>
      </c>
      <c r="B74" s="348" t="s">
        <v>651</v>
      </c>
      <c r="C74" s="1307" t="s">
        <v>653</v>
      </c>
      <c r="D74" s="476">
        <v>8033406.5</v>
      </c>
      <c r="E74" s="476"/>
    </row>
    <row r="75" spans="1:6">
      <c r="A75" s="348" t="s">
        <v>64</v>
      </c>
      <c r="B75" s="348" t="s">
        <v>650</v>
      </c>
      <c r="C75" s="1307" t="s">
        <v>654</v>
      </c>
      <c r="D75" s="476">
        <v>9796636</v>
      </c>
      <c r="E75" s="476"/>
    </row>
    <row r="76" spans="1:6">
      <c r="A76" s="348" t="s">
        <v>64</v>
      </c>
      <c r="B76" s="348" t="s">
        <v>651</v>
      </c>
      <c r="C76" s="1307" t="s">
        <v>655</v>
      </c>
      <c r="D76" s="476">
        <v>36069.300000000003</v>
      </c>
      <c r="E76" s="476"/>
    </row>
    <row r="77" spans="1:6">
      <c r="A77" s="348" t="s">
        <v>65</v>
      </c>
      <c r="B77" s="348" t="s">
        <v>650</v>
      </c>
      <c r="C77" s="1307" t="s">
        <v>656</v>
      </c>
      <c r="D77" s="476">
        <v>255243556</v>
      </c>
      <c r="E77" s="476"/>
    </row>
    <row r="78" spans="1:6">
      <c r="A78" s="341" t="s">
        <v>65</v>
      </c>
      <c r="B78" s="341" t="s">
        <v>651</v>
      </c>
      <c r="C78" s="341" t="s">
        <v>657</v>
      </c>
      <c r="D78" s="1308">
        <v>57746426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938821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4866.1861176957382</v>
      </c>
    </row>
    <row r="92" spans="1:6">
      <c r="A92" s="341" t="s">
        <v>68</v>
      </c>
      <c r="B92" s="342">
        <v>1164.2037370825012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3910</v>
      </c>
    </row>
    <row r="98" spans="1:6">
      <c r="A98" s="348" t="s">
        <v>71</v>
      </c>
      <c r="B98" s="334">
        <v>3</v>
      </c>
    </row>
    <row r="99" spans="1:6">
      <c r="A99" s="348" t="s">
        <v>72</v>
      </c>
      <c r="B99" s="334">
        <v>58</v>
      </c>
    </row>
    <row r="100" spans="1:6">
      <c r="A100" s="348" t="s">
        <v>73</v>
      </c>
      <c r="B100" s="334">
        <v>755</v>
      </c>
    </row>
    <row r="101" spans="1:6">
      <c r="A101" s="348" t="s">
        <v>74</v>
      </c>
      <c r="B101" s="334">
        <v>168</v>
      </c>
    </row>
    <row r="102" spans="1:6">
      <c r="A102" s="348" t="s">
        <v>75</v>
      </c>
      <c r="B102" s="334">
        <v>70</v>
      </c>
    </row>
    <row r="103" spans="1:6">
      <c r="A103" s="348" t="s">
        <v>76</v>
      </c>
      <c r="B103" s="334">
        <v>164</v>
      </c>
    </row>
    <row r="104" spans="1:6">
      <c r="A104" s="348" t="s">
        <v>77</v>
      </c>
      <c r="B104" s="334">
        <v>1316</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69</v>
      </c>
      <c r="C123" s="334">
        <v>38</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194</v>
      </c>
    </row>
    <row r="130" spans="1:6">
      <c r="A130" s="348" t="s">
        <v>294</v>
      </c>
      <c r="B130" s="334">
        <v>1</v>
      </c>
    </row>
    <row r="131" spans="1:6">
      <c r="A131" s="348" t="s">
        <v>295</v>
      </c>
      <c r="B131" s="334">
        <v>1</v>
      </c>
    </row>
    <row r="132" spans="1:6">
      <c r="A132" s="341" t="s">
        <v>296</v>
      </c>
      <c r="B132" s="342">
        <v>43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112855.0134336749</v>
      </c>
      <c r="C3" s="43" t="s">
        <v>169</v>
      </c>
      <c r="D3" s="43"/>
      <c r="E3" s="154"/>
      <c r="F3" s="43"/>
      <c r="G3" s="43"/>
      <c r="H3" s="43"/>
      <c r="I3" s="43"/>
      <c r="J3" s="43"/>
      <c r="K3" s="96"/>
    </row>
    <row r="4" spans="1:11">
      <c r="A4" s="383" t="s">
        <v>170</v>
      </c>
      <c r="B4" s="49">
        <f>IF(ISERROR('SEAP template'!B78+'SEAP template'!C78),0,'SEAP template'!B78+'SEAP template'!C78)</f>
        <v>54110.18985477824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9591.0194117647079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0.20002323987110621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13701.45630252101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68685.42857142858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0.19948126680570022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1241.0319999999999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1241.0319999999999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0.20002323987110621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248.23524142371866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29690.808820000002</v>
      </c>
      <c r="C5" s="17">
        <f>IF(ISERROR('Eigen informatie GS &amp; warmtenet'!B59),0,'Eigen informatie GS &amp; warmtenet'!B59)</f>
        <v>0</v>
      </c>
      <c r="D5" s="30">
        <f>(SUM(HH_hh_gas_kWh,HH_rest_gas_kWh)/1000)*0.902</f>
        <v>87268.120555660003</v>
      </c>
      <c r="E5" s="17">
        <f>B46*B57</f>
        <v>4245.4307904913394</v>
      </c>
      <c r="F5" s="17">
        <f>B51*B62</f>
        <v>0</v>
      </c>
      <c r="G5" s="18"/>
      <c r="H5" s="17"/>
      <c r="I5" s="17"/>
      <c r="J5" s="17">
        <f>B50*B61+C50*C61</f>
        <v>0</v>
      </c>
      <c r="K5" s="17"/>
      <c r="L5" s="17"/>
      <c r="M5" s="17"/>
      <c r="N5" s="17">
        <f>B48*B59+C48*C59</f>
        <v>21280.588076969048</v>
      </c>
      <c r="O5" s="17">
        <f>B69*B70*B71</f>
        <v>460.27830689779137</v>
      </c>
      <c r="P5" s="17">
        <f>B77*B78*B79/1000-B77*B78*B79/1000/B80</f>
        <v>1179.8034424607226</v>
      </c>
    </row>
    <row r="6" spans="1:16">
      <c r="A6" s="16" t="s">
        <v>615</v>
      </c>
      <c r="B6" s="809">
        <f>kWh_PV_kleiner_dan_10kW</f>
        <v>4866.1861176957382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34556.994937695737</v>
      </c>
      <c r="C8" s="21">
        <f>C5</f>
        <v>0</v>
      </c>
      <c r="D8" s="21">
        <f>D5</f>
        <v>87268.120555660003</v>
      </c>
      <c r="E8" s="21">
        <f>E5</f>
        <v>4245.4307904913394</v>
      </c>
      <c r="F8" s="21">
        <f>F5</f>
        <v>0</v>
      </c>
      <c r="G8" s="21"/>
      <c r="H8" s="21"/>
      <c r="I8" s="21"/>
      <c r="J8" s="21">
        <f>J5</f>
        <v>0</v>
      </c>
      <c r="K8" s="21"/>
      <c r="L8" s="21">
        <f>L5</f>
        <v>0</v>
      </c>
      <c r="M8" s="21">
        <f>M5</f>
        <v>0</v>
      </c>
      <c r="N8" s="21">
        <f>N5</f>
        <v>21280.588076969048</v>
      </c>
      <c r="O8" s="21">
        <f>O5</f>
        <v>460.27830689779137</v>
      </c>
      <c r="P8" s="21">
        <f>P5</f>
        <v>1179.8034424607226</v>
      </c>
    </row>
    <row r="9" spans="1:16">
      <c r="B9" s="19"/>
      <c r="C9" s="19"/>
      <c r="D9" s="258"/>
      <c r="E9" s="19"/>
      <c r="F9" s="19"/>
      <c r="G9" s="19"/>
      <c r="H9" s="19"/>
      <c r="I9" s="19"/>
      <c r="J9" s="19"/>
      <c r="K9" s="19"/>
      <c r="L9" s="19"/>
      <c r="M9" s="19"/>
      <c r="N9" s="19"/>
      <c r="O9" s="19"/>
      <c r="P9" s="19"/>
    </row>
    <row r="10" spans="1:16">
      <c r="A10" s="24" t="s">
        <v>213</v>
      </c>
      <c r="B10" s="25">
        <f ca="1">'EF ele_warmte'!B12</f>
        <v>0.20002323987110621</v>
      </c>
      <c r="C10" s="25">
        <f ca="1">'EF ele_warmte'!B22</f>
        <v>0.19948126680570022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6912.2020876473171</v>
      </c>
      <c r="C12" s="23">
        <f ca="1">C10*C8</f>
        <v>0</v>
      </c>
      <c r="D12" s="23">
        <f>D8*D10</f>
        <v>17628.160352243322</v>
      </c>
      <c r="E12" s="23">
        <f>E10*E8</f>
        <v>963.71278944153403</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3910</v>
      </c>
      <c r="C18" s="166" t="s">
        <v>110</v>
      </c>
      <c r="D18" s="228"/>
      <c r="E18" s="15"/>
    </row>
    <row r="19" spans="1:7">
      <c r="A19" s="171" t="s">
        <v>71</v>
      </c>
      <c r="B19" s="37">
        <f>aantalw2001_ander</f>
        <v>3</v>
      </c>
      <c r="C19" s="166" t="s">
        <v>110</v>
      </c>
      <c r="D19" s="229"/>
      <c r="E19" s="15"/>
    </row>
    <row r="20" spans="1:7">
      <c r="A20" s="171" t="s">
        <v>72</v>
      </c>
      <c r="B20" s="37">
        <f>aantalw2001_propaan</f>
        <v>58</v>
      </c>
      <c r="C20" s="167">
        <f>IF(ISERROR(B20/SUM($B$20,$B$21,$B$22)*100),0,B20/SUM($B$20,$B$21,$B$22)*100)</f>
        <v>5.9123343527013255</v>
      </c>
      <c r="D20" s="229"/>
      <c r="E20" s="15"/>
    </row>
    <row r="21" spans="1:7">
      <c r="A21" s="171" t="s">
        <v>73</v>
      </c>
      <c r="B21" s="37">
        <f>aantalw2001_elektriciteit</f>
        <v>755</v>
      </c>
      <c r="C21" s="167">
        <f>IF(ISERROR(B21/SUM($B$20,$B$21,$B$22)*100),0,B21/SUM($B$20,$B$21,$B$22)*100)</f>
        <v>76.962283384301728</v>
      </c>
      <c r="D21" s="229"/>
      <c r="E21" s="15"/>
    </row>
    <row r="22" spans="1:7">
      <c r="A22" s="171" t="s">
        <v>74</v>
      </c>
      <c r="B22" s="37">
        <f>aantalw2001_hout</f>
        <v>168</v>
      </c>
      <c r="C22" s="167">
        <f>IF(ISERROR(B22/SUM($B$20,$B$21,$B$22)*100),0,B22/SUM($B$20,$B$21,$B$22)*100)</f>
        <v>17.12538226299694</v>
      </c>
      <c r="D22" s="229"/>
      <c r="E22" s="15"/>
    </row>
    <row r="23" spans="1:7">
      <c r="A23" s="171" t="s">
        <v>75</v>
      </c>
      <c r="B23" s="37">
        <f>aantalw2001_niet_gespec</f>
        <v>70</v>
      </c>
      <c r="C23" s="166" t="s">
        <v>110</v>
      </c>
      <c r="D23" s="228"/>
      <c r="E23" s="15"/>
    </row>
    <row r="24" spans="1:7">
      <c r="A24" s="171" t="s">
        <v>76</v>
      </c>
      <c r="B24" s="37">
        <f>aantalw2001_steenkool</f>
        <v>164</v>
      </c>
      <c r="C24" s="166" t="s">
        <v>110</v>
      </c>
      <c r="D24" s="229"/>
      <c r="E24" s="15"/>
    </row>
    <row r="25" spans="1:7">
      <c r="A25" s="171" t="s">
        <v>77</v>
      </c>
      <c r="B25" s="37">
        <f>aantalw2001_stookolie</f>
        <v>1316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7695</v>
      </c>
      <c r="C28" s="36"/>
      <c r="D28" s="228"/>
    </row>
    <row r="29" spans="1:7" s="15" customFormat="1">
      <c r="A29" s="230" t="s">
        <v>837</v>
      </c>
      <c r="B29" s="37">
        <f>SUM(HH_hh_gas_aantal,HH_rest_gas_aantal)</f>
        <v>5750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5750</v>
      </c>
      <c r="C32" s="167">
        <f>IF(ISERROR(B32/SUM($B$32,$B$34,$B$35,$B$36,$B$38,$B$39)*100),0,B32/SUM($B$32,$B$34,$B$35,$B$36,$B$38,$B$39)*100)</f>
        <v>75.827508901490177</v>
      </c>
      <c r="D32" s="233"/>
      <c r="G32" s="15"/>
    </row>
    <row r="33" spans="1:7">
      <c r="A33" s="171" t="s">
        <v>71</v>
      </c>
      <c r="B33" s="34" t="s">
        <v>110</v>
      </c>
      <c r="C33" s="167"/>
      <c r="D33" s="233"/>
      <c r="G33" s="15"/>
    </row>
    <row r="34" spans="1:7">
      <c r="A34" s="171" t="s">
        <v>72</v>
      </c>
      <c r="B34" s="33">
        <f>IF((($B$28-$B$32-$B$39-$B$77-$B$38)*C20/100)&lt;0,0,($B$28-$B$32-$B$39-$B$77-$B$38)*C20/100)</f>
        <v>108.3730886850153</v>
      </c>
      <c r="C34" s="167">
        <f>IF(ISERROR(B34/SUM($B$32,$B$34,$B$35,$B$36,$B$38,$B$39)*100),0,B34/SUM($B$32,$B$34,$B$35,$B$36,$B$38,$B$39)*100)</f>
        <v>1.4291584951208665</v>
      </c>
      <c r="D34" s="233"/>
      <c r="G34" s="15"/>
    </row>
    <row r="35" spans="1:7">
      <c r="A35" s="171" t="s">
        <v>73</v>
      </c>
      <c r="B35" s="33">
        <f>IF((($B$28-$B$32-$B$39-$B$77-$B$38)*C21/100)&lt;0,0,($B$28-$B$32-$B$39-$B$77-$B$38)*C21/100)</f>
        <v>1410.7186544342508</v>
      </c>
      <c r="C35" s="167">
        <f>IF(ISERROR(B35/SUM($B$32,$B$34,$B$35,$B$36,$B$38,$B$39)*100),0,B35/SUM($B$32,$B$34,$B$35,$B$36,$B$38,$B$39)*100)</f>
        <v>18.603701100280244</v>
      </c>
      <c r="D35" s="233"/>
      <c r="G35" s="15"/>
    </row>
    <row r="36" spans="1:7">
      <c r="A36" s="171" t="s">
        <v>74</v>
      </c>
      <c r="B36" s="33">
        <f>IF((($B$28-$B$32-$B$39-$B$77-$B$38)*C22/100)&lt;0,0,($B$28-$B$32-$B$39-$B$77-$B$38)*C22/100)</f>
        <v>313.90825688073392</v>
      </c>
      <c r="C36" s="167">
        <f>IF(ISERROR(B36/SUM($B$32,$B$34,$B$35,$B$36,$B$38,$B$39)*100),0,B36/SUM($B$32,$B$34,$B$35,$B$36,$B$38,$B$39)*100)</f>
        <v>4.1396315031087161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5750</v>
      </c>
      <c r="C44" s="34" t="s">
        <v>110</v>
      </c>
      <c r="D44" s="174"/>
    </row>
    <row r="45" spans="1:7">
      <c r="A45" s="171" t="s">
        <v>71</v>
      </c>
      <c r="B45" s="33" t="str">
        <f t="shared" si="0"/>
        <v>-</v>
      </c>
      <c r="C45" s="34" t="s">
        <v>110</v>
      </c>
      <c r="D45" s="174"/>
    </row>
    <row r="46" spans="1:7">
      <c r="A46" s="171" t="s">
        <v>72</v>
      </c>
      <c r="B46" s="33">
        <f t="shared" si="0"/>
        <v>108.3730886850153</v>
      </c>
      <c r="C46" s="34" t="s">
        <v>110</v>
      </c>
      <c r="D46" s="174"/>
    </row>
    <row r="47" spans="1:7">
      <c r="A47" s="171" t="s">
        <v>73</v>
      </c>
      <c r="B47" s="33">
        <f t="shared" si="0"/>
        <v>1410.7186544342508</v>
      </c>
      <c r="C47" s="34" t="s">
        <v>110</v>
      </c>
      <c r="D47" s="174"/>
    </row>
    <row r="48" spans="1:7">
      <c r="A48" s="171" t="s">
        <v>74</v>
      </c>
      <c r="B48" s="33">
        <f t="shared" si="0"/>
        <v>313.90825688073392</v>
      </c>
      <c r="C48" s="33">
        <f>B48*10</f>
        <v>3139.0825688073392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38397.008175000003</v>
      </c>
      <c r="C5" s="17">
        <f>IF(ISERROR('Eigen informatie GS &amp; warmtenet'!B60),0,'Eigen informatie GS &amp; warmtenet'!B60)</f>
        <v>0</v>
      </c>
      <c r="D5" s="30">
        <f>SUM(D6:D12)</f>
        <v>24820.526558960002</v>
      </c>
      <c r="E5" s="17">
        <f>SUM(E6:E12)</f>
        <v>334.18964895690971</v>
      </c>
      <c r="F5" s="17">
        <f>SUM(F6:F12)</f>
        <v>5110.4342168659532</v>
      </c>
      <c r="G5" s="18"/>
      <c r="H5" s="17"/>
      <c r="I5" s="17"/>
      <c r="J5" s="17">
        <f>SUM(J6:J12)</f>
        <v>0.34297237232841232</v>
      </c>
      <c r="K5" s="17"/>
      <c r="L5" s="17"/>
      <c r="M5" s="17"/>
      <c r="N5" s="17">
        <f>SUM(N6:N12)</f>
        <v>13380.057158468555</v>
      </c>
      <c r="O5" s="17">
        <f>B38*B39*B40</f>
        <v>4.8972607658411542</v>
      </c>
      <c r="P5" s="17">
        <f>B46*B47*B48/1000-B46*B47*B48/1000/B49</f>
        <v>157.61741491948504</v>
      </c>
      <c r="R5" s="32"/>
    </row>
    <row r="6" spans="1:18">
      <c r="A6" s="32" t="s">
        <v>53</v>
      </c>
      <c r="B6" s="37">
        <f>B26</f>
        <v>4615.2351440000002</v>
      </c>
      <c r="C6" s="33"/>
      <c r="D6" s="37">
        <f>IF(ISERROR(TER_kantoor_gas_kWh/1000),0,TER_kantoor_gas_kWh/1000)*0.902</f>
        <v>4053.2799218999999</v>
      </c>
      <c r="E6" s="33">
        <f>$C$26*'E Balans VL '!I12/100/3.6*1000000</f>
        <v>37.137317442801731</v>
      </c>
      <c r="F6" s="33">
        <f>$C$26*('E Balans VL '!L12+'E Balans VL '!N12)/100/3.6*1000000</f>
        <v>564.26104707333184</v>
      </c>
      <c r="G6" s="34"/>
      <c r="H6" s="33"/>
      <c r="I6" s="33"/>
      <c r="J6" s="33">
        <f>$C$26*('E Balans VL '!D12+'E Balans VL '!E12)/100/3.6*1000000</f>
        <v>0</v>
      </c>
      <c r="K6" s="33"/>
      <c r="L6" s="33"/>
      <c r="M6" s="33"/>
      <c r="N6" s="33">
        <f>$C$26*'E Balans VL '!Y12/100/3.6*1000000</f>
        <v>2.4804616141682336</v>
      </c>
      <c r="O6" s="33"/>
      <c r="P6" s="33"/>
      <c r="R6" s="32"/>
    </row>
    <row r="7" spans="1:18">
      <c r="A7" s="32" t="s">
        <v>52</v>
      </c>
      <c r="B7" s="37">
        <f t="shared" ref="B7:B12" si="0">B27</f>
        <v>1297.4604439999998</v>
      </c>
      <c r="C7" s="33"/>
      <c r="D7" s="37">
        <f>IF(ISERROR(TER_horeca_gas_kWh/1000),0,TER_horeca_gas_kWh/1000)*0.902</f>
        <v>1852.366905994</v>
      </c>
      <c r="E7" s="33">
        <f>$C$27*'E Balans VL '!I9/100/3.6*1000000</f>
        <v>13.93153916271342</v>
      </c>
      <c r="F7" s="33">
        <f>$C$27*('E Balans VL '!L9+'E Balans VL '!N9)/100/3.6*1000000</f>
        <v>156.05302969359596</v>
      </c>
      <c r="G7" s="34"/>
      <c r="H7" s="33"/>
      <c r="I7" s="33"/>
      <c r="J7" s="33">
        <f>$C$27*('E Balans VL '!D9+'E Balans VL '!E9)/100/3.6*1000000</f>
        <v>0</v>
      </c>
      <c r="K7" s="33"/>
      <c r="L7" s="33"/>
      <c r="M7" s="33"/>
      <c r="N7" s="33">
        <f>$C$27*'E Balans VL '!Y9/100/3.6*1000000</f>
        <v>0.19451561702581827</v>
      </c>
      <c r="O7" s="33"/>
      <c r="P7" s="33"/>
      <c r="R7" s="32"/>
    </row>
    <row r="8" spans="1:18">
      <c r="A8" s="6" t="s">
        <v>51</v>
      </c>
      <c r="B8" s="37">
        <f t="shared" si="0"/>
        <v>6184.7261189999999</v>
      </c>
      <c r="C8" s="33"/>
      <c r="D8" s="37">
        <f>IF(ISERROR(TER_handel_gas_kWh/1000),0,TER_handel_gas_kWh/1000)*0.902</f>
        <v>2690.2071480899999</v>
      </c>
      <c r="E8" s="33">
        <f>$C$28*'E Balans VL '!I13/100/3.6*1000000</f>
        <v>165.97911467862494</v>
      </c>
      <c r="F8" s="33">
        <f>$C$28*('E Balans VL '!L13+'E Balans VL '!N13)/100/3.6*1000000</f>
        <v>590.21348992663036</v>
      </c>
      <c r="G8" s="34"/>
      <c r="H8" s="33"/>
      <c r="I8" s="33"/>
      <c r="J8" s="33">
        <f>$C$28*('E Balans VL '!D13+'E Balans VL '!E13)/100/3.6*1000000</f>
        <v>0</v>
      </c>
      <c r="K8" s="33"/>
      <c r="L8" s="33"/>
      <c r="M8" s="33"/>
      <c r="N8" s="33">
        <f>$C$28*'E Balans VL '!Y13/100/3.6*1000000</f>
        <v>2.4516957562916653</v>
      </c>
      <c r="O8" s="33"/>
      <c r="P8" s="33"/>
      <c r="R8" s="32"/>
    </row>
    <row r="9" spans="1:18">
      <c r="A9" s="32" t="s">
        <v>50</v>
      </c>
      <c r="B9" s="37">
        <f t="shared" si="0"/>
        <v>272.55362000000002</v>
      </c>
      <c r="C9" s="33"/>
      <c r="D9" s="37">
        <f>IF(ISERROR(TER_gezond_gas_kWh/1000),0,TER_gezond_gas_kWh/1000)*0.902</f>
        <v>5217.5506518520006</v>
      </c>
      <c r="E9" s="33">
        <f>$C$29*'E Balans VL '!I10/100/3.6*1000000</f>
        <v>0.51085423119241735</v>
      </c>
      <c r="F9" s="33">
        <f>$C$29*('E Balans VL '!L10+'E Balans VL '!N10)/100/3.6*1000000</f>
        <v>22.406394424161682</v>
      </c>
      <c r="G9" s="34"/>
      <c r="H9" s="33"/>
      <c r="I9" s="33"/>
      <c r="J9" s="33">
        <f>$C$29*('E Balans VL '!D10+'E Balans VL '!E10)/100/3.6*1000000</f>
        <v>0</v>
      </c>
      <c r="K9" s="33"/>
      <c r="L9" s="33"/>
      <c r="M9" s="33"/>
      <c r="N9" s="33">
        <f>$C$29*'E Balans VL '!Y10/100/3.6*1000000</f>
        <v>2.1206705178198684</v>
      </c>
      <c r="O9" s="33"/>
      <c r="P9" s="33"/>
      <c r="R9" s="32"/>
    </row>
    <row r="10" spans="1:18">
      <c r="A10" s="32" t="s">
        <v>49</v>
      </c>
      <c r="B10" s="37">
        <f t="shared" si="0"/>
        <v>19483.735690000001</v>
      </c>
      <c r="C10" s="33"/>
      <c r="D10" s="37">
        <f>IF(ISERROR(TER_ander_gas_kWh/1000),0,TER_ander_gas_kWh/1000)*0.902</f>
        <v>3043.2712343880003</v>
      </c>
      <c r="E10" s="33">
        <f>$C$30*'E Balans VL '!I14/100/3.6*1000000</f>
        <v>30.034375991778266</v>
      </c>
      <c r="F10" s="33">
        <f>$C$30*('E Balans VL '!L14+'E Balans VL '!N14)/100/3.6*1000000</f>
        <v>3024.8553446534565</v>
      </c>
      <c r="G10" s="34"/>
      <c r="H10" s="33"/>
      <c r="I10" s="33"/>
      <c r="J10" s="33">
        <f>$C$30*('E Balans VL '!D14+'E Balans VL '!E14)/100/3.6*1000000</f>
        <v>0.33075696136860211</v>
      </c>
      <c r="K10" s="33"/>
      <c r="L10" s="33"/>
      <c r="M10" s="33"/>
      <c r="N10" s="33">
        <f>$C$30*'E Balans VL '!Y14/100/3.6*1000000</f>
        <v>12889.815083462485</v>
      </c>
      <c r="O10" s="33"/>
      <c r="P10" s="33"/>
      <c r="R10" s="32"/>
    </row>
    <row r="11" spans="1:18">
      <c r="A11" s="32" t="s">
        <v>54</v>
      </c>
      <c r="B11" s="37">
        <f t="shared" si="0"/>
        <v>169.309056</v>
      </c>
      <c r="C11" s="33"/>
      <c r="D11" s="37">
        <f>IF(ISERROR(TER_onderwijs_gas_kWh/1000),0,TER_onderwijs_gas_kWh/1000)*0.902</f>
        <v>313.85803572200001</v>
      </c>
      <c r="E11" s="33">
        <f>$C$31*'E Balans VL '!I11/100/3.6*1000000</f>
        <v>4.3185373184071576</v>
      </c>
      <c r="F11" s="33">
        <f>$C$31*('E Balans VL '!L11+'E Balans VL '!N11)/100/3.6*1000000</f>
        <v>20.361007581521392</v>
      </c>
      <c r="G11" s="34"/>
      <c r="H11" s="33"/>
      <c r="I11" s="33"/>
      <c r="J11" s="33">
        <f>$C$31*('E Balans VL '!D11+'E Balans VL '!E11)/100/3.6*1000000</f>
        <v>0</v>
      </c>
      <c r="K11" s="33"/>
      <c r="L11" s="33"/>
      <c r="M11" s="33"/>
      <c r="N11" s="33">
        <f>$C$31*'E Balans VL '!Y11/100/3.6*1000000</f>
        <v>0.37653920936743657</v>
      </c>
      <c r="O11" s="33"/>
      <c r="P11" s="33"/>
      <c r="R11" s="32"/>
    </row>
    <row r="12" spans="1:18">
      <c r="A12" s="32" t="s">
        <v>259</v>
      </c>
      <c r="B12" s="37">
        <f t="shared" si="0"/>
        <v>6373.9881020000003</v>
      </c>
      <c r="C12" s="33"/>
      <c r="D12" s="37">
        <f>IF(ISERROR(TER_rest_gas_kWh/1000),0,TER_rest_gas_kWh/1000)*0.902</f>
        <v>7649.992661014001</v>
      </c>
      <c r="E12" s="33">
        <f>$C$32*'E Balans VL '!I8/100/3.6*1000000</f>
        <v>82.277910131391806</v>
      </c>
      <c r="F12" s="33">
        <f>$C$32*('E Balans VL '!L8+'E Balans VL '!N8)/100/3.6*1000000</f>
        <v>732.28390351325584</v>
      </c>
      <c r="G12" s="34"/>
      <c r="H12" s="33"/>
      <c r="I12" s="33"/>
      <c r="J12" s="33">
        <f>$C$32*('E Balans VL '!D8+'E Balans VL '!E8)/100/3.6*1000000</f>
        <v>1.2215410959810194E-2</v>
      </c>
      <c r="K12" s="33"/>
      <c r="L12" s="33"/>
      <c r="M12" s="33"/>
      <c r="N12" s="33">
        <f>$C$32*'E Balans VL '!Y8/100/3.6*1000000</f>
        <v>482.61819229139695</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38397.008175000003</v>
      </c>
      <c r="C16" s="21">
        <f t="shared" ca="1" si="1"/>
        <v>0</v>
      </c>
      <c r="D16" s="21">
        <f t="shared" ca="1" si="1"/>
        <v>24820.526558960002</v>
      </c>
      <c r="E16" s="21">
        <f t="shared" si="1"/>
        <v>334.18964895690971</v>
      </c>
      <c r="F16" s="21">
        <f t="shared" ca="1" si="1"/>
        <v>5110.4342168659532</v>
      </c>
      <c r="G16" s="21">
        <f t="shared" si="1"/>
        <v>0</v>
      </c>
      <c r="H16" s="21">
        <f t="shared" si="1"/>
        <v>0</v>
      </c>
      <c r="I16" s="21">
        <f t="shared" si="1"/>
        <v>0</v>
      </c>
      <c r="J16" s="21">
        <f t="shared" si="1"/>
        <v>0.34297237232841232</v>
      </c>
      <c r="K16" s="21">
        <f t="shared" si="1"/>
        <v>0</v>
      </c>
      <c r="L16" s="21">
        <f t="shared" ca="1" si="1"/>
        <v>0</v>
      </c>
      <c r="M16" s="21">
        <f t="shared" si="1"/>
        <v>0</v>
      </c>
      <c r="N16" s="21">
        <f t="shared" ca="1" si="1"/>
        <v>13380.057158468555</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0.20002323987110621</v>
      </c>
      <c r="C18" s="25">
        <f ca="1">'EF ele_warmte'!B22</f>
        <v>0.19948126680570022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7680.2939765208512</v>
      </c>
      <c r="C20" s="23">
        <f t="shared" ref="C20:P20" ca="1" si="2">C16*C18</f>
        <v>0</v>
      </c>
      <c r="D20" s="23">
        <f t="shared" ca="1" si="2"/>
        <v>5013.7463649099209</v>
      </c>
      <c r="E20" s="23">
        <f t="shared" si="2"/>
        <v>75.861050313218513</v>
      </c>
      <c r="F20" s="23">
        <f t="shared" ca="1" si="2"/>
        <v>1364.4859359032096</v>
      </c>
      <c r="G20" s="23">
        <f t="shared" si="2"/>
        <v>0</v>
      </c>
      <c r="H20" s="23">
        <f t="shared" si="2"/>
        <v>0</v>
      </c>
      <c r="I20" s="23">
        <f t="shared" si="2"/>
        <v>0</v>
      </c>
      <c r="J20" s="23">
        <f t="shared" si="2"/>
        <v>0.12141221980425795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4615.2351440000002</v>
      </c>
      <c r="C26" s="39">
        <f>IF(ISERROR(B26*3.6/1000000/'E Balans VL '!Z12*100),0,B26*3.6/1000000/'E Balans VL '!Z12*100)</f>
        <v>9.7907991124683291E-2</v>
      </c>
      <c r="D26" s="237" t="s">
        <v>716</v>
      </c>
      <c r="F26" s="6"/>
    </row>
    <row r="27" spans="1:18">
      <c r="A27" s="231" t="s">
        <v>52</v>
      </c>
      <c r="B27" s="33">
        <f>IF(ISERROR(TER_horeca_ele_kWh/1000),0,TER_horeca_ele_kWh/1000)</f>
        <v>1297.4604439999998</v>
      </c>
      <c r="C27" s="39">
        <f>IF(ISERROR(B27*3.6/1000000/'E Balans VL '!Z9*100),0,B27*3.6/1000000/'E Balans VL '!Z9*100)</f>
        <v>9.771026499505138E-2</v>
      </c>
      <c r="D27" s="237" t="s">
        <v>716</v>
      </c>
      <c r="F27" s="6"/>
    </row>
    <row r="28" spans="1:18">
      <c r="A28" s="171" t="s">
        <v>51</v>
      </c>
      <c r="B28" s="33">
        <f>IF(ISERROR(TER_handel_ele_kWh/1000),0,TER_handel_ele_kWh/1000)</f>
        <v>6184.7261189999999</v>
      </c>
      <c r="C28" s="39">
        <f>IF(ISERROR(B28*3.6/1000000/'E Balans VL '!Z13*100),0,B28*3.6/1000000/'E Balans VL '!Z13*100)</f>
        <v>0.17952068504014543</v>
      </c>
      <c r="D28" s="237" t="s">
        <v>716</v>
      </c>
      <c r="F28" s="6"/>
    </row>
    <row r="29" spans="1:18">
      <c r="A29" s="231" t="s">
        <v>50</v>
      </c>
      <c r="B29" s="33">
        <f>IF(ISERROR(TER_gezond_ele_kWh/1000),0,TER_gezond_ele_kWh/1000)</f>
        <v>272.55362000000002</v>
      </c>
      <c r="C29" s="39">
        <f>IF(ISERROR(B29*3.6/1000000/'E Balans VL '!Z10*100),0,B29*3.6/1000000/'E Balans VL '!Z10*100)</f>
        <v>2.7487357610430176E-2</v>
      </c>
      <c r="D29" s="237" t="s">
        <v>716</v>
      </c>
      <c r="F29" s="6"/>
    </row>
    <row r="30" spans="1:18">
      <c r="A30" s="231" t="s">
        <v>49</v>
      </c>
      <c r="B30" s="33">
        <f>IF(ISERROR(TER_ander_ele_kWh/1000),0,TER_ander_ele_kWh/1000)</f>
        <v>19483.735690000001</v>
      </c>
      <c r="C30" s="39">
        <f>IF(ISERROR(B30*3.6/1000000/'E Balans VL '!Z14*100),0,B30*3.6/1000000/'E Balans VL '!Z14*100)</f>
        <v>1.4138108312013566</v>
      </c>
      <c r="D30" s="237" t="s">
        <v>716</v>
      </c>
      <c r="F30" s="6"/>
    </row>
    <row r="31" spans="1:18">
      <c r="A31" s="231" t="s">
        <v>54</v>
      </c>
      <c r="B31" s="33">
        <f>IF(ISERROR(TER_onderwijs_ele_kWh/1000),0,TER_onderwijs_ele_kWh/1000)</f>
        <v>169.309056</v>
      </c>
      <c r="C31" s="39">
        <f>IF(ISERROR(B31*3.6/1000000/'E Balans VL '!Z11*100),0,B31*3.6/1000000/'E Balans VL '!Z11*100)</f>
        <v>4.8259975545797237E-2</v>
      </c>
      <c r="D31" s="237" t="s">
        <v>716</v>
      </c>
    </row>
    <row r="32" spans="1:18">
      <c r="A32" s="231" t="s">
        <v>259</v>
      </c>
      <c r="B32" s="33">
        <f>IF(ISERROR(TER_rest_ele_kWh/1000),0,TER_rest_ele_kWh/1000)</f>
        <v>6373.9881020000003</v>
      </c>
      <c r="C32" s="39">
        <f>IF(ISERROR(B32*3.6/1000000/'E Balans VL '!Z8*100),0,B32*3.6/1000000/'E Balans VL '!Z8*100)</f>
        <v>5.2214412210992212E-2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34555.530262</v>
      </c>
      <c r="C5" s="17">
        <f>IF(ISERROR('Eigen informatie GS &amp; warmtenet'!B61),0,'Eigen informatie GS &amp; warmtenet'!B61)</f>
        <v>0</v>
      </c>
      <c r="D5" s="30">
        <f>SUM(D6:D15)</f>
        <v>95061.374742223998</v>
      </c>
      <c r="E5" s="17">
        <f>SUM(E6:E15)</f>
        <v>1836.1006562096777</v>
      </c>
      <c r="F5" s="17">
        <f>SUM(F6:F15)</f>
        <v>6731.0286067246716</v>
      </c>
      <c r="G5" s="18"/>
      <c r="H5" s="17"/>
      <c r="I5" s="17"/>
      <c r="J5" s="17">
        <f>SUM(J6:J15)</f>
        <v>264.34071947448268</v>
      </c>
      <c r="K5" s="17"/>
      <c r="L5" s="17"/>
      <c r="M5" s="17"/>
      <c r="N5" s="17">
        <f>SUM(N6:N15)</f>
        <v>1401.6576684138731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210.484014</v>
      </c>
      <c r="C8" s="33"/>
      <c r="D8" s="37">
        <f>IF( ISERROR(IND_metaal_Gas_kWH/1000),0,IND_metaal_Gas_kWH/1000)*0.902</f>
        <v>92.542358700000008</v>
      </c>
      <c r="E8" s="33">
        <f>C30*'E Balans VL '!I18/100/3.6*1000000</f>
        <v>1.5184944295220544</v>
      </c>
      <c r="F8" s="33">
        <f>C30*'E Balans VL '!L18/100/3.6*1000000+C30*'E Balans VL '!N18/100/3.6*1000000</f>
        <v>19.907906671050448</v>
      </c>
      <c r="G8" s="34"/>
      <c r="H8" s="33"/>
      <c r="I8" s="33"/>
      <c r="J8" s="40">
        <f>C30*'E Balans VL '!D18/100/3.6*1000000+C30*'E Balans VL '!E18/100/3.6*1000000</f>
        <v>0.21170604444550581</v>
      </c>
      <c r="K8" s="33"/>
      <c r="L8" s="33"/>
      <c r="M8" s="33"/>
      <c r="N8" s="33">
        <f>C30*'E Balans VL '!Y18/100/3.6*1000000</f>
        <v>2.6610748226816927</v>
      </c>
      <c r="O8" s="33"/>
      <c r="P8" s="33"/>
      <c r="R8" s="32"/>
    </row>
    <row r="9" spans="1:18">
      <c r="A9" s="6" t="s">
        <v>32</v>
      </c>
      <c r="B9" s="37">
        <f t="shared" si="0"/>
        <v>1159.8534099999999</v>
      </c>
      <c r="C9" s="33"/>
      <c r="D9" s="37">
        <f>IF( ISERROR(IND_andere_gas_kWh/1000),0,IND_andere_gas_kWh/1000)*0.902</f>
        <v>1425.4926675220001</v>
      </c>
      <c r="E9" s="33">
        <f>C31*'E Balans VL '!I19/100/3.6*1000000</f>
        <v>321.41088909411661</v>
      </c>
      <c r="F9" s="33">
        <f>C31*'E Balans VL '!L19/100/3.6*1000000+C31*'E Balans VL '!N19/100/3.6*1000000</f>
        <v>961.28901267053584</v>
      </c>
      <c r="G9" s="34"/>
      <c r="H9" s="33"/>
      <c r="I9" s="33"/>
      <c r="J9" s="40">
        <f>C31*'E Balans VL '!D19/100/3.6*1000000+C31*'E Balans VL '!E19/100/3.6*1000000</f>
        <v>0</v>
      </c>
      <c r="K9" s="33"/>
      <c r="L9" s="33"/>
      <c r="M9" s="33"/>
      <c r="N9" s="33">
        <f>C31*'E Balans VL '!Y19/100/3.6*1000000</f>
        <v>84.191171022985159</v>
      </c>
      <c r="O9" s="33"/>
      <c r="P9" s="33"/>
      <c r="R9" s="32"/>
    </row>
    <row r="10" spans="1:18">
      <c r="A10" s="6" t="s">
        <v>40</v>
      </c>
      <c r="B10" s="37">
        <f t="shared" si="0"/>
        <v>1213.0118379999999</v>
      </c>
      <c r="C10" s="33"/>
      <c r="D10" s="37">
        <f>IF( ISERROR(IND_voed_gas_kWh/1000),0,IND_voed_gas_kWh/1000)*0.902</f>
        <v>636.47623140200005</v>
      </c>
      <c r="E10" s="33">
        <f>C32*'E Balans VL '!I20/100/3.6*1000000</f>
        <v>2.1474418267118036</v>
      </c>
      <c r="F10" s="33">
        <f>C32*'E Balans VL '!L20/100/3.6*1000000+C32*'E Balans VL '!N20/100/3.6*1000000</f>
        <v>65.513390079483685</v>
      </c>
      <c r="G10" s="34"/>
      <c r="H10" s="33"/>
      <c r="I10" s="33"/>
      <c r="J10" s="40">
        <f>C32*'E Balans VL '!D20/100/3.6*1000000+C32*'E Balans VL '!E20/100/3.6*1000000</f>
        <v>0</v>
      </c>
      <c r="K10" s="33"/>
      <c r="L10" s="33"/>
      <c r="M10" s="33"/>
      <c r="N10" s="33">
        <f>C32*'E Balans VL '!Y20/100/3.6*1000000</f>
        <v>70.485251674643052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31972.181</v>
      </c>
      <c r="C15" s="33"/>
      <c r="D15" s="37">
        <f>IF( ISERROR(IND_rest_gas_kWh/1000),0,IND_rest_gas_kWh/1000)*0.902</f>
        <v>92906.863484599991</v>
      </c>
      <c r="E15" s="33">
        <f>C37*'E Balans VL '!I15/100/3.6*1000000</f>
        <v>1511.0238308593273</v>
      </c>
      <c r="F15" s="33">
        <f>C37*'E Balans VL '!L15/100/3.6*1000000+C37*'E Balans VL '!N15/100/3.6*1000000</f>
        <v>5684.3182973036019</v>
      </c>
      <c r="G15" s="34"/>
      <c r="H15" s="33"/>
      <c r="I15" s="33"/>
      <c r="J15" s="40">
        <f>C37*'E Balans VL '!D15/100/3.6*1000000+C37*'E Balans VL '!E15/100/3.6*1000000</f>
        <v>264.12901343003716</v>
      </c>
      <c r="K15" s="33"/>
      <c r="L15" s="33"/>
      <c r="M15" s="33"/>
      <c r="N15" s="33">
        <f>C37*'E Balans VL '!Y15/100/3.6*1000000</f>
        <v>1244.3201708935633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34555.530262</v>
      </c>
      <c r="C18" s="21">
        <f>C5+C16</f>
        <v>0</v>
      </c>
      <c r="D18" s="21">
        <f>MAX((D5+D16),0)</f>
        <v>95061.374742223998</v>
      </c>
      <c r="E18" s="21">
        <f>MAX((E5+E16),0)</f>
        <v>1836.1006562096777</v>
      </c>
      <c r="F18" s="21">
        <f>MAX((F5+F16),0)</f>
        <v>6731.0286067246716</v>
      </c>
      <c r="G18" s="21"/>
      <c r="H18" s="21"/>
      <c r="I18" s="21"/>
      <c r="J18" s="21">
        <f>MAX((J5+J16),0)</f>
        <v>264.34071947448268</v>
      </c>
      <c r="K18" s="21"/>
      <c r="L18" s="21">
        <f>MAX((L5+L16),0)</f>
        <v>0</v>
      </c>
      <c r="M18" s="21"/>
      <c r="N18" s="21">
        <f>MAX((N5+N16),0)</f>
        <v>1401.6576684138731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0.20002323987110621</v>
      </c>
      <c r="C20" s="25">
        <f ca="1">'EF ele_warmte'!B22</f>
        <v>0.19948126680570022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6911.9091184692952</v>
      </c>
      <c r="C22" s="23">
        <f ca="1">C18*C20</f>
        <v>0</v>
      </c>
      <c r="D22" s="23">
        <f>D18*D20</f>
        <v>19202.397697929249</v>
      </c>
      <c r="E22" s="23">
        <f>E18*E20</f>
        <v>416.79484895959683</v>
      </c>
      <c r="F22" s="23">
        <f>F18*F20</f>
        <v>1797.1846379954875</v>
      </c>
      <c r="G22" s="23"/>
      <c r="H22" s="23"/>
      <c r="I22" s="23"/>
      <c r="J22" s="23">
        <f>J18*J20</f>
        <v>93.57661469396686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210.484014</v>
      </c>
      <c r="C30" s="39">
        <f>IF(ISERROR(B30*3.6/1000000/'E Balans VL '!Z18*100),0,B30*3.6/1000000/'E Balans VL '!Z18*100)</f>
        <v>1.2150913699979645E-2</v>
      </c>
      <c r="D30" s="237" t="s">
        <v>716</v>
      </c>
    </row>
    <row r="31" spans="1:18">
      <c r="A31" s="6" t="s">
        <v>32</v>
      </c>
      <c r="B31" s="37">
        <f>IF( ISERROR(IND_ander_ele_kWh/1000),0,IND_ander_ele_kWh/1000)</f>
        <v>1159.8534099999999</v>
      </c>
      <c r="C31" s="39">
        <f>IF(ISERROR(B31*3.6/1000000/'E Balans VL '!Z19*100),0,B31*3.6/1000000/'E Balans VL '!Z19*100)</f>
        <v>5.8336867003743721E-2</v>
      </c>
      <c r="D31" s="237" t="s">
        <v>716</v>
      </c>
    </row>
    <row r="32" spans="1:18">
      <c r="A32" s="171" t="s">
        <v>40</v>
      </c>
      <c r="B32" s="37">
        <f>IF( ISERROR(IND_voed_ele_kWh/1000),0,IND_voed_ele_kWh/1000)</f>
        <v>1213.0118379999999</v>
      </c>
      <c r="C32" s="39">
        <f>IF(ISERROR(B32*3.6/1000000/'E Balans VL '!Z20*100),0,B32*3.6/1000000/'E Balans VL '!Z20*100)</f>
        <v>4.0400497370624525E-2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31972.181</v>
      </c>
      <c r="C37" s="39">
        <f>IF(ISERROR(B37*3.6/1000000/'E Balans VL '!Z15*100),0,B37*3.6/1000000/'E Balans VL '!Z15*100)</f>
        <v>0.24947044392347439</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2906.0902709999996</v>
      </c>
      <c r="C5" s="17">
        <f>'Eigen informatie GS &amp; warmtenet'!B62</f>
        <v>0</v>
      </c>
      <c r="D5" s="30">
        <f>IF(ISERROR(SUM(LB_lb_gas_kWh,LB_rest_gas_kWh)/1000),0,SUM(LB_lb_gas_kWh,LB_rest_gas_kWh)/1000)*0.902</f>
        <v>72848.427813480012</v>
      </c>
      <c r="E5" s="17">
        <f>B17*'E Balans VL '!I25/3.6*1000000/100</f>
        <v>90.698119047563324</v>
      </c>
      <c r="F5" s="17">
        <f>B17*('E Balans VL '!L25/3.6*1000000+'E Balans VL '!N25/3.6*1000000)/100</f>
        <v>10270.444945709891</v>
      </c>
      <c r="G5" s="18"/>
      <c r="H5" s="17"/>
      <c r="I5" s="17"/>
      <c r="J5" s="17">
        <f>('E Balans VL '!D25+'E Balans VL '!E25)/3.6*1000000*landbouw!B17/100</f>
        <v>800.64802321990476</v>
      </c>
      <c r="K5" s="17"/>
      <c r="L5" s="17">
        <f>L6*(-1)</f>
        <v>0</v>
      </c>
      <c r="M5" s="17"/>
      <c r="N5" s="17">
        <f>N6*(-1)</f>
        <v>22061.571428571431</v>
      </c>
      <c r="O5" s="17"/>
      <c r="P5" s="17"/>
      <c r="R5" s="32"/>
    </row>
    <row r="6" spans="1:18">
      <c r="A6" s="16" t="s">
        <v>482</v>
      </c>
      <c r="B6" s="17" t="s">
        <v>210</v>
      </c>
      <c r="C6" s="17">
        <f>'lokale energieproductie'!O92+'lokale energieproductie'!O61</f>
        <v>68685.42857142858</v>
      </c>
      <c r="D6" s="310">
        <f>('lokale energieproductie'!P61+'lokale energieproductie'!P92)*(-1)</f>
        <v>-115309.28571428572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-22061.571428571431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2906.0902709999996</v>
      </c>
      <c r="C8" s="21">
        <f>C5+C6</f>
        <v>68685.42857142858</v>
      </c>
      <c r="D8" s="21">
        <f>MAX((D5+D6),0)</f>
        <v>0</v>
      </c>
      <c r="E8" s="21">
        <f>MAX((E5+E6),0)</f>
        <v>90.698119047563324</v>
      </c>
      <c r="F8" s="21">
        <f>MAX((F5+F6),0)</f>
        <v>10270.444945709891</v>
      </c>
      <c r="G8" s="21"/>
      <c r="H8" s="21"/>
      <c r="I8" s="21"/>
      <c r="J8" s="21">
        <f>MAX((J5+J6),0)</f>
        <v>800.64802321990476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0.20002323987110621</v>
      </c>
      <c r="C10" s="31">
        <f ca="1">'EF ele_warmte'!B22</f>
        <v>0.19948126680570022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581.28559136332092</v>
      </c>
      <c r="C12" s="23">
        <f ca="1">C8*C10</f>
        <v>13701.45630252101</v>
      </c>
      <c r="D12" s="23">
        <f>D8*D10</f>
        <v>0</v>
      </c>
      <c r="E12" s="23">
        <f>E8*E10</f>
        <v>20.588473023796876</v>
      </c>
      <c r="F12" s="23">
        <f>F8*F10</f>
        <v>2742.2088005045412</v>
      </c>
      <c r="G12" s="23"/>
      <c r="H12" s="23"/>
      <c r="I12" s="23"/>
      <c r="J12" s="23">
        <f>J8*J10</f>
        <v>283.42940021984629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0.43201115161254328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114.76320314530177</v>
      </c>
      <c r="C26" s="247">
        <f>B26*'GWP N2O_CH4'!B5</f>
        <v>2410.0272660513374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43.450782754432232</v>
      </c>
      <c r="C27" s="247">
        <f>B27*'GWP N2O_CH4'!B5</f>
        <v>912.46643784307685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2.3943068644001069</v>
      </c>
      <c r="C28" s="247">
        <f>B28*'GWP N2O_CH4'!B4</f>
        <v>742.23512796403315</v>
      </c>
      <c r="D28" s="50"/>
    </row>
    <row r="29" spans="1:4">
      <c r="A29" s="41" t="s">
        <v>276</v>
      </c>
      <c r="B29" s="247">
        <f>B34*'ha_N2O bodem landbouw'!B4</f>
        <v>9.8210510078379993</v>
      </c>
      <c r="C29" s="247">
        <f>B29*'GWP N2O_CH4'!B4</f>
        <v>3044.5258124297798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2.1535796619713333E-3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7.0543683352499993E-4</v>
      </c>
      <c r="C5" s="463" t="s">
        <v>210</v>
      </c>
      <c r="D5" s="448">
        <f>SUM(D6:D11)</f>
        <v>2.5818147782131883E-3</v>
      </c>
      <c r="E5" s="448">
        <f>SUM(E6:E11)</f>
        <v>2.3769598943999999E-3</v>
      </c>
      <c r="F5" s="461" t="s">
        <v>210</v>
      </c>
      <c r="G5" s="448">
        <f>SUM(G6:G11)</f>
        <v>1.1868293903934357</v>
      </c>
      <c r="H5" s="448">
        <f>SUM(H6:H11)</f>
        <v>0.19936960241791621</v>
      </c>
      <c r="I5" s="463" t="s">
        <v>210</v>
      </c>
      <c r="J5" s="463" t="s">
        <v>210</v>
      </c>
      <c r="K5" s="463" t="s">
        <v>210</v>
      </c>
      <c r="L5" s="463" t="s">
        <v>210</v>
      </c>
      <c r="M5" s="448">
        <f>SUM(M6:M11)</f>
        <v>8.1532198371355863E-2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1.8728325816499999E-4</v>
      </c>
      <c r="C6" s="449"/>
      <c r="D6" s="917">
        <f>vkm_2011_GW_PW*SUMIFS(TableVerdeelsleutelVkm[CNG],TableVerdeelsleutelVkm[Voertuigtype],"Lichte voertuigen")*SUMIFS(TableECFTransport[EnergieConsumptieFactor (PJ per km)],TableECFTransport[Index],CONCATENATE($A6,"_CNG_CNG"))</f>
        <v>6.5121578906168396E-4</v>
      </c>
      <c r="E6" s="917">
        <f>vkm_2011_GW_PW*SUMIFS(TableVerdeelsleutelVkm[LPG],TableVerdeelsleutelVkm[Voertuigtype],"Lichte voertuigen")*SUMIFS(TableECFTransport[EnergieConsumptieFactor (PJ per km)],TableECFTransport[Index],CONCATENATE($A6,"_LPG_LPG"))</f>
        <v>5.130507506028E-4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0.13965837978130274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4.8871157031869471E-2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1.1265824798354055E-2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7.5997239482681805E-2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1.914615362593801E-5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4.3822382604818324E-3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1.9152423379999999E-5</v>
      </c>
      <c r="C8" s="449"/>
      <c r="D8" s="451">
        <f>vkm_2011_NGW_PW*SUMIFS(TableVerdeelsleutelVkm[CNG],TableVerdeelsleutelVkm[Voertuigtype],"Lichte voertuigen")*SUMIFS(TableECFTransport[EnergieConsumptieFactor (PJ per km)],TableECFTransport[Index],CONCATENATE($A8,"_CNG_CNG"))</f>
        <v>1.1785823346528001E-4</v>
      </c>
      <c r="E8" s="451">
        <f>vkm_2011_NGW_PW*SUMIFS(TableVerdeelsleutelVkm[LPG],TableVerdeelsleutelVkm[Voertuigtype],"Lichte voertuigen")*SUMIFS(TableECFTransport[EnergieConsumptieFactor (PJ per km)],TableECFTransport[Index],CONCATENATE($A8,"_LPG_LPG"))</f>
        <v>8.6080346457100004E-5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2.1744247861003155E-2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8.6184353054224328E-3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1.8204467449585888E-3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4.3653587924478515E-4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1.037697468152035E-7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2.5171614254708519E-5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4.9900115197999998E-4</v>
      </c>
      <c r="C10" s="449"/>
      <c r="D10" s="451">
        <f>vkm_2011_SW_PW*SUMIFS(TableVerdeelsleutelVkm[CNG],TableVerdeelsleutelVkm[Voertuigtype],"Lichte voertuigen")*SUMIFS(TableECFTransport[EnergieConsumptieFactor (PJ per km)],TableECFTransport[Index],CONCATENATE($A10,"_CNG_CNG"))</f>
        <v>1.8127407556862243E-3</v>
      </c>
      <c r="E10" s="451">
        <f>vkm_2011_SW_PW*SUMIFS(TableVerdeelsleutelVkm[LPG],TableVerdeelsleutelVkm[Voertuigtype],"Lichte voertuigen")*SUMIFS(TableECFTransport[EnergieConsumptieFactor (PJ per km)],TableECFTransport[Index],CONCATENATE($A10,"_LPG_LPG"))</f>
        <v>1.7778287973400999E-3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0.42988849178251975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0.14171911593312853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3.4104615179740852E-2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0.51910449560668348</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1.4164422412302926E-4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2.9933901773565821E-2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195.95467597916664</v>
      </c>
      <c r="C14" s="21"/>
      <c r="D14" s="21">
        <f t="shared" ref="D14:M14" si="0">((D5)*10^9/3600)+D12</f>
        <v>717.17077172588574</v>
      </c>
      <c r="E14" s="21">
        <f t="shared" si="0"/>
        <v>660.26663733333339</v>
      </c>
      <c r="F14" s="21"/>
      <c r="G14" s="21">
        <f t="shared" si="0"/>
        <v>329674.83066484326</v>
      </c>
      <c r="H14" s="21">
        <f t="shared" si="0"/>
        <v>55380.445116087838</v>
      </c>
      <c r="I14" s="21"/>
      <c r="J14" s="21"/>
      <c r="K14" s="21"/>
      <c r="L14" s="21"/>
      <c r="M14" s="21">
        <f t="shared" si="0"/>
        <v>22647.832880932183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0.20002323987110621</v>
      </c>
      <c r="C16" s="56">
        <f ca="1">'EF ele_warmte'!B22</f>
        <v>0.19948126680570022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39.195489157245738</v>
      </c>
      <c r="C18" s="23"/>
      <c r="D18" s="23">
        <f t="shared" ref="D18:M18" si="1">D14*D16</f>
        <v>144.86849588862893</v>
      </c>
      <c r="E18" s="23">
        <f t="shared" si="1"/>
        <v>149.8805266746667</v>
      </c>
      <c r="F18" s="23"/>
      <c r="G18" s="23">
        <f t="shared" si="1"/>
        <v>88023.17978751316</v>
      </c>
      <c r="H18" s="23">
        <f t="shared" si="1"/>
        <v>13789.730833905871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1.1525025129871412E-2</v>
      </c>
      <c r="H50" s="321">
        <f t="shared" si="2"/>
        <v>0</v>
      </c>
      <c r="I50" s="321">
        <f t="shared" si="2"/>
        <v>0</v>
      </c>
      <c r="J50" s="321">
        <f t="shared" si="2"/>
        <v>0</v>
      </c>
      <c r="K50" s="321">
        <f t="shared" si="2"/>
        <v>0</v>
      </c>
      <c r="L50" s="321">
        <f t="shared" si="2"/>
        <v>0</v>
      </c>
      <c r="M50" s="321">
        <f t="shared" si="2"/>
        <v>6.4056217189223201E-4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1.1525025129871412E-2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6.4056217189223201E-4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3201.3958694087255</v>
      </c>
      <c r="H54" s="21">
        <f t="shared" si="3"/>
        <v>0</v>
      </c>
      <c r="I54" s="21">
        <f t="shared" si="3"/>
        <v>0</v>
      </c>
      <c r="J54" s="21">
        <f t="shared" si="3"/>
        <v>0</v>
      </c>
      <c r="K54" s="21">
        <f t="shared" si="3"/>
        <v>0</v>
      </c>
      <c r="L54" s="21">
        <f t="shared" si="3"/>
        <v>0</v>
      </c>
      <c r="M54" s="21">
        <f t="shared" si="3"/>
        <v>177.93393663673112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0.20002323987110621</v>
      </c>
      <c r="C56" s="56">
        <f ca="1">'EF ele_warmte'!B22</f>
        <v>0.19948126680570022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854.77269713212979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39638.040175000002</v>
      </c>
      <c r="D10" s="712">
        <f ca="1">tertiair!C16</f>
        <v>0</v>
      </c>
      <c r="E10" s="712">
        <f ca="1">tertiair!D16</f>
        <v>24820.526558960002</v>
      </c>
      <c r="F10" s="712">
        <f>tertiair!E16</f>
        <v>334.18964895690971</v>
      </c>
      <c r="G10" s="712">
        <f ca="1">tertiair!F16</f>
        <v>5110.4342168659532</v>
      </c>
      <c r="H10" s="712">
        <f>tertiair!G16</f>
        <v>0</v>
      </c>
      <c r="I10" s="712">
        <f>tertiair!H16</f>
        <v>0</v>
      </c>
      <c r="J10" s="712">
        <f>tertiair!I16</f>
        <v>0</v>
      </c>
      <c r="K10" s="712">
        <f>tertiair!J16</f>
        <v>0.34297237232841232</v>
      </c>
      <c r="L10" s="712">
        <f>tertiair!K16</f>
        <v>0</v>
      </c>
      <c r="M10" s="712">
        <f ca="1">tertiair!L16</f>
        <v>0</v>
      </c>
      <c r="N10" s="712">
        <f>tertiair!M16</f>
        <v>0</v>
      </c>
      <c r="O10" s="712">
        <f ca="1">tertiair!N16</f>
        <v>13380.057158468555</v>
      </c>
      <c r="P10" s="712">
        <f>tertiair!O16</f>
        <v>4.8972607658411542</v>
      </c>
      <c r="Q10" s="713">
        <f>tertiair!P16</f>
        <v>157.61741491948504</v>
      </c>
      <c r="R10" s="715">
        <f ca="1">SUM(C10:Q10)</f>
        <v>83446.105406309071</v>
      </c>
      <c r="S10" s="67"/>
    </row>
    <row r="11" spans="1:19" s="474" customFormat="1">
      <c r="A11" s="834" t="s">
        <v>224</v>
      </c>
      <c r="B11" s="839"/>
      <c r="C11" s="712">
        <f>huishoudens!B8</f>
        <v>34556.994937695737</v>
      </c>
      <c r="D11" s="712">
        <f>huishoudens!C8</f>
        <v>0</v>
      </c>
      <c r="E11" s="712">
        <f>huishoudens!D8</f>
        <v>87268.120555660003</v>
      </c>
      <c r="F11" s="712">
        <f>huishoudens!E8</f>
        <v>4245.4307904913394</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21280.588076969048</v>
      </c>
      <c r="P11" s="712">
        <f>huishoudens!O8</f>
        <v>460.27830689779137</v>
      </c>
      <c r="Q11" s="713">
        <f>huishoudens!P8</f>
        <v>1179.8034424607226</v>
      </c>
      <c r="R11" s="715">
        <f>SUM(C11:Q11)</f>
        <v>148991.21611017463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34555.530262</v>
      </c>
      <c r="D13" s="712">
        <f>industrie!C18</f>
        <v>0</v>
      </c>
      <c r="E13" s="712">
        <f>industrie!D18</f>
        <v>95061.374742223998</v>
      </c>
      <c r="F13" s="712">
        <f>industrie!E18</f>
        <v>1836.1006562096777</v>
      </c>
      <c r="G13" s="712">
        <f>industrie!F18</f>
        <v>6731.0286067246716</v>
      </c>
      <c r="H13" s="712">
        <f>industrie!G18</f>
        <v>0</v>
      </c>
      <c r="I13" s="712">
        <f>industrie!H18</f>
        <v>0</v>
      </c>
      <c r="J13" s="712">
        <f>industrie!I18</f>
        <v>0</v>
      </c>
      <c r="K13" s="712">
        <f>industrie!J18</f>
        <v>264.34071947448268</v>
      </c>
      <c r="L13" s="712">
        <f>industrie!K18</f>
        <v>0</v>
      </c>
      <c r="M13" s="712">
        <f>industrie!L18</f>
        <v>0</v>
      </c>
      <c r="N13" s="712">
        <f>industrie!M18</f>
        <v>0</v>
      </c>
      <c r="O13" s="712">
        <f>industrie!N18</f>
        <v>1401.6576684138731</v>
      </c>
      <c r="P13" s="712">
        <f>industrie!O18</f>
        <v>0</v>
      </c>
      <c r="Q13" s="713">
        <f>industrie!P18</f>
        <v>0</v>
      </c>
      <c r="R13" s="715">
        <f>SUM(C13:Q13)</f>
        <v>139850.0326550467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108750.56537469574</v>
      </c>
      <c r="D16" s="748">
        <f t="shared" ref="D16:R16" ca="1" si="0">SUM(D9:D15)</f>
        <v>0</v>
      </c>
      <c r="E16" s="748">
        <f t="shared" ca="1" si="0"/>
        <v>207150.02185684402</v>
      </c>
      <c r="F16" s="748">
        <f t="shared" si="0"/>
        <v>6415.7210956579274</v>
      </c>
      <c r="G16" s="748">
        <f t="shared" ca="1" si="0"/>
        <v>11841.462823590624</v>
      </c>
      <c r="H16" s="748">
        <f t="shared" si="0"/>
        <v>0</v>
      </c>
      <c r="I16" s="748">
        <f t="shared" si="0"/>
        <v>0</v>
      </c>
      <c r="J16" s="748">
        <f t="shared" si="0"/>
        <v>0</v>
      </c>
      <c r="K16" s="748">
        <f t="shared" si="0"/>
        <v>264.68369184681109</v>
      </c>
      <c r="L16" s="748">
        <f t="shared" si="0"/>
        <v>0</v>
      </c>
      <c r="M16" s="748">
        <f t="shared" ca="1" si="0"/>
        <v>0</v>
      </c>
      <c r="N16" s="748">
        <f t="shared" si="0"/>
        <v>0</v>
      </c>
      <c r="O16" s="748">
        <f t="shared" ca="1" si="0"/>
        <v>36062.302903851472</v>
      </c>
      <c r="P16" s="748">
        <f t="shared" si="0"/>
        <v>465.17556766363253</v>
      </c>
      <c r="Q16" s="748">
        <f t="shared" si="0"/>
        <v>1337.4208573802077</v>
      </c>
      <c r="R16" s="748">
        <f t="shared" ca="1" si="0"/>
        <v>372287.3541715304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3201.3958694087255</v>
      </c>
      <c r="I19" s="712">
        <f>transport!H54</f>
        <v>0</v>
      </c>
      <c r="J19" s="712">
        <f>transport!I54</f>
        <v>0</v>
      </c>
      <c r="K19" s="712">
        <f>transport!J54</f>
        <v>0</v>
      </c>
      <c r="L19" s="712">
        <f>transport!K54</f>
        <v>0</v>
      </c>
      <c r="M19" s="712">
        <f>transport!L54</f>
        <v>0</v>
      </c>
      <c r="N19" s="712">
        <f>transport!M54</f>
        <v>177.93393663673112</v>
      </c>
      <c r="O19" s="712">
        <f>transport!N54</f>
        <v>0</v>
      </c>
      <c r="P19" s="712">
        <f>transport!O54</f>
        <v>0</v>
      </c>
      <c r="Q19" s="713">
        <f>transport!P54</f>
        <v>0</v>
      </c>
      <c r="R19" s="715">
        <f>SUM(C19:Q19)</f>
        <v>3379.3298060454567</v>
      </c>
      <c r="S19" s="67"/>
    </row>
    <row r="20" spans="1:19" s="474" customFormat="1">
      <c r="A20" s="834" t="s">
        <v>306</v>
      </c>
      <c r="B20" s="839"/>
      <c r="C20" s="712">
        <f>transport!B14</f>
        <v>195.95467597916664</v>
      </c>
      <c r="D20" s="712">
        <f>transport!C14</f>
        <v>0</v>
      </c>
      <c r="E20" s="712">
        <f>transport!D14</f>
        <v>717.17077172588574</v>
      </c>
      <c r="F20" s="712">
        <f>transport!E14</f>
        <v>660.26663733333339</v>
      </c>
      <c r="G20" s="712">
        <f>transport!F14</f>
        <v>0</v>
      </c>
      <c r="H20" s="712">
        <f>transport!G14</f>
        <v>329674.83066484326</v>
      </c>
      <c r="I20" s="712">
        <f>transport!H14</f>
        <v>55380.445116087838</v>
      </c>
      <c r="J20" s="712">
        <f>transport!I14</f>
        <v>0</v>
      </c>
      <c r="K20" s="712">
        <f>transport!J14</f>
        <v>0</v>
      </c>
      <c r="L20" s="712">
        <f>transport!K14</f>
        <v>0</v>
      </c>
      <c r="M20" s="712">
        <f>transport!L14</f>
        <v>0</v>
      </c>
      <c r="N20" s="712">
        <f>transport!M14</f>
        <v>22647.832880932183</v>
      </c>
      <c r="O20" s="712">
        <f>transport!N14</f>
        <v>0</v>
      </c>
      <c r="P20" s="712">
        <f>transport!O14</f>
        <v>0</v>
      </c>
      <c r="Q20" s="713">
        <f>transport!P14</f>
        <v>0</v>
      </c>
      <c r="R20" s="715">
        <f>SUM(C20:Q20)</f>
        <v>409276.50074690167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195.95467597916664</v>
      </c>
      <c r="D22" s="837">
        <f t="shared" ref="D22:R22" si="1">SUM(D18:D21)</f>
        <v>0</v>
      </c>
      <c r="E22" s="837">
        <f t="shared" si="1"/>
        <v>717.17077172588574</v>
      </c>
      <c r="F22" s="837">
        <f t="shared" si="1"/>
        <v>660.26663733333339</v>
      </c>
      <c r="G22" s="837">
        <f t="shared" si="1"/>
        <v>0</v>
      </c>
      <c r="H22" s="837">
        <f t="shared" si="1"/>
        <v>332876.226534252</v>
      </c>
      <c r="I22" s="837">
        <f t="shared" si="1"/>
        <v>55380.445116087838</v>
      </c>
      <c r="J22" s="837">
        <f t="shared" si="1"/>
        <v>0</v>
      </c>
      <c r="K22" s="837">
        <f t="shared" si="1"/>
        <v>0</v>
      </c>
      <c r="L22" s="837">
        <f t="shared" si="1"/>
        <v>0</v>
      </c>
      <c r="M22" s="837">
        <f t="shared" si="1"/>
        <v>0</v>
      </c>
      <c r="N22" s="837">
        <f t="shared" si="1"/>
        <v>22825.766817568914</v>
      </c>
      <c r="O22" s="837">
        <f t="shared" si="1"/>
        <v>0</v>
      </c>
      <c r="P22" s="837">
        <f t="shared" si="1"/>
        <v>0</v>
      </c>
      <c r="Q22" s="837">
        <f t="shared" si="1"/>
        <v>0</v>
      </c>
      <c r="R22" s="837">
        <f t="shared" si="1"/>
        <v>412655.83055294713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2906.0902709999996</v>
      </c>
      <c r="D24" s="712">
        <f>+landbouw!C8</f>
        <v>68685.42857142858</v>
      </c>
      <c r="E24" s="712">
        <f>+landbouw!D8</f>
        <v>0</v>
      </c>
      <c r="F24" s="712">
        <f>+landbouw!E8</f>
        <v>90.698119047563324</v>
      </c>
      <c r="G24" s="712">
        <f>+landbouw!F8</f>
        <v>10270.444945709891</v>
      </c>
      <c r="H24" s="712">
        <f>+landbouw!G8</f>
        <v>0</v>
      </c>
      <c r="I24" s="712">
        <f>+landbouw!H8</f>
        <v>0</v>
      </c>
      <c r="J24" s="712">
        <f>+landbouw!I8</f>
        <v>0</v>
      </c>
      <c r="K24" s="712">
        <f>+landbouw!J8</f>
        <v>800.64802321990476</v>
      </c>
      <c r="L24" s="712">
        <f>+landbouw!K8</f>
        <v>0</v>
      </c>
      <c r="M24" s="712">
        <f>+landbouw!L8</f>
        <v>0</v>
      </c>
      <c r="N24" s="712">
        <f>+landbouw!M8</f>
        <v>0</v>
      </c>
      <c r="O24" s="712">
        <f>+landbouw!N8</f>
        <v>0</v>
      </c>
      <c r="P24" s="712">
        <f>+landbouw!O8</f>
        <v>0</v>
      </c>
      <c r="Q24" s="713">
        <f>+landbouw!P8</f>
        <v>0</v>
      </c>
      <c r="R24" s="715">
        <f>SUM(C24:Q24)</f>
        <v>82753.309930405943</v>
      </c>
      <c r="S24" s="67"/>
    </row>
    <row r="25" spans="1:19" s="474" customFormat="1" ht="15" thickBot="1">
      <c r="A25" s="856" t="s">
        <v>734</v>
      </c>
      <c r="B25" s="982"/>
      <c r="C25" s="983">
        <f>IF(Onbekend_ele_kWh="---",0,Onbekend_ele_kWh)/1000+IF(REST_rest_ele_kWh="---",0,REST_rest_ele_kWh)/1000</f>
        <v>1002.403112</v>
      </c>
      <c r="D25" s="983"/>
      <c r="E25" s="983">
        <f>IF(onbekend_gas_kWh="---",0,onbekend_gas_kWh)/1000+IF(REST_rest_gas_kWh="---",0,REST_rest_gas_kWh)/1000</f>
        <v>2350.2820860000002</v>
      </c>
      <c r="F25" s="983"/>
      <c r="G25" s="983"/>
      <c r="H25" s="983"/>
      <c r="I25" s="983"/>
      <c r="J25" s="983"/>
      <c r="K25" s="983"/>
      <c r="L25" s="983"/>
      <c r="M25" s="983"/>
      <c r="N25" s="983"/>
      <c r="O25" s="983"/>
      <c r="P25" s="983"/>
      <c r="Q25" s="984"/>
      <c r="R25" s="715">
        <f>SUM(C25:Q25)</f>
        <v>3352.6851980000001</v>
      </c>
      <c r="S25" s="67"/>
    </row>
    <row r="26" spans="1:19" s="474" customFormat="1" ht="15.75" thickBot="1">
      <c r="A26" s="720" t="s">
        <v>735</v>
      </c>
      <c r="B26" s="842"/>
      <c r="C26" s="837">
        <f>SUM(C24:C25)</f>
        <v>3908.4933829999995</v>
      </c>
      <c r="D26" s="837">
        <f t="shared" ref="D26:R26" si="2">SUM(D24:D25)</f>
        <v>68685.42857142858</v>
      </c>
      <c r="E26" s="837">
        <f t="shared" si="2"/>
        <v>2350.2820860000002</v>
      </c>
      <c r="F26" s="837">
        <f t="shared" si="2"/>
        <v>90.698119047563324</v>
      </c>
      <c r="G26" s="837">
        <f t="shared" si="2"/>
        <v>10270.444945709891</v>
      </c>
      <c r="H26" s="837">
        <f t="shared" si="2"/>
        <v>0</v>
      </c>
      <c r="I26" s="837">
        <f t="shared" si="2"/>
        <v>0</v>
      </c>
      <c r="J26" s="837">
        <f t="shared" si="2"/>
        <v>0</v>
      </c>
      <c r="K26" s="837">
        <f t="shared" si="2"/>
        <v>800.64802321990476</v>
      </c>
      <c r="L26" s="837">
        <f t="shared" si="2"/>
        <v>0</v>
      </c>
      <c r="M26" s="837">
        <f t="shared" si="2"/>
        <v>0</v>
      </c>
      <c r="N26" s="837">
        <f t="shared" si="2"/>
        <v>0</v>
      </c>
      <c r="O26" s="837">
        <f t="shared" si="2"/>
        <v>0</v>
      </c>
      <c r="P26" s="837">
        <f t="shared" si="2"/>
        <v>0</v>
      </c>
      <c r="Q26" s="837">
        <f t="shared" si="2"/>
        <v>0</v>
      </c>
      <c r="R26" s="837">
        <f t="shared" si="2"/>
        <v>86105.99512840595</v>
      </c>
      <c r="S26" s="67"/>
    </row>
    <row r="27" spans="1:19" s="474" customFormat="1" ht="17.25" thickTop="1" thickBot="1">
      <c r="A27" s="721" t="s">
        <v>115</v>
      </c>
      <c r="B27" s="829"/>
      <c r="C27" s="722">
        <f ca="1">C22+C16+C26</f>
        <v>112855.0134336749</v>
      </c>
      <c r="D27" s="722">
        <f t="shared" ref="D27:R27" ca="1" si="3">D22+D16+D26</f>
        <v>68685.42857142858</v>
      </c>
      <c r="E27" s="722">
        <f t="shared" ca="1" si="3"/>
        <v>210217.47471456989</v>
      </c>
      <c r="F27" s="722">
        <f t="shared" si="3"/>
        <v>7166.6858520388241</v>
      </c>
      <c r="G27" s="722">
        <f t="shared" ca="1" si="3"/>
        <v>22111.907769300517</v>
      </c>
      <c r="H27" s="722">
        <f t="shared" si="3"/>
        <v>332876.226534252</v>
      </c>
      <c r="I27" s="722">
        <f t="shared" si="3"/>
        <v>55380.445116087838</v>
      </c>
      <c r="J27" s="722">
        <f t="shared" si="3"/>
        <v>0</v>
      </c>
      <c r="K27" s="722">
        <f t="shared" si="3"/>
        <v>1065.3317150667158</v>
      </c>
      <c r="L27" s="722">
        <f t="shared" si="3"/>
        <v>0</v>
      </c>
      <c r="M27" s="722">
        <f t="shared" ca="1" si="3"/>
        <v>0</v>
      </c>
      <c r="N27" s="722">
        <f t="shared" si="3"/>
        <v>22825.766817568914</v>
      </c>
      <c r="O27" s="722">
        <f t="shared" ca="1" si="3"/>
        <v>36062.302903851472</v>
      </c>
      <c r="P27" s="722">
        <f t="shared" si="3"/>
        <v>465.17556766363253</v>
      </c>
      <c r="Q27" s="722">
        <f t="shared" si="3"/>
        <v>1337.4208573802077</v>
      </c>
      <c r="R27" s="722">
        <f t="shared" ca="1" si="3"/>
        <v>871049.17985288356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7928.5292179445696</v>
      </c>
      <c r="D40" s="712">
        <f ca="1">tertiair!C20</f>
        <v>0</v>
      </c>
      <c r="E40" s="712">
        <f ca="1">tertiair!D20</f>
        <v>5013.7463649099209</v>
      </c>
      <c r="F40" s="712">
        <f>tertiair!E20</f>
        <v>75.861050313218513</v>
      </c>
      <c r="G40" s="712">
        <f ca="1">tertiair!F20</f>
        <v>1364.4859359032096</v>
      </c>
      <c r="H40" s="712">
        <f>tertiair!G20</f>
        <v>0</v>
      </c>
      <c r="I40" s="712">
        <f>tertiair!H20</f>
        <v>0</v>
      </c>
      <c r="J40" s="712">
        <f>tertiair!I20</f>
        <v>0</v>
      </c>
      <c r="K40" s="712">
        <f>tertiair!J20</f>
        <v>0.12141221980425795</v>
      </c>
      <c r="L40" s="712">
        <f>tertiair!K20</f>
        <v>0</v>
      </c>
      <c r="M40" s="712">
        <f ca="1">tertiair!L20</f>
        <v>0</v>
      </c>
      <c r="N40" s="712">
        <f>tertiair!M20</f>
        <v>0</v>
      </c>
      <c r="O40" s="712">
        <f ca="1">tertiair!N20</f>
        <v>0</v>
      </c>
      <c r="P40" s="712">
        <f>tertiair!O20</f>
        <v>0</v>
      </c>
      <c r="Q40" s="795">
        <f>tertiair!P20</f>
        <v>0</v>
      </c>
      <c r="R40" s="875">
        <f t="shared" ca="1" si="4"/>
        <v>14382.743981290721</v>
      </c>
    </row>
    <row r="41" spans="1:18">
      <c r="A41" s="847" t="s">
        <v>224</v>
      </c>
      <c r="B41" s="854"/>
      <c r="C41" s="712">
        <f ca="1">huishoudens!B12</f>
        <v>6912.2020876473171</v>
      </c>
      <c r="D41" s="712">
        <f ca="1">huishoudens!C12</f>
        <v>0</v>
      </c>
      <c r="E41" s="712">
        <f>huishoudens!D12</f>
        <v>17628.160352243322</v>
      </c>
      <c r="F41" s="712">
        <f>huishoudens!E12</f>
        <v>963.71278944153403</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25504.075229332175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6911.9091184692952</v>
      </c>
      <c r="D43" s="712">
        <f ca="1">industrie!C22</f>
        <v>0</v>
      </c>
      <c r="E43" s="712">
        <f>industrie!D22</f>
        <v>19202.397697929249</v>
      </c>
      <c r="F43" s="712">
        <f>industrie!E22</f>
        <v>416.79484895959683</v>
      </c>
      <c r="G43" s="712">
        <f>industrie!F22</f>
        <v>1797.1846379954875</v>
      </c>
      <c r="H43" s="712">
        <f>industrie!G22</f>
        <v>0</v>
      </c>
      <c r="I43" s="712">
        <f>industrie!H22</f>
        <v>0</v>
      </c>
      <c r="J43" s="712">
        <f>industrie!I22</f>
        <v>0</v>
      </c>
      <c r="K43" s="712">
        <f>industrie!J22</f>
        <v>93.57661469396686</v>
      </c>
      <c r="L43" s="712">
        <f>industrie!K22</f>
        <v>0</v>
      </c>
      <c r="M43" s="712">
        <f>industrie!L22</f>
        <v>0</v>
      </c>
      <c r="N43" s="712">
        <f>industrie!M22</f>
        <v>0</v>
      </c>
      <c r="O43" s="712">
        <f>industrie!N22</f>
        <v>0</v>
      </c>
      <c r="P43" s="712">
        <f>industrie!O22</f>
        <v>0</v>
      </c>
      <c r="Q43" s="795">
        <f>industrie!P22</f>
        <v>0</v>
      </c>
      <c r="R43" s="874">
        <f t="shared" ca="1" si="4"/>
        <v>28421.862918047598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21752.640424061181</v>
      </c>
      <c r="D46" s="748">
        <f t="shared" ref="D46:Q46" ca="1" si="5">SUM(D39:D45)</f>
        <v>0</v>
      </c>
      <c r="E46" s="748">
        <f t="shared" ca="1" si="5"/>
        <v>41844.304415082494</v>
      </c>
      <c r="F46" s="748">
        <f t="shared" si="5"/>
        <v>1456.3686887143494</v>
      </c>
      <c r="G46" s="748">
        <f t="shared" ca="1" si="5"/>
        <v>3161.6705738986971</v>
      </c>
      <c r="H46" s="748">
        <f t="shared" si="5"/>
        <v>0</v>
      </c>
      <c r="I46" s="748">
        <f t="shared" si="5"/>
        <v>0</v>
      </c>
      <c r="J46" s="748">
        <f t="shared" si="5"/>
        <v>0</v>
      </c>
      <c r="K46" s="748">
        <f t="shared" si="5"/>
        <v>93.698026913771116</v>
      </c>
      <c r="L46" s="748">
        <f t="shared" si="5"/>
        <v>0</v>
      </c>
      <c r="M46" s="748">
        <f t="shared" ca="1" si="5"/>
        <v>0</v>
      </c>
      <c r="N46" s="748">
        <f t="shared" si="5"/>
        <v>0</v>
      </c>
      <c r="O46" s="748">
        <f t="shared" ca="1" si="5"/>
        <v>0</v>
      </c>
      <c r="P46" s="748">
        <f t="shared" si="5"/>
        <v>0</v>
      </c>
      <c r="Q46" s="748">
        <f t="shared" si="5"/>
        <v>0</v>
      </c>
      <c r="R46" s="748">
        <f ca="1">SUM(R39:R45)</f>
        <v>68308.682128670494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854.77269713212979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854.77269713212979</v>
      </c>
    </row>
    <row r="50" spans="1:18">
      <c r="A50" s="850" t="s">
        <v>306</v>
      </c>
      <c r="B50" s="860"/>
      <c r="C50" s="718">
        <f ca="1">transport!B18</f>
        <v>39.195489157245738</v>
      </c>
      <c r="D50" s="718">
        <f>transport!C18</f>
        <v>0</v>
      </c>
      <c r="E50" s="718">
        <f>transport!D18</f>
        <v>144.86849588862893</v>
      </c>
      <c r="F50" s="718">
        <f>transport!E18</f>
        <v>149.8805266746667</v>
      </c>
      <c r="G50" s="718">
        <f>transport!F18</f>
        <v>0</v>
      </c>
      <c r="H50" s="718">
        <f>transport!G18</f>
        <v>88023.17978751316</v>
      </c>
      <c r="I50" s="718">
        <f>transport!H18</f>
        <v>13789.730833905871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102146.85513313957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39.195489157245738</v>
      </c>
      <c r="D52" s="748">
        <f t="shared" ref="D52:Q52" ca="1" si="6">SUM(D48:D51)</f>
        <v>0</v>
      </c>
      <c r="E52" s="748">
        <f t="shared" si="6"/>
        <v>144.86849588862893</v>
      </c>
      <c r="F52" s="748">
        <f t="shared" si="6"/>
        <v>149.8805266746667</v>
      </c>
      <c r="G52" s="748">
        <f t="shared" si="6"/>
        <v>0</v>
      </c>
      <c r="H52" s="748">
        <f t="shared" si="6"/>
        <v>88877.952484645284</v>
      </c>
      <c r="I52" s="748">
        <f t="shared" si="6"/>
        <v>13789.730833905871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103001.6278302717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581.28559136332092</v>
      </c>
      <c r="D54" s="718">
        <f ca="1">+landbouw!C12</f>
        <v>13701.45630252101</v>
      </c>
      <c r="E54" s="718">
        <f>+landbouw!D12</f>
        <v>0</v>
      </c>
      <c r="F54" s="718">
        <f>+landbouw!E12</f>
        <v>20.588473023796876</v>
      </c>
      <c r="G54" s="718">
        <f>+landbouw!F12</f>
        <v>2742.2088005045412</v>
      </c>
      <c r="H54" s="718">
        <f>+landbouw!G12</f>
        <v>0</v>
      </c>
      <c r="I54" s="718">
        <f>+landbouw!H12</f>
        <v>0</v>
      </c>
      <c r="J54" s="718">
        <f>+landbouw!I12</f>
        <v>0</v>
      </c>
      <c r="K54" s="718">
        <f>+landbouw!J12</f>
        <v>283.42940021984629</v>
      </c>
      <c r="L54" s="718">
        <f>+landbouw!K12</f>
        <v>0</v>
      </c>
      <c r="M54" s="718">
        <f>+landbouw!L12</f>
        <v>0</v>
      </c>
      <c r="N54" s="718">
        <f>+landbouw!M12</f>
        <v>0</v>
      </c>
      <c r="O54" s="718">
        <f>+landbouw!N12</f>
        <v>0</v>
      </c>
      <c r="P54" s="718">
        <f>+landbouw!O12</f>
        <v>0</v>
      </c>
      <c r="Q54" s="719">
        <f>+landbouw!P12</f>
        <v>0</v>
      </c>
      <c r="R54" s="747">
        <f ca="1">SUM(C54:Q54)</f>
        <v>17328.968567632517</v>
      </c>
    </row>
    <row r="55" spans="1:18" ht="15" thickBot="1">
      <c r="A55" s="850" t="s">
        <v>734</v>
      </c>
      <c r="B55" s="860"/>
      <c r="C55" s="718">
        <f ca="1">C25*'EF ele_warmte'!B12</f>
        <v>200.50391811911933</v>
      </c>
      <c r="D55" s="718"/>
      <c r="E55" s="718">
        <f>E25*EF_CO2_aardgas</f>
        <v>474.75698137200004</v>
      </c>
      <c r="F55" s="718"/>
      <c r="G55" s="718"/>
      <c r="H55" s="718"/>
      <c r="I55" s="718"/>
      <c r="J55" s="718"/>
      <c r="K55" s="718"/>
      <c r="L55" s="718"/>
      <c r="M55" s="718"/>
      <c r="N55" s="718"/>
      <c r="O55" s="718"/>
      <c r="P55" s="718"/>
      <c r="Q55" s="719"/>
      <c r="R55" s="747">
        <f ca="1">SUM(C55:Q55)</f>
        <v>675.2608994911194</v>
      </c>
    </row>
    <row r="56" spans="1:18" ht="15.75" thickBot="1">
      <c r="A56" s="848" t="s">
        <v>735</v>
      </c>
      <c r="B56" s="861"/>
      <c r="C56" s="748">
        <f ca="1">SUM(C54:C55)</f>
        <v>781.78950948244028</v>
      </c>
      <c r="D56" s="748">
        <f t="shared" ref="D56:Q56" ca="1" si="7">SUM(D54:D55)</f>
        <v>13701.45630252101</v>
      </c>
      <c r="E56" s="748">
        <f t="shared" si="7"/>
        <v>474.75698137200004</v>
      </c>
      <c r="F56" s="748">
        <f t="shared" si="7"/>
        <v>20.588473023796876</v>
      </c>
      <c r="G56" s="748">
        <f t="shared" si="7"/>
        <v>2742.2088005045412</v>
      </c>
      <c r="H56" s="748">
        <f t="shared" si="7"/>
        <v>0</v>
      </c>
      <c r="I56" s="748">
        <f t="shared" si="7"/>
        <v>0</v>
      </c>
      <c r="J56" s="748">
        <f t="shared" si="7"/>
        <v>0</v>
      </c>
      <c r="K56" s="748">
        <f t="shared" si="7"/>
        <v>283.42940021984629</v>
      </c>
      <c r="L56" s="748">
        <f t="shared" si="7"/>
        <v>0</v>
      </c>
      <c r="M56" s="748">
        <f t="shared" si="7"/>
        <v>0</v>
      </c>
      <c r="N56" s="748">
        <f t="shared" si="7"/>
        <v>0</v>
      </c>
      <c r="O56" s="748">
        <f t="shared" si="7"/>
        <v>0</v>
      </c>
      <c r="P56" s="748">
        <f t="shared" si="7"/>
        <v>0</v>
      </c>
      <c r="Q56" s="749">
        <f t="shared" si="7"/>
        <v>0</v>
      </c>
      <c r="R56" s="750">
        <f ca="1">SUM(R54:R55)</f>
        <v>18004.229467123638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22573.625422700869</v>
      </c>
      <c r="D61" s="756">
        <f t="shared" ref="D61:Q61" ca="1" si="8">D46+D52+D56</f>
        <v>13701.45630252101</v>
      </c>
      <c r="E61" s="756">
        <f t="shared" ca="1" si="8"/>
        <v>42463.92989234312</v>
      </c>
      <c r="F61" s="756">
        <f t="shared" si="8"/>
        <v>1626.8376884128131</v>
      </c>
      <c r="G61" s="756">
        <f t="shared" ca="1" si="8"/>
        <v>5903.8793744032382</v>
      </c>
      <c r="H61" s="756">
        <f t="shared" si="8"/>
        <v>88877.952484645284</v>
      </c>
      <c r="I61" s="756">
        <f t="shared" si="8"/>
        <v>13789.730833905871</v>
      </c>
      <c r="J61" s="756">
        <f t="shared" si="8"/>
        <v>0</v>
      </c>
      <c r="K61" s="756">
        <f t="shared" si="8"/>
        <v>377.1274271336174</v>
      </c>
      <c r="L61" s="756">
        <f t="shared" si="8"/>
        <v>0</v>
      </c>
      <c r="M61" s="756">
        <f t="shared" ca="1" si="8"/>
        <v>0</v>
      </c>
      <c r="N61" s="756">
        <f t="shared" si="8"/>
        <v>0</v>
      </c>
      <c r="O61" s="756">
        <f t="shared" ca="1" si="8"/>
        <v>0</v>
      </c>
      <c r="P61" s="756">
        <f t="shared" si="8"/>
        <v>0</v>
      </c>
      <c r="Q61" s="756">
        <f t="shared" si="8"/>
        <v>0</v>
      </c>
      <c r="R61" s="756">
        <f ca="1">R46+R52+R56</f>
        <v>189314.53942606581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0.20002323987110621</v>
      </c>
      <c r="D63" s="802">
        <f t="shared" ca="1" si="9"/>
        <v>0.19948126680570022</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6030.3898547782392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7721.55</v>
      </c>
      <c r="C76" s="769">
        <f>'lokale energieproductie'!B8*IFERROR(SUM(D76:H76)/SUM(D76:O76),0)</f>
        <v>40358.25</v>
      </c>
      <c r="D76" s="991">
        <f>'lokale energieproductie'!C8</f>
        <v>47480.294117647063</v>
      </c>
      <c r="E76" s="992">
        <f>'lokale energieproductie'!D8</f>
        <v>0</v>
      </c>
      <c r="F76" s="992">
        <f>'lokale energieproductie'!E8</f>
        <v>0</v>
      </c>
      <c r="G76" s="992">
        <f>'lokale energieproductie'!F8</f>
        <v>0</v>
      </c>
      <c r="H76" s="992">
        <f>'lokale energieproductie'!G8</f>
        <v>0</v>
      </c>
      <c r="I76" s="992">
        <f>'lokale energieproductie'!I8</f>
        <v>0</v>
      </c>
      <c r="J76" s="992">
        <f>'lokale energieproductie'!J8</f>
        <v>9084.176470588236</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9591.0194117647079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13751.93985477824</v>
      </c>
      <c r="C78" s="774">
        <f>SUM(C72:C77)</f>
        <v>40358.25</v>
      </c>
      <c r="D78" s="775">
        <f t="shared" ref="D78:H78" si="10">SUM(D76:D77)</f>
        <v>47480.294117647063</v>
      </c>
      <c r="E78" s="775">
        <f t="shared" si="10"/>
        <v>0</v>
      </c>
      <c r="F78" s="775">
        <f t="shared" si="10"/>
        <v>0</v>
      </c>
      <c r="G78" s="775">
        <f t="shared" si="10"/>
        <v>0</v>
      </c>
      <c r="H78" s="775">
        <f t="shared" si="10"/>
        <v>0</v>
      </c>
      <c r="I78" s="775">
        <f>SUM(I76:I77)</f>
        <v>0</v>
      </c>
      <c r="J78" s="775">
        <f>SUM(J76:J77)</f>
        <v>9084.176470588236</v>
      </c>
      <c r="K78" s="775">
        <f t="shared" ref="K78:L78" si="11">SUM(K76:K77)</f>
        <v>0</v>
      </c>
      <c r="L78" s="775">
        <f t="shared" si="11"/>
        <v>0</v>
      </c>
      <c r="M78" s="775">
        <f>SUM(M76:M77)</f>
        <v>0</v>
      </c>
      <c r="N78" s="775">
        <f>SUM(N76:N77)</f>
        <v>0</v>
      </c>
      <c r="O78" s="885">
        <f>SUM(O76:O77)</f>
        <v>0</v>
      </c>
      <c r="P78" s="776">
        <v>0</v>
      </c>
      <c r="Q78" s="776">
        <f>SUM(Q76:Q77)</f>
        <v>9591.0194117647079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11030.785714285716</v>
      </c>
      <c r="C87" s="787">
        <f>'lokale energieproductie'!B17*IFERROR(SUM(D87:H87)/SUM(D87:O87),0)</f>
        <v>57654.642857142862</v>
      </c>
      <c r="D87" s="798">
        <f>'lokale energieproductie'!C17</f>
        <v>67828.991596638662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12977.394957983195</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13701.45630252101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11030.785714285716</v>
      </c>
      <c r="C90" s="774">
        <f>SUM(C87:C89)</f>
        <v>57654.642857142862</v>
      </c>
      <c r="D90" s="774">
        <f t="shared" ref="D90:H90" si="12">SUM(D87:D89)</f>
        <v>67828.991596638662</v>
      </c>
      <c r="E90" s="774">
        <f t="shared" si="12"/>
        <v>0</v>
      </c>
      <c r="F90" s="774">
        <f t="shared" si="12"/>
        <v>0</v>
      </c>
      <c r="G90" s="774">
        <f t="shared" si="12"/>
        <v>0</v>
      </c>
      <c r="H90" s="774">
        <f t="shared" si="12"/>
        <v>0</v>
      </c>
      <c r="I90" s="774">
        <f>SUM(I87:I89)</f>
        <v>0</v>
      </c>
      <c r="J90" s="774">
        <f>SUM(J87:J89)</f>
        <v>12977.394957983195</v>
      </c>
      <c r="K90" s="774">
        <f t="shared" ref="K90:L90" si="13">SUM(K87:K89)</f>
        <v>0</v>
      </c>
      <c r="L90" s="774">
        <f t="shared" si="13"/>
        <v>0</v>
      </c>
      <c r="M90" s="774">
        <f>SUM(M87:M89)</f>
        <v>0</v>
      </c>
      <c r="N90" s="774">
        <f>SUM(N87:N89)</f>
        <v>0</v>
      </c>
      <c r="O90" s="774">
        <f>SUM(O87:O89)</f>
        <v>0</v>
      </c>
      <c r="P90" s="774">
        <v>0</v>
      </c>
      <c r="Q90" s="774">
        <f>SUM(Q87:Q89)</f>
        <v>13701.45630252101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6030.3898547782392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48079.8</v>
      </c>
      <c r="C8" s="574">
        <f>B101</f>
        <v>47480.294117647063</v>
      </c>
      <c r="D8" s="575"/>
      <c r="E8" s="575">
        <f>E101</f>
        <v>0</v>
      </c>
      <c r="F8" s="576"/>
      <c r="G8" s="577"/>
      <c r="H8" s="575">
        <f>I101</f>
        <v>0</v>
      </c>
      <c r="I8" s="575">
        <f>G101+F101</f>
        <v>0</v>
      </c>
      <c r="J8" s="575">
        <f>H101+D101+C101</f>
        <v>9084.176470588236</v>
      </c>
      <c r="K8" s="575"/>
      <c r="L8" s="575"/>
      <c r="M8" s="575"/>
      <c r="N8" s="578"/>
      <c r="O8" s="579">
        <f>C8*$C$12+D8*$D$12+E8*$E$12+F8*$F$12+G8*$G$12+H8*$H$12+I8*$I$12+J8*$J$12</f>
        <v>9591.0194117647079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54110.18985477824</v>
      </c>
      <c r="C10" s="589">
        <f t="shared" ref="C10:L10" si="0">SUM(C8:C9)</f>
        <v>47480.294117647063</v>
      </c>
      <c r="D10" s="589">
        <f t="shared" si="0"/>
        <v>0</v>
      </c>
      <c r="E10" s="589">
        <f t="shared" si="0"/>
        <v>0</v>
      </c>
      <c r="F10" s="589">
        <f t="shared" si="0"/>
        <v>0</v>
      </c>
      <c r="G10" s="589">
        <f t="shared" si="0"/>
        <v>0</v>
      </c>
      <c r="H10" s="589">
        <f t="shared" si="0"/>
        <v>0</v>
      </c>
      <c r="I10" s="589">
        <f t="shared" si="0"/>
        <v>0</v>
      </c>
      <c r="J10" s="589">
        <f t="shared" si="0"/>
        <v>9084.176470588236</v>
      </c>
      <c r="K10" s="589">
        <f t="shared" si="0"/>
        <v>0</v>
      </c>
      <c r="L10" s="589">
        <f t="shared" si="0"/>
        <v>0</v>
      </c>
      <c r="M10" s="1004"/>
      <c r="N10" s="1004"/>
      <c r="O10" s="590">
        <f>SUM(O4:O9)</f>
        <v>9591.0194117647079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68685.42857142858</v>
      </c>
      <c r="C17" s="605">
        <f>B102</f>
        <v>67828.991596638662</v>
      </c>
      <c r="D17" s="606"/>
      <c r="E17" s="606">
        <f>E102</f>
        <v>0</v>
      </c>
      <c r="F17" s="607"/>
      <c r="G17" s="608"/>
      <c r="H17" s="605">
        <f>I102</f>
        <v>0</v>
      </c>
      <c r="I17" s="606">
        <f>G102+F102</f>
        <v>0</v>
      </c>
      <c r="J17" s="606">
        <f>H102+D102+C102</f>
        <v>12977.394957983195</v>
      </c>
      <c r="K17" s="606"/>
      <c r="L17" s="606"/>
      <c r="M17" s="606"/>
      <c r="N17" s="1005"/>
      <c r="O17" s="609">
        <f>C17*$C$22+E17*$E$22+H17*$H$22+I17*$I$22+J17*$J$22+D17*$D$22+F17*$F$22+G17*$G$22+K17*$K$22+L17*$L$22</f>
        <v>13701.45630252101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68685.42857142858</v>
      </c>
      <c r="C20" s="588">
        <f>SUM(C17:C19)</f>
        <v>67828.991596638662</v>
      </c>
      <c r="D20" s="588">
        <f t="shared" ref="D20:L20" si="1">SUM(D17:D19)</f>
        <v>0</v>
      </c>
      <c r="E20" s="588">
        <f t="shared" si="1"/>
        <v>0</v>
      </c>
      <c r="F20" s="588">
        <f t="shared" si="1"/>
        <v>0</v>
      </c>
      <c r="G20" s="588">
        <f t="shared" si="1"/>
        <v>0</v>
      </c>
      <c r="H20" s="588">
        <f t="shared" si="1"/>
        <v>0</v>
      </c>
      <c r="I20" s="588">
        <f t="shared" si="1"/>
        <v>0</v>
      </c>
      <c r="J20" s="588">
        <f t="shared" si="1"/>
        <v>12977.394957983195</v>
      </c>
      <c r="K20" s="588">
        <f t="shared" si="1"/>
        <v>0</v>
      </c>
      <c r="L20" s="588">
        <f t="shared" si="1"/>
        <v>0</v>
      </c>
      <c r="M20" s="588"/>
      <c r="N20" s="588"/>
      <c r="O20" s="614">
        <f>SUM(O17:O19)</f>
        <v>13701.45630252101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11035</v>
      </c>
      <c r="C28" s="817">
        <v>2520</v>
      </c>
      <c r="D28" s="666" t="s">
        <v>886</v>
      </c>
      <c r="E28" s="665" t="s">
        <v>887</v>
      </c>
      <c r="F28" s="665" t="s">
        <v>888</v>
      </c>
      <c r="G28" s="665" t="s">
        <v>889</v>
      </c>
      <c r="H28" s="665" t="s">
        <v>890</v>
      </c>
      <c r="I28" s="665" t="s">
        <v>887</v>
      </c>
      <c r="J28" s="816">
        <v>41043</v>
      </c>
      <c r="K28" s="816">
        <v>39083</v>
      </c>
      <c r="L28" s="665" t="s">
        <v>891</v>
      </c>
      <c r="M28" s="665">
        <v>1817</v>
      </c>
      <c r="N28" s="665">
        <v>8176.5</v>
      </c>
      <c r="O28" s="665">
        <v>11680.714285714286</v>
      </c>
      <c r="P28" s="665">
        <v>23361.428571428572</v>
      </c>
      <c r="Q28" s="665">
        <v>0</v>
      </c>
      <c r="R28" s="665">
        <v>0</v>
      </c>
      <c r="S28" s="665">
        <v>0</v>
      </c>
      <c r="T28" s="665">
        <v>0</v>
      </c>
      <c r="U28" s="665">
        <v>0</v>
      </c>
      <c r="V28" s="665">
        <v>0</v>
      </c>
      <c r="W28" s="665">
        <v>0</v>
      </c>
      <c r="X28" s="665">
        <v>10</v>
      </c>
      <c r="Y28" s="665" t="s">
        <v>111</v>
      </c>
      <c r="Z28" s="667" t="s">
        <v>111</v>
      </c>
    </row>
    <row r="29" spans="1:26" s="619" customFormat="1" ht="38.25">
      <c r="A29" s="618"/>
      <c r="B29" s="817">
        <v>11035</v>
      </c>
      <c r="C29" s="817">
        <v>2520</v>
      </c>
      <c r="D29" s="666" t="s">
        <v>892</v>
      </c>
      <c r="E29" s="665" t="s">
        <v>893</v>
      </c>
      <c r="F29" s="665" t="s">
        <v>894</v>
      </c>
      <c r="G29" s="665" t="s">
        <v>889</v>
      </c>
      <c r="H29" s="665" t="s">
        <v>890</v>
      </c>
      <c r="I29" s="665" t="s">
        <v>893</v>
      </c>
      <c r="J29" s="816">
        <v>39853</v>
      </c>
      <c r="K29" s="816">
        <v>39853</v>
      </c>
      <c r="L29" s="665" t="s">
        <v>891</v>
      </c>
      <c r="M29" s="665">
        <v>2016</v>
      </c>
      <c r="N29" s="665">
        <v>9072</v>
      </c>
      <c r="O29" s="665">
        <v>12960</v>
      </c>
      <c r="P29" s="665">
        <v>25920</v>
      </c>
      <c r="Q29" s="665">
        <v>0</v>
      </c>
      <c r="R29" s="665">
        <v>0</v>
      </c>
      <c r="S29" s="665">
        <v>0</v>
      </c>
      <c r="T29" s="665">
        <v>0</v>
      </c>
      <c r="U29" s="665">
        <v>0</v>
      </c>
      <c r="V29" s="665">
        <v>0</v>
      </c>
      <c r="W29" s="665">
        <v>0</v>
      </c>
      <c r="X29" s="665">
        <v>10</v>
      </c>
      <c r="Y29" s="665" t="s">
        <v>111</v>
      </c>
      <c r="Z29" s="667" t="s">
        <v>111</v>
      </c>
    </row>
    <row r="30" spans="1:26" s="619" customFormat="1" ht="25.5">
      <c r="A30" s="618"/>
      <c r="B30" s="817">
        <v>11035</v>
      </c>
      <c r="C30" s="817">
        <v>2520</v>
      </c>
      <c r="D30" s="666" t="s">
        <v>895</v>
      </c>
      <c r="E30" s="665" t="s">
        <v>896</v>
      </c>
      <c r="F30" s="665" t="s">
        <v>897</v>
      </c>
      <c r="G30" s="665" t="s">
        <v>889</v>
      </c>
      <c r="H30" s="665" t="s">
        <v>890</v>
      </c>
      <c r="I30" s="665" t="s">
        <v>896</v>
      </c>
      <c r="J30" s="816">
        <v>39895</v>
      </c>
      <c r="K30" s="816">
        <v>39895</v>
      </c>
      <c r="L30" s="665" t="s">
        <v>891</v>
      </c>
      <c r="M30" s="665">
        <v>1635</v>
      </c>
      <c r="N30" s="665">
        <v>7357.5</v>
      </c>
      <c r="O30" s="665">
        <v>10510.714285714286</v>
      </c>
      <c r="P30" s="665">
        <v>21021.428571428572</v>
      </c>
      <c r="Q30" s="665">
        <v>0</v>
      </c>
      <c r="R30" s="665">
        <v>0</v>
      </c>
      <c r="S30" s="665">
        <v>0</v>
      </c>
      <c r="T30" s="665">
        <v>0</v>
      </c>
      <c r="U30" s="665">
        <v>0</v>
      </c>
      <c r="V30" s="665">
        <v>0</v>
      </c>
      <c r="W30" s="665">
        <v>0</v>
      </c>
      <c r="X30" s="665">
        <v>10</v>
      </c>
      <c r="Y30" s="665" t="s">
        <v>111</v>
      </c>
      <c r="Z30" s="667" t="s">
        <v>111</v>
      </c>
    </row>
    <row r="31" spans="1:26" s="619" customFormat="1" ht="25.5">
      <c r="A31" s="618"/>
      <c r="B31" s="817">
        <v>11035</v>
      </c>
      <c r="C31" s="817">
        <v>2520</v>
      </c>
      <c r="D31" s="666" t="s">
        <v>898</v>
      </c>
      <c r="E31" s="665" t="s">
        <v>899</v>
      </c>
      <c r="F31" s="665" t="s">
        <v>900</v>
      </c>
      <c r="G31" s="665" t="s">
        <v>889</v>
      </c>
      <c r="H31" s="665" t="s">
        <v>890</v>
      </c>
      <c r="I31" s="665" t="s">
        <v>899</v>
      </c>
      <c r="J31" s="816">
        <v>40163</v>
      </c>
      <c r="K31" s="816">
        <v>40163</v>
      </c>
      <c r="L31" s="665" t="s">
        <v>891</v>
      </c>
      <c r="M31" s="665">
        <v>1127</v>
      </c>
      <c r="N31" s="665">
        <v>5071.5</v>
      </c>
      <c r="O31" s="665">
        <v>7245</v>
      </c>
      <c r="P31" s="665">
        <v>14490.000000000002</v>
      </c>
      <c r="Q31" s="665">
        <v>0</v>
      </c>
      <c r="R31" s="665">
        <v>0</v>
      </c>
      <c r="S31" s="665">
        <v>0</v>
      </c>
      <c r="T31" s="665">
        <v>0</v>
      </c>
      <c r="U31" s="665">
        <v>0</v>
      </c>
      <c r="V31" s="665">
        <v>0</v>
      </c>
      <c r="W31" s="665">
        <v>0</v>
      </c>
      <c r="X31" s="665">
        <v>10</v>
      </c>
      <c r="Y31" s="665" t="s">
        <v>111</v>
      </c>
      <c r="Z31" s="667" t="s">
        <v>111</v>
      </c>
    </row>
    <row r="32" spans="1:26" s="619" customFormat="1" ht="25.5">
      <c r="A32" s="618"/>
      <c r="B32" s="817">
        <v>11035</v>
      </c>
      <c r="C32" s="817">
        <v>2520</v>
      </c>
      <c r="D32" s="666" t="s">
        <v>901</v>
      </c>
      <c r="E32" s="665" t="s">
        <v>902</v>
      </c>
      <c r="F32" s="665" t="s">
        <v>903</v>
      </c>
      <c r="G32" s="665" t="s">
        <v>889</v>
      </c>
      <c r="H32" s="665" t="s">
        <v>890</v>
      </c>
      <c r="I32" s="665" t="s">
        <v>902</v>
      </c>
      <c r="J32" s="816">
        <v>40259</v>
      </c>
      <c r="K32" s="816">
        <v>40259</v>
      </c>
      <c r="L32" s="665" t="s">
        <v>891</v>
      </c>
      <c r="M32" s="665">
        <v>1008</v>
      </c>
      <c r="N32" s="665">
        <v>4536</v>
      </c>
      <c r="O32" s="665">
        <v>6480</v>
      </c>
      <c r="P32" s="665">
        <v>12960</v>
      </c>
      <c r="Q32" s="665">
        <v>0</v>
      </c>
      <c r="R32" s="665">
        <v>0</v>
      </c>
      <c r="S32" s="665">
        <v>0</v>
      </c>
      <c r="T32" s="665">
        <v>0</v>
      </c>
      <c r="U32" s="665">
        <v>0</v>
      </c>
      <c r="V32" s="665">
        <v>0</v>
      </c>
      <c r="W32" s="665">
        <v>0</v>
      </c>
      <c r="X32" s="665">
        <v>10</v>
      </c>
      <c r="Y32" s="665" t="s">
        <v>111</v>
      </c>
      <c r="Z32" s="667" t="s">
        <v>111</v>
      </c>
    </row>
    <row r="33" spans="1:26" s="619" customFormat="1" ht="25.5">
      <c r="A33" s="618"/>
      <c r="B33" s="817">
        <v>11035</v>
      </c>
      <c r="C33" s="817">
        <v>2520</v>
      </c>
      <c r="D33" s="666" t="s">
        <v>904</v>
      </c>
      <c r="E33" s="665" t="s">
        <v>905</v>
      </c>
      <c r="F33" s="665" t="s">
        <v>906</v>
      </c>
      <c r="G33" s="665" t="s">
        <v>889</v>
      </c>
      <c r="H33" s="665" t="s">
        <v>890</v>
      </c>
      <c r="I33" s="665" t="s">
        <v>907</v>
      </c>
      <c r="J33" s="816">
        <v>40434</v>
      </c>
      <c r="K33" s="816">
        <v>40434</v>
      </c>
      <c r="L33" s="665" t="s">
        <v>891</v>
      </c>
      <c r="M33" s="665">
        <v>2262</v>
      </c>
      <c r="N33" s="665">
        <v>10179</v>
      </c>
      <c r="O33" s="665">
        <v>14541.428571428572</v>
      </c>
      <c r="P33" s="665">
        <v>7270.7142857142862</v>
      </c>
      <c r="Q33" s="665">
        <v>21812.142857142859</v>
      </c>
      <c r="R33" s="665">
        <v>0</v>
      </c>
      <c r="S33" s="665">
        <v>0</v>
      </c>
      <c r="T33" s="665">
        <v>0</v>
      </c>
      <c r="U33" s="665">
        <v>0</v>
      </c>
      <c r="V33" s="665">
        <v>0</v>
      </c>
      <c r="W33" s="665">
        <v>0</v>
      </c>
      <c r="X33" s="665">
        <v>10</v>
      </c>
      <c r="Y33" s="665" t="s">
        <v>111</v>
      </c>
      <c r="Z33" s="667" t="s">
        <v>111</v>
      </c>
    </row>
    <row r="34" spans="1:26" s="619" customFormat="1" ht="25.5">
      <c r="A34" s="618"/>
      <c r="B34" s="817">
        <v>11035</v>
      </c>
      <c r="C34" s="817">
        <v>2520</v>
      </c>
      <c r="D34" s="666" t="s">
        <v>908</v>
      </c>
      <c r="E34" s="665" t="s">
        <v>909</v>
      </c>
      <c r="F34" s="665" t="s">
        <v>910</v>
      </c>
      <c r="G34" s="665" t="s">
        <v>889</v>
      </c>
      <c r="H34" s="665" t="s">
        <v>890</v>
      </c>
      <c r="I34" s="665" t="s">
        <v>909</v>
      </c>
      <c r="J34" s="816">
        <v>40568</v>
      </c>
      <c r="K34" s="816">
        <v>40570</v>
      </c>
      <c r="L34" s="665" t="s">
        <v>891</v>
      </c>
      <c r="M34" s="665">
        <v>800</v>
      </c>
      <c r="N34" s="665">
        <v>3600</v>
      </c>
      <c r="O34" s="665">
        <v>5142.8571428571431</v>
      </c>
      <c r="P34" s="665">
        <v>10285.714285714286</v>
      </c>
      <c r="Q34" s="665">
        <v>0</v>
      </c>
      <c r="R34" s="665">
        <v>0</v>
      </c>
      <c r="S34" s="665">
        <v>0</v>
      </c>
      <c r="T34" s="665">
        <v>0</v>
      </c>
      <c r="U34" s="665">
        <v>0</v>
      </c>
      <c r="V34" s="665">
        <v>0</v>
      </c>
      <c r="W34" s="665">
        <v>0</v>
      </c>
      <c r="X34" s="665">
        <v>10</v>
      </c>
      <c r="Y34" s="665" t="s">
        <v>111</v>
      </c>
      <c r="Z34" s="667" t="s">
        <v>111</v>
      </c>
    </row>
    <row r="35" spans="1:26" s="619" customFormat="1" ht="25.5">
      <c r="A35" s="618"/>
      <c r="B35" s="817">
        <v>11035</v>
      </c>
      <c r="C35" s="817">
        <v>2520</v>
      </c>
      <c r="D35" s="666"/>
      <c r="E35" s="665"/>
      <c r="F35" s="665" t="s">
        <v>911</v>
      </c>
      <c r="G35" s="665" t="s">
        <v>889</v>
      </c>
      <c r="H35" s="665" t="s">
        <v>890</v>
      </c>
      <c r="I35" s="665" t="s">
        <v>912</v>
      </c>
      <c r="J35" s="816">
        <v>41627</v>
      </c>
      <c r="K35" s="816">
        <v>41627</v>
      </c>
      <c r="L35" s="665" t="s">
        <v>891</v>
      </c>
      <c r="M35" s="665">
        <v>19.399999999999999</v>
      </c>
      <c r="N35" s="665">
        <v>87.299999999999983</v>
      </c>
      <c r="O35" s="665">
        <v>124.71428571428569</v>
      </c>
      <c r="P35" s="665">
        <v>0</v>
      </c>
      <c r="Q35" s="665">
        <v>249.42857142857139</v>
      </c>
      <c r="R35" s="665">
        <v>0</v>
      </c>
      <c r="S35" s="665">
        <v>0</v>
      </c>
      <c r="T35" s="665">
        <v>0</v>
      </c>
      <c r="U35" s="665">
        <v>0</v>
      </c>
      <c r="V35" s="665">
        <v>0</v>
      </c>
      <c r="W35" s="665">
        <v>0</v>
      </c>
      <c r="X35" s="665">
        <v>10</v>
      </c>
      <c r="Y35" s="665" t="s">
        <v>111</v>
      </c>
      <c r="Z35" s="667" t="s">
        <v>111</v>
      </c>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10684.4</v>
      </c>
      <c r="N58" s="623">
        <f>SUM(N28:N57)</f>
        <v>48079.8</v>
      </c>
      <c r="O58" s="623">
        <f t="shared" ref="O58:W58" si="2">SUM(O28:O57)</f>
        <v>68685.42857142858</v>
      </c>
      <c r="P58" s="623">
        <f t="shared" si="2"/>
        <v>115309.28571428572</v>
      </c>
      <c r="Q58" s="623">
        <f t="shared" si="2"/>
        <v>22061.571428571431</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10684.4</v>
      </c>
      <c r="N61" s="628">
        <f t="shared" si="4"/>
        <v>48079.8</v>
      </c>
      <c r="O61" s="628">
        <f t="shared" si="4"/>
        <v>68685.42857142858</v>
      </c>
      <c r="P61" s="628">
        <f t="shared" si="4"/>
        <v>115309.28571428572</v>
      </c>
      <c r="Q61" s="628">
        <f t="shared" si="4"/>
        <v>22061.571428571431</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47480.294117647063</v>
      </c>
      <c r="C101" s="657">
        <f t="shared" si="9"/>
        <v>9084.176470588236</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67828.991596638662</v>
      </c>
      <c r="C102" s="660">
        <f t="shared" si="10"/>
        <v>12977.394957983195</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34556.994937695737</v>
      </c>
      <c r="C4" s="478">
        <f>huishoudens!C8</f>
        <v>0</v>
      </c>
      <c r="D4" s="478">
        <f>huishoudens!D8</f>
        <v>87268.120555660003</v>
      </c>
      <c r="E4" s="478">
        <f>huishoudens!E8</f>
        <v>4245.4307904913394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21280.588076969048</v>
      </c>
      <c r="O4" s="478">
        <f>huishoudens!O8</f>
        <v>460.27830689779137</v>
      </c>
      <c r="P4" s="479">
        <f>huishoudens!P8</f>
        <v>1179.8034424607226</v>
      </c>
      <c r="Q4" s="480">
        <f>SUM(B4:P4)</f>
        <v>148991.21611017463</v>
      </c>
    </row>
    <row r="5" spans="1:17">
      <c r="A5" s="477" t="s">
        <v>155</v>
      </c>
      <c r="B5" s="478">
        <f ca="1">tertiair!B16</f>
        <v>38397.008175000003</v>
      </c>
      <c r="C5" s="478">
        <f ca="1">tertiair!C16</f>
        <v>0</v>
      </c>
      <c r="D5" s="478">
        <f ca="1">tertiair!D16</f>
        <v>24820.526558960002</v>
      </c>
      <c r="E5" s="478">
        <f>tertiair!E16</f>
        <v>334.18964895690971</v>
      </c>
      <c r="F5" s="478">
        <f ca="1">tertiair!F16</f>
        <v>5110.4342168659532</v>
      </c>
      <c r="G5" s="478">
        <f>tertiair!G16</f>
        <v>0</v>
      </c>
      <c r="H5" s="478">
        <f>tertiair!H16</f>
        <v>0</v>
      </c>
      <c r="I5" s="478">
        <f>tertiair!I16</f>
        <v>0</v>
      </c>
      <c r="J5" s="478">
        <f>tertiair!J16</f>
        <v>0.34297237232841232</v>
      </c>
      <c r="K5" s="478">
        <f>tertiair!K16</f>
        <v>0</v>
      </c>
      <c r="L5" s="478">
        <f ca="1">tertiair!L16</f>
        <v>0</v>
      </c>
      <c r="M5" s="478">
        <f>tertiair!M16</f>
        <v>0</v>
      </c>
      <c r="N5" s="478">
        <f ca="1">tertiair!N16</f>
        <v>13380.057158468555</v>
      </c>
      <c r="O5" s="478">
        <f>tertiair!O16</f>
        <v>4.8972607658411542</v>
      </c>
      <c r="P5" s="479">
        <f>tertiair!P16</f>
        <v>157.61741491948504</v>
      </c>
      <c r="Q5" s="477">
        <f t="shared" ref="Q5:Q14" ca="1" si="0">SUM(B5:P5)</f>
        <v>82205.073406309064</v>
      </c>
    </row>
    <row r="6" spans="1:17">
      <c r="A6" s="477" t="s">
        <v>193</v>
      </c>
      <c r="B6" s="478">
        <f>'openbare verlichting'!B8</f>
        <v>1241.0319999999999</v>
      </c>
      <c r="C6" s="478"/>
      <c r="D6" s="478"/>
      <c r="E6" s="478"/>
      <c r="F6" s="478"/>
      <c r="G6" s="478"/>
      <c r="H6" s="478"/>
      <c r="I6" s="478"/>
      <c r="J6" s="478"/>
      <c r="K6" s="478"/>
      <c r="L6" s="478"/>
      <c r="M6" s="478"/>
      <c r="N6" s="478"/>
      <c r="O6" s="478"/>
      <c r="P6" s="479"/>
      <c r="Q6" s="477">
        <f t="shared" si="0"/>
        <v>1241.0319999999999</v>
      </c>
    </row>
    <row r="7" spans="1:17">
      <c r="A7" s="477" t="s">
        <v>111</v>
      </c>
      <c r="B7" s="478">
        <f>landbouw!B8</f>
        <v>2906.0902709999996</v>
      </c>
      <c r="C7" s="478">
        <f>landbouw!C8</f>
        <v>68685.42857142858</v>
      </c>
      <c r="D7" s="478">
        <f>landbouw!D8</f>
        <v>0</v>
      </c>
      <c r="E7" s="478">
        <f>landbouw!E8</f>
        <v>90.698119047563324</v>
      </c>
      <c r="F7" s="478">
        <f>landbouw!F8</f>
        <v>10270.444945709891</v>
      </c>
      <c r="G7" s="478">
        <f>landbouw!G8</f>
        <v>0</v>
      </c>
      <c r="H7" s="478">
        <f>landbouw!H8</f>
        <v>0</v>
      </c>
      <c r="I7" s="478">
        <f>landbouw!I8</f>
        <v>0</v>
      </c>
      <c r="J7" s="478">
        <f>landbouw!J8</f>
        <v>800.64802321990476</v>
      </c>
      <c r="K7" s="478">
        <f>landbouw!K8</f>
        <v>0</v>
      </c>
      <c r="L7" s="478">
        <f>landbouw!L8</f>
        <v>0</v>
      </c>
      <c r="M7" s="478">
        <f>landbouw!M8</f>
        <v>0</v>
      </c>
      <c r="N7" s="478">
        <f>landbouw!N8</f>
        <v>0</v>
      </c>
      <c r="O7" s="478">
        <f>landbouw!O8</f>
        <v>0</v>
      </c>
      <c r="P7" s="479">
        <f>landbouw!P8</f>
        <v>0</v>
      </c>
      <c r="Q7" s="477">
        <f t="shared" si="0"/>
        <v>82753.309930405943</v>
      </c>
    </row>
    <row r="8" spans="1:17">
      <c r="A8" s="477" t="s">
        <v>629</v>
      </c>
      <c r="B8" s="478">
        <f>industrie!B18</f>
        <v>34555.530262</v>
      </c>
      <c r="C8" s="478">
        <f>industrie!C18</f>
        <v>0</v>
      </c>
      <c r="D8" s="478">
        <f>industrie!D18</f>
        <v>95061.374742223998</v>
      </c>
      <c r="E8" s="478">
        <f>industrie!E18</f>
        <v>1836.1006562096777</v>
      </c>
      <c r="F8" s="478">
        <f>industrie!F18</f>
        <v>6731.0286067246716</v>
      </c>
      <c r="G8" s="478">
        <f>industrie!G18</f>
        <v>0</v>
      </c>
      <c r="H8" s="478">
        <f>industrie!H18</f>
        <v>0</v>
      </c>
      <c r="I8" s="478">
        <f>industrie!I18</f>
        <v>0</v>
      </c>
      <c r="J8" s="478">
        <f>industrie!J18</f>
        <v>264.34071947448268</v>
      </c>
      <c r="K8" s="478">
        <f>industrie!K18</f>
        <v>0</v>
      </c>
      <c r="L8" s="478">
        <f>industrie!L18</f>
        <v>0</v>
      </c>
      <c r="M8" s="478">
        <f>industrie!M18</f>
        <v>0</v>
      </c>
      <c r="N8" s="478">
        <f>industrie!N18</f>
        <v>1401.6576684138731</v>
      </c>
      <c r="O8" s="478">
        <f>industrie!O18</f>
        <v>0</v>
      </c>
      <c r="P8" s="479">
        <f>industrie!P18</f>
        <v>0</v>
      </c>
      <c r="Q8" s="477">
        <f t="shared" si="0"/>
        <v>139850.0326550467</v>
      </c>
    </row>
    <row r="9" spans="1:17" s="483" customFormat="1">
      <c r="A9" s="481" t="s">
        <v>555</v>
      </c>
      <c r="B9" s="482">
        <f>transport!B14</f>
        <v>195.95467597916664</v>
      </c>
      <c r="C9" s="482">
        <f>transport!C14</f>
        <v>0</v>
      </c>
      <c r="D9" s="482">
        <f>transport!D14</f>
        <v>717.17077172588574</v>
      </c>
      <c r="E9" s="482">
        <f>transport!E14</f>
        <v>660.26663733333339</v>
      </c>
      <c r="F9" s="482">
        <f>transport!F14</f>
        <v>0</v>
      </c>
      <c r="G9" s="482">
        <f>transport!G14</f>
        <v>329674.83066484326</v>
      </c>
      <c r="H9" s="482">
        <f>transport!H14</f>
        <v>55380.445116087838</v>
      </c>
      <c r="I9" s="482">
        <f>transport!I14</f>
        <v>0</v>
      </c>
      <c r="J9" s="482">
        <f>transport!J14</f>
        <v>0</v>
      </c>
      <c r="K9" s="482">
        <f>transport!K14</f>
        <v>0</v>
      </c>
      <c r="L9" s="482">
        <f>transport!L14</f>
        <v>0</v>
      </c>
      <c r="M9" s="482">
        <f>transport!M14</f>
        <v>22647.832880932183</v>
      </c>
      <c r="N9" s="482">
        <f>transport!N14</f>
        <v>0</v>
      </c>
      <c r="O9" s="482">
        <f>transport!O14</f>
        <v>0</v>
      </c>
      <c r="P9" s="482">
        <f>transport!P14</f>
        <v>0</v>
      </c>
      <c r="Q9" s="481">
        <f>SUM(B9:P9)</f>
        <v>409276.50074690167</v>
      </c>
    </row>
    <row r="10" spans="1:17">
      <c r="A10" s="477" t="s">
        <v>545</v>
      </c>
      <c r="B10" s="478">
        <f>transport!B54</f>
        <v>0</v>
      </c>
      <c r="C10" s="478">
        <f>transport!C54</f>
        <v>0</v>
      </c>
      <c r="D10" s="478">
        <f>transport!D54</f>
        <v>0</v>
      </c>
      <c r="E10" s="478">
        <f>transport!E54</f>
        <v>0</v>
      </c>
      <c r="F10" s="478">
        <f>transport!F54</f>
        <v>0</v>
      </c>
      <c r="G10" s="478">
        <f>transport!G54</f>
        <v>3201.3958694087255</v>
      </c>
      <c r="H10" s="478">
        <f>transport!H54</f>
        <v>0</v>
      </c>
      <c r="I10" s="478">
        <f>transport!I54</f>
        <v>0</v>
      </c>
      <c r="J10" s="478">
        <f>transport!J54</f>
        <v>0</v>
      </c>
      <c r="K10" s="478">
        <f>transport!K54</f>
        <v>0</v>
      </c>
      <c r="L10" s="478">
        <f>transport!L54</f>
        <v>0</v>
      </c>
      <c r="M10" s="478">
        <f>transport!M54</f>
        <v>177.93393663673112</v>
      </c>
      <c r="N10" s="478">
        <f>transport!N54</f>
        <v>0</v>
      </c>
      <c r="O10" s="478">
        <f>transport!O54</f>
        <v>0</v>
      </c>
      <c r="P10" s="479">
        <f>transport!P54</f>
        <v>0</v>
      </c>
      <c r="Q10" s="477">
        <f t="shared" si="0"/>
        <v>3379.3298060454567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1002.403112</v>
      </c>
      <c r="C14" s="485"/>
      <c r="D14" s="485">
        <f>'SEAP template'!E25</f>
        <v>2350.2820860000002</v>
      </c>
      <c r="E14" s="485"/>
      <c r="F14" s="485"/>
      <c r="G14" s="485"/>
      <c r="H14" s="485"/>
      <c r="I14" s="485"/>
      <c r="J14" s="485"/>
      <c r="K14" s="485"/>
      <c r="L14" s="485"/>
      <c r="M14" s="485"/>
      <c r="N14" s="485"/>
      <c r="O14" s="485"/>
      <c r="P14" s="486"/>
      <c r="Q14" s="477">
        <f t="shared" si="0"/>
        <v>3352.6851980000001</v>
      </c>
    </row>
    <row r="15" spans="1:17" s="489" customFormat="1">
      <c r="A15" s="487" t="s">
        <v>549</v>
      </c>
      <c r="B15" s="488">
        <f ca="1">SUM(B4:B14)</f>
        <v>112855.0134336749</v>
      </c>
      <c r="C15" s="488">
        <f t="shared" ref="C15:Q15" ca="1" si="1">SUM(C4:C14)</f>
        <v>68685.42857142858</v>
      </c>
      <c r="D15" s="488">
        <f t="shared" ca="1" si="1"/>
        <v>210217.47471456989</v>
      </c>
      <c r="E15" s="488">
        <f t="shared" si="1"/>
        <v>7166.6858520388241</v>
      </c>
      <c r="F15" s="488">
        <f t="shared" ca="1" si="1"/>
        <v>22111.907769300517</v>
      </c>
      <c r="G15" s="488">
        <f t="shared" si="1"/>
        <v>332876.226534252</v>
      </c>
      <c r="H15" s="488">
        <f t="shared" si="1"/>
        <v>55380.445116087838</v>
      </c>
      <c r="I15" s="488">
        <f t="shared" si="1"/>
        <v>0</v>
      </c>
      <c r="J15" s="488">
        <f t="shared" si="1"/>
        <v>1065.3317150667158</v>
      </c>
      <c r="K15" s="488">
        <f t="shared" si="1"/>
        <v>0</v>
      </c>
      <c r="L15" s="488">
        <f t="shared" ca="1" si="1"/>
        <v>0</v>
      </c>
      <c r="M15" s="488">
        <f t="shared" si="1"/>
        <v>22825.766817568914</v>
      </c>
      <c r="N15" s="488">
        <f t="shared" ca="1" si="1"/>
        <v>36062.302903851472</v>
      </c>
      <c r="O15" s="488">
        <f t="shared" si="1"/>
        <v>465.17556766363253</v>
      </c>
      <c r="P15" s="488">
        <f t="shared" si="1"/>
        <v>1337.4208573802077</v>
      </c>
      <c r="Q15" s="488">
        <f t="shared" ca="1" si="1"/>
        <v>871049.17985288356</v>
      </c>
    </row>
    <row r="17" spans="1:17">
      <c r="A17" s="490" t="s">
        <v>550</v>
      </c>
      <c r="B17" s="807">
        <f ca="1">huishoudens!B10</f>
        <v>0.20002323987110621</v>
      </c>
      <c r="C17" s="807">
        <f ca="1">huishoudens!C10</f>
        <v>0.19948126680570022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6912.2020876473171</v>
      </c>
      <c r="C22" s="478">
        <f t="shared" ref="C22:C32" ca="1" si="3">C4*$C$17</f>
        <v>0</v>
      </c>
      <c r="D22" s="478">
        <f t="shared" ref="D22:D32" si="4">D4*$D$17</f>
        <v>17628.160352243322</v>
      </c>
      <c r="E22" s="478">
        <f t="shared" ref="E22:E32" si="5">E4*$E$17</f>
        <v>963.71278944153403</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25504.075229332175</v>
      </c>
    </row>
    <row r="23" spans="1:17">
      <c r="A23" s="477" t="s">
        <v>155</v>
      </c>
      <c r="B23" s="478">
        <f t="shared" ca="1" si="2"/>
        <v>7680.2939765208512</v>
      </c>
      <c r="C23" s="478">
        <f t="shared" ca="1" si="3"/>
        <v>0</v>
      </c>
      <c r="D23" s="478">
        <f t="shared" ca="1" si="4"/>
        <v>5013.7463649099209</v>
      </c>
      <c r="E23" s="478">
        <f t="shared" si="5"/>
        <v>75.861050313218513</v>
      </c>
      <c r="F23" s="478">
        <f t="shared" ca="1" si="6"/>
        <v>1364.4859359032096</v>
      </c>
      <c r="G23" s="478">
        <f t="shared" si="7"/>
        <v>0</v>
      </c>
      <c r="H23" s="478">
        <f t="shared" si="8"/>
        <v>0</v>
      </c>
      <c r="I23" s="478">
        <f t="shared" si="9"/>
        <v>0</v>
      </c>
      <c r="J23" s="478">
        <f t="shared" si="10"/>
        <v>0.12141221980425795</v>
      </c>
      <c r="K23" s="478">
        <f t="shared" si="11"/>
        <v>0</v>
      </c>
      <c r="L23" s="478">
        <f t="shared" ca="1" si="12"/>
        <v>0</v>
      </c>
      <c r="M23" s="478">
        <f t="shared" si="13"/>
        <v>0</v>
      </c>
      <c r="N23" s="478">
        <f t="shared" ca="1" si="14"/>
        <v>0</v>
      </c>
      <c r="O23" s="478">
        <f t="shared" si="15"/>
        <v>0</v>
      </c>
      <c r="P23" s="479">
        <f t="shared" si="16"/>
        <v>0</v>
      </c>
      <c r="Q23" s="477">
        <f t="shared" ref="Q23:Q31" ca="1" si="17">SUM(B23:P23)</f>
        <v>14134.508739867004</v>
      </c>
    </row>
    <row r="24" spans="1:17">
      <c r="A24" s="477" t="s">
        <v>193</v>
      </c>
      <c r="B24" s="478">
        <f t="shared" ca="1" si="2"/>
        <v>248.23524142371866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248.23524142371866</v>
      </c>
    </row>
    <row r="25" spans="1:17">
      <c r="A25" s="477" t="s">
        <v>111</v>
      </c>
      <c r="B25" s="478">
        <f t="shared" ca="1" si="2"/>
        <v>581.28559136332092</v>
      </c>
      <c r="C25" s="478">
        <f t="shared" ca="1" si="3"/>
        <v>13701.45630252101</v>
      </c>
      <c r="D25" s="478">
        <f t="shared" si="4"/>
        <v>0</v>
      </c>
      <c r="E25" s="478">
        <f t="shared" si="5"/>
        <v>20.588473023796876</v>
      </c>
      <c r="F25" s="478">
        <f t="shared" si="6"/>
        <v>2742.2088005045412</v>
      </c>
      <c r="G25" s="478">
        <f t="shared" si="7"/>
        <v>0</v>
      </c>
      <c r="H25" s="478">
        <f t="shared" si="8"/>
        <v>0</v>
      </c>
      <c r="I25" s="478">
        <f t="shared" si="9"/>
        <v>0</v>
      </c>
      <c r="J25" s="478">
        <f t="shared" si="10"/>
        <v>283.42940021984629</v>
      </c>
      <c r="K25" s="478">
        <f t="shared" si="11"/>
        <v>0</v>
      </c>
      <c r="L25" s="478">
        <f t="shared" si="12"/>
        <v>0</v>
      </c>
      <c r="M25" s="478">
        <f t="shared" si="13"/>
        <v>0</v>
      </c>
      <c r="N25" s="478">
        <f t="shared" si="14"/>
        <v>0</v>
      </c>
      <c r="O25" s="478">
        <f t="shared" si="15"/>
        <v>0</v>
      </c>
      <c r="P25" s="479">
        <f t="shared" si="16"/>
        <v>0</v>
      </c>
      <c r="Q25" s="477">
        <f t="shared" ca="1" si="17"/>
        <v>17328.968567632517</v>
      </c>
    </row>
    <row r="26" spans="1:17">
      <c r="A26" s="477" t="s">
        <v>629</v>
      </c>
      <c r="B26" s="478">
        <f t="shared" ca="1" si="2"/>
        <v>6911.9091184692952</v>
      </c>
      <c r="C26" s="478">
        <f t="shared" ca="1" si="3"/>
        <v>0</v>
      </c>
      <c r="D26" s="478">
        <f t="shared" si="4"/>
        <v>19202.397697929249</v>
      </c>
      <c r="E26" s="478">
        <f t="shared" si="5"/>
        <v>416.79484895959683</v>
      </c>
      <c r="F26" s="478">
        <f t="shared" si="6"/>
        <v>1797.1846379954875</v>
      </c>
      <c r="G26" s="478">
        <f t="shared" si="7"/>
        <v>0</v>
      </c>
      <c r="H26" s="478">
        <f t="shared" si="8"/>
        <v>0</v>
      </c>
      <c r="I26" s="478">
        <f t="shared" si="9"/>
        <v>0</v>
      </c>
      <c r="J26" s="478">
        <f t="shared" si="10"/>
        <v>93.57661469396686</v>
      </c>
      <c r="K26" s="478">
        <f t="shared" si="11"/>
        <v>0</v>
      </c>
      <c r="L26" s="478">
        <f t="shared" si="12"/>
        <v>0</v>
      </c>
      <c r="M26" s="478">
        <f t="shared" si="13"/>
        <v>0</v>
      </c>
      <c r="N26" s="478">
        <f t="shared" si="14"/>
        <v>0</v>
      </c>
      <c r="O26" s="478">
        <f t="shared" si="15"/>
        <v>0</v>
      </c>
      <c r="P26" s="479">
        <f t="shared" si="16"/>
        <v>0</v>
      </c>
      <c r="Q26" s="477">
        <f t="shared" ca="1" si="17"/>
        <v>28421.862918047598</v>
      </c>
    </row>
    <row r="27" spans="1:17" s="483" customFormat="1">
      <c r="A27" s="481" t="s">
        <v>555</v>
      </c>
      <c r="B27" s="801">
        <f t="shared" ca="1" si="2"/>
        <v>39.195489157245738</v>
      </c>
      <c r="C27" s="482">
        <f t="shared" ca="1" si="3"/>
        <v>0</v>
      </c>
      <c r="D27" s="482">
        <f t="shared" si="4"/>
        <v>144.86849588862893</v>
      </c>
      <c r="E27" s="482">
        <f t="shared" si="5"/>
        <v>149.8805266746667</v>
      </c>
      <c r="F27" s="482">
        <f t="shared" si="6"/>
        <v>0</v>
      </c>
      <c r="G27" s="482">
        <f t="shared" si="7"/>
        <v>88023.17978751316</v>
      </c>
      <c r="H27" s="482">
        <f t="shared" si="8"/>
        <v>13789.730833905871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102146.85513313957</v>
      </c>
    </row>
    <row r="28" spans="1:17" ht="16.5" customHeight="1">
      <c r="A28" s="477" t="s">
        <v>545</v>
      </c>
      <c r="B28" s="478">
        <f t="shared" ca="1" si="2"/>
        <v>0</v>
      </c>
      <c r="C28" s="478">
        <f t="shared" ca="1" si="3"/>
        <v>0</v>
      </c>
      <c r="D28" s="478">
        <f t="shared" si="4"/>
        <v>0</v>
      </c>
      <c r="E28" s="478">
        <f t="shared" si="5"/>
        <v>0</v>
      </c>
      <c r="F28" s="478">
        <f t="shared" si="6"/>
        <v>0</v>
      </c>
      <c r="G28" s="478">
        <f t="shared" si="7"/>
        <v>854.77269713212979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854.77269713212979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200.50391811911933</v>
      </c>
      <c r="C32" s="478">
        <f t="shared" ca="1" si="3"/>
        <v>0</v>
      </c>
      <c r="D32" s="478">
        <f t="shared" si="4"/>
        <v>474.75698137200004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675.2608994911194</v>
      </c>
    </row>
    <row r="33" spans="1:17" s="489" customFormat="1">
      <c r="A33" s="487" t="s">
        <v>549</v>
      </c>
      <c r="B33" s="488">
        <f ca="1">SUM(B22:B32)</f>
        <v>22573.625422700872</v>
      </c>
      <c r="C33" s="488">
        <f t="shared" ref="C33:Q33" ca="1" si="19">SUM(C22:C32)</f>
        <v>13701.45630252101</v>
      </c>
      <c r="D33" s="488">
        <f t="shared" ca="1" si="19"/>
        <v>42463.92989234312</v>
      </c>
      <c r="E33" s="488">
        <f t="shared" si="19"/>
        <v>1626.8376884128129</v>
      </c>
      <c r="F33" s="488">
        <f t="shared" ca="1" si="19"/>
        <v>5903.8793744032382</v>
      </c>
      <c r="G33" s="488">
        <f t="shared" si="19"/>
        <v>88877.952484645284</v>
      </c>
      <c r="H33" s="488">
        <f t="shared" si="19"/>
        <v>13789.730833905871</v>
      </c>
      <c r="I33" s="488">
        <f t="shared" si="19"/>
        <v>0</v>
      </c>
      <c r="J33" s="488">
        <f t="shared" si="19"/>
        <v>377.1274271336174</v>
      </c>
      <c r="K33" s="488">
        <f t="shared" si="19"/>
        <v>0</v>
      </c>
      <c r="L33" s="488">
        <f t="shared" ca="1" si="19"/>
        <v>0</v>
      </c>
      <c r="M33" s="488">
        <f t="shared" si="19"/>
        <v>0</v>
      </c>
      <c r="N33" s="488">
        <f t="shared" ca="1" si="19"/>
        <v>0</v>
      </c>
      <c r="O33" s="488">
        <f t="shared" si="19"/>
        <v>0</v>
      </c>
      <c r="P33" s="488">
        <f t="shared" si="19"/>
        <v>0</v>
      </c>
      <c r="Q33" s="488">
        <f t="shared" ca="1" si="19"/>
        <v>189314.53942606584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6030.3898547782392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7721.55</v>
      </c>
      <c r="C8" s="1062">
        <f>'SEAP template'!C76</f>
        <v>40358.25</v>
      </c>
      <c r="D8" s="1062">
        <f>'SEAP template'!D76</f>
        <v>47480.294117647063</v>
      </c>
      <c r="E8" s="1062">
        <f>'SEAP template'!E76</f>
        <v>0</v>
      </c>
      <c r="F8" s="1062">
        <f>'SEAP template'!F76</f>
        <v>0</v>
      </c>
      <c r="G8" s="1062">
        <f>'SEAP template'!G76</f>
        <v>0</v>
      </c>
      <c r="H8" s="1062">
        <f>'SEAP template'!H76</f>
        <v>0</v>
      </c>
      <c r="I8" s="1062">
        <f>'SEAP template'!I76</f>
        <v>0</v>
      </c>
      <c r="J8" s="1062">
        <f>'SEAP template'!J76</f>
        <v>9084.176470588236</v>
      </c>
      <c r="K8" s="1062">
        <f>'SEAP template'!K76</f>
        <v>0</v>
      </c>
      <c r="L8" s="1062">
        <f>'SEAP template'!L76</f>
        <v>0</v>
      </c>
      <c r="M8" s="1062">
        <f>'SEAP template'!M76</f>
        <v>0</v>
      </c>
      <c r="N8" s="1062">
        <f>'SEAP template'!N76</f>
        <v>0</v>
      </c>
      <c r="O8" s="1062">
        <f>'SEAP template'!O76</f>
        <v>0</v>
      </c>
      <c r="P8" s="1063">
        <f>'SEAP template'!Q76</f>
        <v>9591.0194117647079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13751.93985477824</v>
      </c>
      <c r="C10" s="1064">
        <f>SUM(C4:C9)</f>
        <v>40358.25</v>
      </c>
      <c r="D10" s="1064">
        <f t="shared" ref="D10:H10" si="0">SUM(D8:D9)</f>
        <v>47480.294117647063</v>
      </c>
      <c r="E10" s="1064">
        <f t="shared" si="0"/>
        <v>0</v>
      </c>
      <c r="F10" s="1064">
        <f t="shared" si="0"/>
        <v>0</v>
      </c>
      <c r="G10" s="1064">
        <f t="shared" si="0"/>
        <v>0</v>
      </c>
      <c r="H10" s="1064">
        <f t="shared" si="0"/>
        <v>0</v>
      </c>
      <c r="I10" s="1064">
        <f>SUM(I8:I9)</f>
        <v>0</v>
      </c>
      <c r="J10" s="1064">
        <f>SUM(J8:J9)</f>
        <v>9084.176470588236</v>
      </c>
      <c r="K10" s="1064">
        <f t="shared" ref="K10:L10" si="1">SUM(K8:K9)</f>
        <v>0</v>
      </c>
      <c r="L10" s="1064">
        <f t="shared" si="1"/>
        <v>0</v>
      </c>
      <c r="M10" s="1064">
        <f>SUM(M8:M9)</f>
        <v>0</v>
      </c>
      <c r="N10" s="1064">
        <f>SUM(N8:N9)</f>
        <v>0</v>
      </c>
      <c r="O10" s="1064">
        <f>SUM(O8:O9)</f>
        <v>0</v>
      </c>
      <c r="P10" s="1064">
        <f>SUM(P8:P9)</f>
        <v>9591.0194117647079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0.20002323987110621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11030.785714285716</v>
      </c>
      <c r="C17" s="1065">
        <f>'SEAP template'!C87</f>
        <v>57654.642857142862</v>
      </c>
      <c r="D17" s="1063">
        <f>'SEAP template'!D87</f>
        <v>67828.991596638662</v>
      </c>
      <c r="E17" s="1063">
        <f>'SEAP template'!E87</f>
        <v>0</v>
      </c>
      <c r="F17" s="1063">
        <f>'SEAP template'!F87</f>
        <v>0</v>
      </c>
      <c r="G17" s="1063">
        <f>'SEAP template'!G87</f>
        <v>0</v>
      </c>
      <c r="H17" s="1063">
        <f>'SEAP template'!H87</f>
        <v>0</v>
      </c>
      <c r="I17" s="1063">
        <f>'SEAP template'!I87</f>
        <v>0</v>
      </c>
      <c r="J17" s="1063">
        <f>'SEAP template'!J87</f>
        <v>12977.394957983195</v>
      </c>
      <c r="K17" s="1063">
        <f>'SEAP template'!K87</f>
        <v>0</v>
      </c>
      <c r="L17" s="1063">
        <f>'SEAP template'!L87</f>
        <v>0</v>
      </c>
      <c r="M17" s="1063">
        <f>'SEAP template'!M87</f>
        <v>0</v>
      </c>
      <c r="N17" s="1063">
        <f>'SEAP template'!N87</f>
        <v>0</v>
      </c>
      <c r="O17" s="1063">
        <f>'SEAP template'!O87</f>
        <v>0</v>
      </c>
      <c r="P17" s="1063">
        <f>'SEAP template'!Q87</f>
        <v>13701.45630252101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11030.785714285716</v>
      </c>
      <c r="C20" s="1064">
        <f>SUM(C17:C19)</f>
        <v>57654.642857142862</v>
      </c>
      <c r="D20" s="1064">
        <f t="shared" ref="D20:H20" si="2">SUM(D17:D19)</f>
        <v>67828.991596638662</v>
      </c>
      <c r="E20" s="1064">
        <f t="shared" si="2"/>
        <v>0</v>
      </c>
      <c r="F20" s="1064">
        <f t="shared" si="2"/>
        <v>0</v>
      </c>
      <c r="G20" s="1064">
        <f t="shared" si="2"/>
        <v>0</v>
      </c>
      <c r="H20" s="1064">
        <f t="shared" si="2"/>
        <v>0</v>
      </c>
      <c r="I20" s="1064">
        <f>SUM(I17:I19)</f>
        <v>0</v>
      </c>
      <c r="J20" s="1064">
        <f>SUM(J17:J19)</f>
        <v>12977.394957983195</v>
      </c>
      <c r="K20" s="1064">
        <f t="shared" ref="K20:L20" si="3">SUM(K17:K19)</f>
        <v>0</v>
      </c>
      <c r="L20" s="1064">
        <f t="shared" si="3"/>
        <v>0</v>
      </c>
      <c r="M20" s="1064">
        <f>SUM(M17:M19)</f>
        <v>0</v>
      </c>
      <c r="N20" s="1064">
        <f>SUM(N17:N19)</f>
        <v>0</v>
      </c>
      <c r="O20" s="1064">
        <f>SUM(O17:O19)</f>
        <v>0</v>
      </c>
      <c r="P20" s="1064">
        <f>SUM(P17:P19)</f>
        <v>13701.45630252101</v>
      </c>
    </row>
    <row r="21" spans="1:16">
      <c r="B21" s="913"/>
    </row>
    <row r="22" spans="1:16">
      <c r="A22" s="490" t="s">
        <v>814</v>
      </c>
      <c r="B22" s="807" t="s">
        <v>812</v>
      </c>
      <c r="C22" s="807">
        <f ca="1">'EF ele_warmte'!B22</f>
        <v>0.19948126680570022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0.20002323987110621</v>
      </c>
      <c r="C17" s="527">
        <f ca="1">'EF ele_warmte'!B22</f>
        <v>0.19948126680570022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2019-08-12T08:37:46Z</dcterms:modified>
</cp:coreProperties>
</file>