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O20" i="59"/>
  <c r="N20"/>
  <c r="F16" i="16"/>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15"/>
  <c r="N78" i="14"/>
  <c r="N9" i="59"/>
  <c r="N10" s="1"/>
  <c r="M24" i="48"/>
  <c r="M32"/>
  <c r="H90" i="14"/>
  <c r="H18" i="59"/>
  <c r="H20" s="1"/>
  <c r="H78" i="14"/>
  <c r="H9" i="59"/>
  <c r="H10" s="1"/>
  <c r="E78" i="14"/>
  <c r="E9" i="59"/>
  <c r="E10" s="1"/>
  <c r="O78" i="14"/>
  <c r="O9" i="59"/>
  <c r="O10" s="1"/>
  <c r="K33" i="48"/>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O15" i="48"/>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B56" i="22"/>
  <c r="B58" s="1"/>
  <c r="C49" i="14" s="1"/>
  <c r="R49" s="1"/>
  <c r="C55"/>
  <c r="R55" s="1"/>
  <c r="B29" i="20"/>
  <c r="B31" s="1"/>
  <c r="C12" i="59"/>
  <c r="B17" i="19"/>
  <c r="B19" s="1"/>
  <c r="C39" i="14" s="1"/>
  <c r="R39" s="1"/>
  <c r="B20" i="16"/>
  <c r="B22" s="1"/>
  <c r="B18" i="15"/>
  <c r="B20" s="1"/>
  <c r="B10" i="17"/>
  <c r="B12" s="1"/>
  <c r="C54" i="14" s="1"/>
  <c r="R54" s="1"/>
  <c r="R56" s="1"/>
  <c r="B17" i="49"/>
  <c r="B19" s="1"/>
  <c r="B10" i="13"/>
  <c r="B12" s="1"/>
  <c r="B10" i="9"/>
  <c r="B12" s="1"/>
  <c r="C43" i="14"/>
  <c r="R43" s="1"/>
  <c r="C42"/>
  <c r="R42" s="1"/>
  <c r="C48"/>
  <c r="R48" s="1"/>
  <c r="C40"/>
  <c r="R40" s="1"/>
  <c r="B17" i="48" l="1"/>
  <c r="B32" s="1"/>
  <c r="Q32" s="1"/>
  <c r="R52" i="14"/>
  <c r="C52"/>
  <c r="C41"/>
  <c r="R41" s="1"/>
  <c r="R46" s="1"/>
  <c r="B31" i="48"/>
  <c r="Q31" s="1"/>
  <c r="B25" l="1"/>
  <c r="Q25" s="1"/>
  <c r="B29"/>
  <c r="Q29" s="1"/>
  <c r="B30"/>
  <c r="Q30" s="1"/>
  <c r="B27"/>
  <c r="Q27" s="1"/>
  <c r="B28"/>
  <c r="Q28" s="1"/>
  <c r="B22"/>
  <c r="B26"/>
  <c r="Q26" s="1"/>
  <c r="B24"/>
  <c r="Q24" s="1"/>
  <c r="B23"/>
  <c r="Q23"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<sst xmlns="http://schemas.openxmlformats.org/spreadsheetml/2006/main" count="2384" uniqueCount="886">
  <si>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</si>
  <si>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</si>
  <si>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</si>
  <si>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</si>
  <si>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</si>
  <si>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</si>
  <si>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</si>
  <si>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</si>
  <si>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</si>
  <si>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</si>
  <si>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</si>
  <si>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</si>
  <si>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</si>
  <si>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</si>
  <si>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</si>
  <si>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</si>
  <si>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</si>
  <si>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</si>
  <si>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</si>
  <si>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</si>
  <si>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</si>
  <si>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</si>
  <si>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</si>
  <si>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</si>
  <si>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</si>
  <si>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</si>
  <si>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</si>
  <si>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</si>
  <si>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</si>
  <si>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</si>
  <si>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</si>
  <si>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</si>
  <si>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</si>
  <si>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</si>
  <si>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</si>
  <si>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</si>
  <si>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</si>
  <si>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</si>
  <si>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</si>
  <si>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</si>
  <si>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</si>
  <si>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</si>
  <si>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</si>
  <si>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</si>
  <si>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</si>
  <si>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</si>
  <si>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</si>
  <si>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</si>
  <si>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</si>
  <si>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</si>
  <si>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</si>
  <si>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</si>
  <si>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</si>
  <si>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</si>
  <si>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</si>
  <si>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</si>
  <si>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</si>
  <si>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</si>
  <si>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</si>
  <si>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</si>
  <si>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</si>
  <si>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</si>
  <si>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</si>
  <si>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</si>
  <si>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</si>
  <si>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</si>
  <si>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</si>
  <si>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</si>
  <si>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</si>
  <si>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</si>
  <si>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</si>
  <si>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</si>
  <si>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</si>
  <si>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</si>
  <si>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</si>
  <si>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</si>
  <si>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</si>
  <si>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</si>
  <si>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</si>
  <si>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</si>
  <si>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</si>
  <si>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</si>
  <si>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</si>
  <si>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</si>
  <si>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</si>
  <si>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</si>
  <si>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</si>
  <si>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</si>
  <si>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</si>
  <si>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</si>
  <si>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</si>
  <si>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</si>
  <si>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</si>
  <si>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</si>
  <si>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</si>
  <si>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</si>
  <si>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</si>
  <si>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</si>
  <si>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</si>
  <si>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</si>
  <si>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</si>
  <si>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</si>
  <si>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</si>
  <si>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</si>
  <si>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</si>
  <si>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</si>
  <si>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</si>
  <si>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</si>
  <si>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</si>
  <si>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</si>
  <si>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</si>
  <si>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</si>
  <si>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</si>
  <si>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</si>
  <si>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</si>
  <si>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</si>
  <si>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</si>
  <si>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</si>
  <si>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</si>
  <si>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</si>
  <si>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</si>
  <si>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</si>
  <si>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</si>
  <si>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</si>
  <si>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</si>
  <si>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</si>
  <si>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</si>
  <si>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</si>
  <si>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</si>
  <si>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</si>
  <si>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</si>
  <si>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</si>
  <si>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</si>
  <si>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</si>
  <si>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</si>
  <si>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</si>
  <si>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</si>
  <si>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</si>
  <si>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</si>
  <si>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</si>
  <si>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</si>
  <si>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</si>
  <si>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</si>
  <si>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</si>
  <si>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</si>
  <si>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</si>
  <si>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</si>
  <si>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</si>
  <si>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</si>
  <si>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</si>
  <si>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</si>
  <si>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</si>
  <si>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</si>
  <si>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</si>
  <si>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</si>
  <si>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</si>
  <si>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</si>
  <si>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</si>
  <si>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</si>
  <si>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</si>
  <si>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</si>
  <si>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</si>
  <si>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</si>
  <si>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</si>
  <si>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</si>
  <si>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</si>
  <si>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</si>
  <si>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</si>
  <si>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</si>
  <si>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</si>
  <si>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</si>
  <si>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</si>
  <si>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</si>
  <si>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</si>
  <si>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</si>
  <si>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</si>
  <si>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</si>
  <si>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</si>
  <si>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</si>
  <si>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</si>
  <si>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</si>
  <si>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</si>
  <si>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</si>
  <si>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</si>
  <si>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</si>
  <si>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</si>
  <si>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</si>
  <si>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</si>
  <si>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</si>
  <si>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</si>
  <si>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</si>
  <si>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</si>
  <si>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</si>
  <si>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</si>
  <si>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</si>
  <si>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</si>
  <si>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</si>
  <si>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</si>
  <si>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</si>
  <si>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</si>
  <si>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</si>
  <si>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</si>
  <si>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</si>
  <si>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</si>
  <si>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</si>
  <si>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</si>
  <si>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</si>
  <si>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</si>
  <si>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</si>
  <si>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</si>
  <si>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</si>
  <si>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</si>
  <si>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</si>
  <si>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</si>
  <si>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</si>
  <si>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</si>
  <si>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</si>
  <si>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</si>
  <si>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</si>
  <si>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</si>
  <si>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</si>
  <si>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</si>
  <si>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</si>
  <si>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</si>
  <si>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</si>
  <si>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</si>
  <si>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</si>
  <si>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</si>
  <si>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</si>
  <si>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</si>
  <si>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</si>
  <si>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</si>
  <si>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</si>
  <si>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</si>
  <si>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</si>
  <si>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</si>
  <si>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</si>
  <si>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</si>
  <si>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</si>
  <si>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</si>
  <si>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</si>
  <si>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</si>
  <si>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</si>
  <si>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</si>
  <si>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</si>
  <si>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</si>
  <si>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</si>
  <si>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</si>
  <si>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</si>
  <si>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</si>
  <si>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</si>
  <si>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</si>
  <si>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</si>
  <si>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</si>
  <si>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</si>
  <si>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</si>
  <si>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</si>
  <si>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</si>
  <si>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</si>
  <si>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</si>
  <si>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</si>
  <si>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</si>
  <si>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</si>
  <si>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</si>
  <si>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</si>
  <si>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</si>
  <si>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</si>
  <si>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</si>
  <si>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</si>
  <si>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</si>
  <si>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</si>
  <si>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</si>
  <si>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</si>
  <si>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</si>
  <si>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</si>
  <si>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</si>
  <si>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</si>
  <si>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</si>
  <si>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</si>
  <si>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</si>
  <si>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</si>
  <si>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</si>
  <si>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</si>
  <si>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</si>
  <si>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</si>
  <si>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</si>
  <si>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</si>
  <si>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</si>
  <si>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</si>
  <si>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</si>
  <si>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</si>
  <si>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</si>
  <si>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</si>
  <si>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</si>
  <si>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</si>
  <si>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</si>
  <si>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</si>
  <si>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</si>
  <si>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</si>
  <si>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</si>
  <si>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</si>
  <si>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</si>
  <si>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</si>
  <si>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</si>
  <si>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</si>
  <si>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</si>
  <si>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</si>
  <si>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</si>
  <si>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</si>
  <si>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</si>
  <si>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</si>
  <si>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</si>
  <si>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</si>
  <si>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</si>
  <si>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</si>
  <si>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</si>
  <si>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</si>
  <si>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</si>
  <si>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</si>
  <si>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</si>
  <si>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</si>
  <si>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</si>
  <si>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</si>
  <si>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</si>
  <si>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</si>
  <si>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</si>
  <si>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</si>
  <si>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</si>
  <si>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</si>
  <si>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</si>
  <si>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</si>
  <si>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</si>
  <si>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</si>
  <si>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</si>
  <si>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</si>
  <si>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</si>
  <si>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</si>
  <si>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</si>
  <si>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</si>
  <si>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</si>
  <si>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</si>
  <si>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</si>
  <si>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</si>
  <si>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</si>
  <si>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</si>
  <si>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</si>
  <si>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</si>
  <si>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</si>
  <si>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</si>
  <si>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</si>
  <si>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</si>
  <si>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</si>
  <si>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</si>
  <si>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</si>
  <si>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</si>
  <si>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</si>
  <si>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</si>
  <si>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</si>
  <si>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</si>
  <si>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</si>
  <si>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</si>
  <si>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</si>
  <si>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</si>
  <si>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</si>
  <si>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</si>
  <si>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</si>
  <si>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</si>
  <si>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</si>
  <si>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</si>
  <si>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</si>
  <si>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</si>
  <si>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</si>
  <si>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</si>
  <si>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</si>
  <si>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</si>
  <si>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</si>
  <si>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</si>
  <si>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</si>
  <si>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</si>
  <si>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</si>
  <si>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</si>
  <si>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</si>
  <si>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</si>
  <si>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</si>
  <si>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</si>
  <si>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</si>
  <si>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</si>
  <si>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</si>
  <si>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</si>
  <si>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</si>
  <si>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</si>
  <si>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</si>
  <si>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</si>
  <si>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</si>
  <si>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</si>
  <si>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</si>
  <si>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</si>
  <si>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</si>
  <si>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</si>
  <si>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</si>
  <si>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</si>
  <si>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</si>
  <si>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</si>
  <si>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</si>
  <si>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</si>
  <si>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</si>
  <si>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</si>
  <si>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</si>
  <si>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</si>
  <si>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</si>
  <si>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</si>
  <si>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</si>
  <si>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</si>
  <si>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</si>
  <si>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</si>
  <si>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</si>
  <si>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</si>
  <si>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</si>
  <si>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</si>
  <si>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</si>
  <si>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</si>
  <si>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</si>
  <si>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</si>
  <si>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</si>
  <si>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</si>
  <si>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</si>
  <si>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</si>
  <si>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</si>
  <si>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</si>
  <si>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</si>
  <si>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</si>
  <si>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</si>
  <si>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</si>
  <si>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</si>
  <si>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</si>
  <si>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</si>
  <si>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</si>
  <si>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</si>
  <si>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</si>
  <si>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</si>
  <si>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</si>
  <si>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</si>
  <si>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</si>
  <si>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</si>
  <si>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</si>
  <si>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</si>
  <si>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</si>
  <si>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</si>
  <si>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</si>
  <si>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</si>
  <si>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</si>
  <si>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</si>
  <si>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</si>
  <si>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</si>
  <si>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</si>
  <si>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</si>
  <si>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</si>
  <si>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</si>
  <si>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</si>
  <si>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</si>
  <si>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</si>
  <si>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</si>
  <si>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</si>
  <si>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</si>
  <si>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</si>
  <si>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</si>
  <si>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</si>
  <si>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</si>
  <si>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</si>
  <si>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</si>
  <si>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</si>
  <si>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</si>
  <si>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</si>
  <si>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</si>
  <si>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</si>
  <si>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</si>
  <si>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</si>
  <si>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</si>
  <si>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</si>
  <si>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</si>
  <si>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</si>
  <si>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</si>
  <si>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</si>
  <si>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</si>
  <si>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</si>
  <si>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</si>
  <si>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</si>
  <si>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</si>
  <si>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</si>
  <si>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</si>
  <si>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</si>
  <si>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</si>
  <si>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</si>
  <si>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</si>
  <si>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</si>
  <si>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</si>
  <si>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</si>
  <si>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</si>
  <si>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</si>
  <si>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</si>
  <si>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</si>
  <si>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</si>
  <si>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</si>
  <si>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</si>
  <si>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</si>
  <si>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</si>
  <si>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</si>
  <si>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</si>
  <si>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</si>
  <si>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</si>
  <si>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</si>
  <si>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</si>
  <si>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</si>
  <si>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</si>
  <si>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</si>
  <si>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</si>
  <si>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</si>
  <si>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</si>
  <si>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</si>
  <si>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</si>
  <si>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</si>
  <si>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</si>
  <si>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</si>
  <si>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</si>
  <si>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</si>
  <si>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</si>
  <si>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</si>
  <si>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</si>
  <si>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</si>
  <si>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</si>
  <si>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</si>
  <si>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</si>
  <si>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</si>
  <si>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</si>
  <si>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</si>
  <si>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</si>
  <si>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</si>
  <si>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</si>
  <si>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</si>
  <si>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</si>
  <si>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</si>
  <si>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</si>
  <si>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</si>
  <si>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</si>
  <si>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</si>
  <si>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</si>
  <si>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</si>
  <si>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</si>
  <si>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</si>
  <si>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</si>
  <si>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</si>
  <si>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</si>
  <si>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</si>
  <si>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</si>
  <si>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</si>
  <si>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</si>
  <si>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</si>
  <si>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</si>
  <si>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</si>
  <si>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</si>
  <si>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</si>
  <si>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</si>
  <si>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</si>
  <si>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</si>
  <si>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</si>
  <si>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</si>
  <si>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</si>
  <si>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</si>
  <si>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</si>
  <si>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</si>
  <si>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</si>
  <si>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</si>
  <si>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</si>
  <si>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</si>
  <si>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</si>
  <si>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</si>
  <si>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</si>
  <si>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</si>
  <si>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</si>
  <si>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</si>
  <si>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</si>
  <si>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</si>
  <si>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</si>
  <si>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</si>
  <si>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</si>
  <si>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</si>
  <si>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</si>
  <si>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</si>
  <si>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</si>
  <si>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</si>
  <si>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</si>
  <si>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</si>
  <si>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</si>
  <si>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</si>
  <si>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</si>
  <si>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</si>
  <si>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</si>
  <si>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</si>
  <si>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</si>
  <si>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</si>
  <si>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</si>
  <si>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</si>
  <si>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</si>
  <si>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</si>
  <si>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</si>
  <si>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</si>
  <si>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</si>
  <si>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</si>
  <si>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</si>
  <si>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</si>
  <si>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</si>
  <si>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</si>
  <si>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</si>
  <si>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</si>
  <si>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</si>
  <si>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</si>
  <si>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</si>
  <si>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</si>
  <si>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</si>
  <si>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</si>
  <si>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</si>
  <si>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</si>
  <si>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</si>
  <si>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</si>
  <si>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</si>
  <si>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</si>
  <si>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</si>
  <si>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</si>
  <si>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</si>
  <si>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</si>
  <si>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</si>
  <si>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</si>
  <si>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</si>
  <si>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</si>
  <si>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</si>
  <si>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</si>
  <si>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</si>
  <si>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</si>
  <si>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</si>
  <si>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</si>
  <si>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</si>
  <si>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</si>
  <si>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</si>
  <si>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</si>
  <si>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</si>
  <si>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</si>
  <si>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</si>
  <si>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</si>
  <si>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</si>
  <si>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</si>
  <si>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</si>
  <si>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</si>
  <si>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</si>
  <si>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</si>
  <si>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</si>
  <si>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</si>
  <si>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</si>
  <si>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</si>
  <si>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</si>
  <si>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</si>
  <si>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</si>
  <si>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</si>
  <si>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</si>
  <si>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</si>
  <si>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</si>
  <si>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</si>
  <si>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</si>
  <si>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</si>
  <si>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</si>
  <si>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</si>
  <si>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</si>
  <si>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</si>
  <si>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</si>
  <si>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</si>
  <si>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</si>
  <si>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</si>
  <si>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</si>
  <si>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</si>
  <si>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</si>
  <si>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</si>
  <si>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</si>
  <si>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</si>
  <si>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</si>
  <si>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</si>
  <si>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</si>
  <si>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</si>
  <si>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</si>
  <si>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</si>
  <si>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</si>
  <si>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</si>
  <si>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</si>
  <si>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</si>
  <si>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</si>
  <si>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</si>
  <si>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</si>
  <si>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</si>
  <si>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</si>
  <si>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</si>
  <si>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</si>
  <si>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</si>
  <si>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</si>
  <si>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</si>
  <si>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</si>
  <si>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</si>
  <si>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</si>
  <si>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</si>
  <si>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</si>
  <si>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</si>
  <si>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</si>
  <si>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</si>
  <si>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</si>
  <si>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</si>
  <si>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</si>
  <si>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</si>
  <si>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</si>
  <si>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</si>
  <si>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</si>
  <si>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</si>
  <si>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</si>
  <si>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</si>
  <si>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</si>
  <si>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</si>
  <si>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</si>
  <si>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</si>
  <si>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</si>
  <si>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</si>
  <si>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</si>
  <si>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</si>
  <si>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</si>
  <si>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</si>
  <si>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</si>
  <si>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</si>
  <si>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</si>
  <si>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</si>
  <si>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</si>
  <si>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</si>
  <si>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</si>
  <si>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</si>
  <si>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</si>
  <si>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</si>
  <si>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</si>
  <si>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</si>
  <si>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</si>
  <si>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</si>
  <si>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</si>
  <si>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</si>
  <si>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</si>
  <si>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</si>
  <si>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</si>
  <si>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</si>
  <si>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</si>
  <si>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</si>
  <si>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</si>
  <si>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</si>
  <si>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</si>
  <si>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</si>
  <si>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</si>
  <si>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</si>
  <si>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</si>
  <si>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</si>
  <si>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</si>
  <si>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</si>
  <si>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</si>
  <si>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</si>
  <si>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</si>
  <si>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</si>
  <si>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</si>
  <si>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</si>
  <si>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</si>
  <si>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</si>
  <si>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</si>
  <si>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</si>
  <si>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</si>
  <si>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</si>
  <si>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</si>
  <si>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</si>
  <si>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</si>
  <si>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</si>
  <si>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</si>
  <si>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</si>
  <si>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</si>
  <si>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</si>
  <si>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</si>
  <si>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</si>
  <si>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</si>
  <si>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</si>
  <si>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</si>
  <si>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</si>
  <si>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</si>
  <si>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</si>
  <si>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</si>
  <si>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</si>
  <si>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</si>
  <si>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</si>
  <si>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</si>
  <si>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</si>
  <si>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</si>
  <si>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</si>
  <si>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</si>
  <si>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</si>
  <si>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</si>
  <si>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</si>
  <si>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</si>
  <si>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</si>
  <si>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</si>
  <si>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</si>
  <si>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</si>
  <si>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</si>
  <si>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</si>
  <si>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</si>
  <si>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</si>
  <si>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</si>
  <si>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</si>
  <si>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</si>
  <si>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</si>
  <si>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</si>
  <si>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</si>
  <si>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</si>
  <si>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</si>
  <si>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</si>
  <si>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</si>
  <si>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</si>
  <si>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</si>
  <si>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</si>
  <si>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</si>
  <si>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</si>
  <si>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</si>
  <si>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</si>
  <si>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</si>
  <si>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</si>
  <si>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</si>
  <si>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</si>
  <si>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</si>
  <si>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</si>
  <si>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</si>
  <si>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</si>
  <si>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</si>
  <si>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</si>
  <si>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</si>
  <si>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</si>
  <si>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</si>
  <si>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</si>
  <si>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</si>
  <si>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</si>
  <si>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</si>
  <si>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</si>
  <si>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</si>
  <si>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</si>
  <si>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</si>
  <si>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</si>
  <si>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</si>
  <si>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</si>
  <si>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</si>
  <si>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</si>
  <si>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</si>
  <si>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</si>
  <si>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</si>
  <si>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</si>
  <si>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</si>
  <si>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</si>
  <si>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</si>
  <si>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</si>
  <si>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</si>
  <si>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</si>
  <si>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</si>
  <si>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</si>
  <si>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</si>
  <si>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</si>
  <si>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</si>
  <si>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</si>
  <si>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</si>
  <si>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</si>
  <si>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</si>
  <si>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</si>
  <si>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</si>
  <si>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</si>
  <si>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</si>
  <si>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</si>
  <si>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11018</t>
  </si>
  <si>
    <t>HEMIKSEM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</si>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</sst>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72821.312309764937</c:v>
                </c:pt>
                <c:pt idx="1">
                  <c:v>30122.753500237373</c:v>
                </c:pt>
                <c:pt idx="2">
                  <c:v>398.47899999999998</c:v>
                </c:pt>
                <c:pt idx="3">
                  <c:v>329.96040375022068</c:v>
                </c:pt>
                <c:pt idx="4">
                  <c:v>84762.697259753855</c:v>
                </c:pt>
                <c:pt idx="5">
                  <c:v>29330.718478466111</c:v>
                </c:pt>
                <c:pt idx="6">
                  <c:v>1067.9098438656144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54368"/>
        <c:axId val="182155904"/>
      </c:barChart>
      <c:catAx>
        <c:axId val="182154368"/>
        <c:scaling>
          <c:orientation val="minMax"/>
        </c:scaling>
        <c:axPos val="b"/>
        <c:numFmt formatCode="General" sourceLinked="0"/>
        <c:tickLblPos val="nextTo"/>
        <c:crossAx val="182155904"/>
        <c:crosses val="autoZero"/>
        <c:auto val="1"/>
        <c:lblAlgn val="ctr"/>
        <c:lblOffset val="100"/>
      </c:catAx>
      <c:valAx>
        <c:axId val="182155904"/>
        <c:scaling>
          <c:orientation val="minMax"/>
        </c:scaling>
        <c:axPos val="l"/>
        <c:majorGridlines/>
        <c:numFmt formatCode="#,##0" sourceLinked="1"/>
        <c:tickLblPos val="nextTo"/>
        <c:crossAx val="182154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72821.312309764937</c:v>
                </c:pt>
                <c:pt idx="1">
                  <c:v>30122.753500237373</c:v>
                </c:pt>
                <c:pt idx="2">
                  <c:v>398.47899999999998</c:v>
                </c:pt>
                <c:pt idx="3">
                  <c:v>329.96040375022068</c:v>
                </c:pt>
                <c:pt idx="4">
                  <c:v>84762.697259753855</c:v>
                </c:pt>
                <c:pt idx="5">
                  <c:v>29330.718478466111</c:v>
                </c:pt>
                <c:pt idx="6">
                  <c:v>1067.9098438656144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14341.902585131469</c:v>
                </c:pt>
                <c:pt idx="1">
                  <c:v>6169.7911740312384</c:v>
                </c:pt>
                <c:pt idx="2">
                  <c:v>85.980503557940267</c:v>
                </c:pt>
                <c:pt idx="3">
                  <c:v>80.447683466885522</c:v>
                </c:pt>
                <c:pt idx="4">
                  <c:v>17636.176745875164</c:v>
                </c:pt>
                <c:pt idx="5">
                  <c:v>7296.1421513503628</c:v>
                </c:pt>
                <c:pt idx="6">
                  <c:v>270.11870102230682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14341.902585131469</c:v>
                </c:pt>
                <c:pt idx="1">
                  <c:v>6169.7911740312384</c:v>
                </c:pt>
                <c:pt idx="2">
                  <c:v>85.980503557940267</c:v>
                </c:pt>
                <c:pt idx="3">
                  <c:v>80.447683466885522</c:v>
                </c:pt>
                <c:pt idx="4">
                  <c:v>17636.176745875164</c:v>
                </c:pt>
                <c:pt idx="5">
                  <c:v>7296.1421513503628</c:v>
                </c:pt>
                <c:pt idx="6">
                  <c:v>270.11870102230682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11018</v>
      </c>
      <c r="B6" s="415"/>
      <c r="C6" s="416"/>
    </row>
    <row r="7" spans="1:7" s="413" customFormat="1" ht="15.75" customHeight="1">
      <c r="A7" s="417" t="str">
        <f>txtMunicipality</f>
        <v>HEMIKSEM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0.21577173090160404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0.21577173090160404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4613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4.71</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11504</v>
      </c>
    </row>
    <row r="39" spans="1:6">
      <c r="A39" s="348" t="s">
        <v>29</v>
      </c>
      <c r="B39" s="348" t="s">
        <v>30</v>
      </c>
      <c r="C39" s="334">
        <v>4275</v>
      </c>
      <c r="D39" s="334">
        <v>59972741.799999997</v>
      </c>
      <c r="E39" s="334">
        <v>4839</v>
      </c>
      <c r="F39" s="334">
        <v>14342563.1</v>
      </c>
    </row>
    <row r="40" spans="1:6">
      <c r="A40" s="348" t="s">
        <v>29</v>
      </c>
      <c r="B40" s="348" t="s">
        <v>28</v>
      </c>
      <c r="C40" s="334">
        <v>0</v>
      </c>
      <c r="D40" s="334">
        <v>0</v>
      </c>
      <c r="E40" s="334">
        <v>0</v>
      </c>
      <c r="F40" s="334">
        <v>0</v>
      </c>
    </row>
    <row r="41" spans="1:6">
      <c r="A41" s="348" t="s">
        <v>31</v>
      </c>
      <c r="B41" s="348" t="s">
        <v>32</v>
      </c>
      <c r="C41" s="334">
        <v>38</v>
      </c>
      <c r="D41" s="334">
        <v>837577</v>
      </c>
      <c r="E41" s="334">
        <v>67</v>
      </c>
      <c r="F41" s="334">
        <v>574996.103</v>
      </c>
    </row>
    <row r="42" spans="1:6">
      <c r="A42" s="348" t="s">
        <v>31</v>
      </c>
      <c r="B42" s="348" t="s">
        <v>33</v>
      </c>
      <c r="C42" s="334">
        <v>3</v>
      </c>
      <c r="D42" s="334">
        <v>348846</v>
      </c>
      <c r="E42" s="334">
        <v>0</v>
      </c>
      <c r="F42" s="334">
        <v>0</v>
      </c>
    </row>
    <row r="43" spans="1:6">
      <c r="A43" s="348" t="s">
        <v>31</v>
      </c>
      <c r="B43" s="348" t="s">
        <v>34</v>
      </c>
      <c r="C43" s="334">
        <v>0</v>
      </c>
      <c r="D43" s="334">
        <v>0</v>
      </c>
      <c r="E43" s="334">
        <v>0</v>
      </c>
      <c r="F43" s="334">
        <v>0</v>
      </c>
    </row>
    <row r="44" spans="1:6">
      <c r="A44" s="348" t="s">
        <v>31</v>
      </c>
      <c r="B44" s="348" t="s">
        <v>35</v>
      </c>
      <c r="C44" s="334">
        <v>4</v>
      </c>
      <c r="D44" s="334">
        <v>2833891</v>
      </c>
      <c r="E44" s="334">
        <v>8</v>
      </c>
      <c r="F44" s="334">
        <v>339199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54108225</v>
      </c>
      <c r="E48" s="334">
        <v>5</v>
      </c>
      <c r="F48" s="334">
        <v>23750592</v>
      </c>
    </row>
    <row r="49" spans="1:6">
      <c r="A49" s="348" t="s">
        <v>31</v>
      </c>
      <c r="B49" s="348" t="s">
        <v>39</v>
      </c>
      <c r="C49" s="334">
        <v>0</v>
      </c>
      <c r="D49" s="334">
        <v>0</v>
      </c>
      <c r="E49" s="334">
        <v>0</v>
      </c>
      <c r="F49" s="334">
        <v>0</v>
      </c>
    </row>
    <row r="50" spans="1:6">
      <c r="A50" s="348" t="s">
        <v>31</v>
      </c>
      <c r="B50" s="348" t="s">
        <v>40</v>
      </c>
      <c r="C50" s="334">
        <v>5</v>
      </c>
      <c r="D50" s="334">
        <v>328991</v>
      </c>
      <c r="E50" s="334">
        <v>4</v>
      </c>
      <c r="F50" s="334">
        <v>167699</v>
      </c>
    </row>
    <row r="51" spans="1:6">
      <c r="A51" s="348" t="s">
        <v>41</v>
      </c>
      <c r="B51" s="348" t="s">
        <v>42</v>
      </c>
      <c r="C51" s="334">
        <v>5</v>
      </c>
      <c r="D51" s="334">
        <v>107067</v>
      </c>
      <c r="E51" s="334">
        <v>10</v>
      </c>
      <c r="F51" s="334">
        <v>48212</v>
      </c>
    </row>
    <row r="52" spans="1:6">
      <c r="A52" s="348" t="s">
        <v>41</v>
      </c>
      <c r="B52" s="348" t="s">
        <v>28</v>
      </c>
      <c r="C52" s="334">
        <v>0</v>
      </c>
      <c r="D52" s="334">
        <v>0</v>
      </c>
      <c r="E52" s="334">
        <v>0</v>
      </c>
      <c r="F52" s="334">
        <v>0</v>
      </c>
    </row>
    <row r="53" spans="1:6">
      <c r="A53" s="348" t="s">
        <v>43</v>
      </c>
      <c r="B53" s="348" t="s">
        <v>44</v>
      </c>
      <c r="C53" s="334">
        <v>53</v>
      </c>
      <c r="D53" s="334">
        <v>1015027.7</v>
      </c>
      <c r="E53" s="334">
        <v>121</v>
      </c>
      <c r="F53" s="334">
        <v>491139.5</v>
      </c>
    </row>
    <row r="54" spans="1:6">
      <c r="A54" s="348" t="s">
        <v>45</v>
      </c>
      <c r="B54" s="348" t="s">
        <v>46</v>
      </c>
      <c r="C54" s="334">
        <v>0</v>
      </c>
      <c r="D54" s="334">
        <v>0</v>
      </c>
      <c r="E54" s="334">
        <v>1</v>
      </c>
      <c r="F54" s="334">
        <v>398479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1132489</v>
      </c>
      <c r="E57" s="334">
        <v>37</v>
      </c>
      <c r="F57" s="334">
        <v>709157</v>
      </c>
    </row>
    <row r="58" spans="1:6">
      <c r="A58" s="348" t="s">
        <v>48</v>
      </c>
      <c r="B58" s="348" t="s">
        <v>50</v>
      </c>
      <c r="C58" s="334">
        <v>17</v>
      </c>
      <c r="D58" s="334">
        <v>402270.7</v>
      </c>
      <c r="E58" s="334">
        <v>20</v>
      </c>
      <c r="F58" s="334">
        <v>154466.25</v>
      </c>
    </row>
    <row r="59" spans="1:6">
      <c r="A59" s="348" t="s">
        <v>48</v>
      </c>
      <c r="B59" s="348" t="s">
        <v>51</v>
      </c>
      <c r="C59" s="334">
        <v>45</v>
      </c>
      <c r="D59" s="334">
        <v>1107523</v>
      </c>
      <c r="E59" s="334">
        <v>64</v>
      </c>
      <c r="F59" s="334">
        <v>4254525.7369999997</v>
      </c>
    </row>
    <row r="60" spans="1:6">
      <c r="A60" s="348" t="s">
        <v>48</v>
      </c>
      <c r="B60" s="348" t="s">
        <v>52</v>
      </c>
      <c r="C60" s="334">
        <v>31</v>
      </c>
      <c r="D60" s="334">
        <v>971359</v>
      </c>
      <c r="E60" s="334">
        <v>55</v>
      </c>
      <c r="F60" s="334">
        <v>1057315</v>
      </c>
    </row>
    <row r="61" spans="1:6">
      <c r="A61" s="348" t="s">
        <v>48</v>
      </c>
      <c r="B61" s="348" t="s">
        <v>53</v>
      </c>
      <c r="C61" s="334">
        <v>118</v>
      </c>
      <c r="D61" s="334">
        <v>16300830.526000001</v>
      </c>
      <c r="E61" s="334">
        <v>184</v>
      </c>
      <c r="F61" s="334">
        <v>3760149.7</v>
      </c>
    </row>
    <row r="62" spans="1:6">
      <c r="A62" s="348" t="s">
        <v>48</v>
      </c>
      <c r="B62" s="348" t="s">
        <v>54</v>
      </c>
      <c r="C62" s="334">
        <v>6</v>
      </c>
      <c r="D62" s="334">
        <v>329329</v>
      </c>
      <c r="E62" s="334">
        <v>3</v>
      </c>
      <c r="F62" s="334">
        <v>15344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39428</v>
      </c>
      <c r="E65" s="334">
        <v>0</v>
      </c>
      <c r="F65" s="334">
        <v>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19815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33409055</v>
      </c>
      <c r="E73" s="476"/>
    </row>
    <row r="74" spans="1:6">
      <c r="A74" s="348" t="s">
        <v>63</v>
      </c>
      <c r="B74" s="348" t="s">
        <v>651</v>
      </c>
      <c r="C74" s="1307" t="s">
        <v>653</v>
      </c>
      <c r="D74" s="476">
        <v>2795464.5</v>
      </c>
      <c r="E74" s="476"/>
    </row>
    <row r="75" spans="1:6">
      <c r="A75" s="348" t="s">
        <v>64</v>
      </c>
      <c r="B75" s="348" t="s">
        <v>650</v>
      </c>
      <c r="C75" s="1307" t="s">
        <v>654</v>
      </c>
      <c r="D75" s="476">
        <v>1595636</v>
      </c>
      <c r="E75" s="476"/>
    </row>
    <row r="76" spans="1:6">
      <c r="A76" s="348" t="s">
        <v>64</v>
      </c>
      <c r="B76" s="348" t="s">
        <v>651</v>
      </c>
      <c r="C76" s="1307" t="s">
        <v>655</v>
      </c>
      <c r="D76" s="476">
        <v>170708.5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296679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1155.0272066419325</v>
      </c>
    </row>
    <row r="92" spans="1:6">
      <c r="A92" s="341" t="s">
        <v>68</v>
      </c>
      <c r="B92" s="342">
        <v>57.123896365856311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2975</v>
      </c>
    </row>
    <row r="98" spans="1:6">
      <c r="A98" s="348" t="s">
        <v>71</v>
      </c>
      <c r="B98" s="334">
        <v>3</v>
      </c>
    </row>
    <row r="99" spans="1:6">
      <c r="A99" s="348" t="s">
        <v>72</v>
      </c>
      <c r="B99" s="334">
        <v>8</v>
      </c>
    </row>
    <row r="100" spans="1:6">
      <c r="A100" s="348" t="s">
        <v>73</v>
      </c>
      <c r="B100" s="334">
        <v>268</v>
      </c>
    </row>
    <row r="101" spans="1:6">
      <c r="A101" s="348" t="s">
        <v>74</v>
      </c>
      <c r="B101" s="334">
        <v>38</v>
      </c>
    </row>
    <row r="102" spans="1:6">
      <c r="A102" s="348" t="s">
        <v>75</v>
      </c>
      <c r="B102" s="334">
        <v>57</v>
      </c>
    </row>
    <row r="103" spans="1:6">
      <c r="A103" s="348" t="s">
        <v>76</v>
      </c>
      <c r="B103" s="334">
        <v>91</v>
      </c>
    </row>
    <row r="104" spans="1:6">
      <c r="A104" s="348" t="s">
        <v>77</v>
      </c>
      <c r="B104" s="334">
        <v>409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15</v>
      </c>
      <c r="C123" s="334">
        <v>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33</v>
      </c>
    </row>
    <row r="130" spans="1:6">
      <c r="A130" s="348" t="s">
        <v>294</v>
      </c>
      <c r="B130" s="334">
        <v>1</v>
      </c>
    </row>
    <row r="131" spans="1:6">
      <c r="A131" s="348" t="s">
        <v>295</v>
      </c>
      <c r="B131" s="334">
        <v>2</v>
      </c>
    </row>
    <row r="132" spans="1:6">
      <c r="A132" s="341" t="s">
        <v>296</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51237.874088559976</v>
      </c>
      <c r="C3" s="43" t="s">
        <v>169</v>
      </c>
      <c r="D3" s="43"/>
      <c r="E3" s="154"/>
      <c r="F3" s="43"/>
      <c r="G3" s="43"/>
      <c r="H3" s="43"/>
      <c r="I3" s="43"/>
      <c r="J3" s="43"/>
      <c r="K3" s="96"/>
    </row>
    <row r="4" spans="1:11">
      <c r="A4" s="383" t="s">
        <v>170</v>
      </c>
      <c r="B4" s="49">
        <f>IF(ISERROR('SEAP template'!B78+'SEAP template'!C78),0,'SEAP template'!B78+'SEAP template'!C78)</f>
        <v>1212.1511030077888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0.21577173090160404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398.47899999999998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398.47899999999998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0.21577173090160404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85.980503557940267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14342.563099999999</v>
      </c>
      <c r="C5" s="17">
        <f>IF(ISERROR('Eigen informatie GS &amp; warmtenet'!B59),0,'Eigen informatie GS &amp; warmtenet'!B59)</f>
        <v>0</v>
      </c>
      <c r="D5" s="30">
        <f>(SUM(HH_hh_gas_kWh,HH_rest_gas_kWh)/1000)*0.902</f>
        <v>54095.413103599996</v>
      </c>
      <c r="E5" s="17">
        <f>B46*B57</f>
        <v>311.39759002739396</v>
      </c>
      <c r="F5" s="17">
        <f>B51*B62</f>
        <v>0</v>
      </c>
      <c r="G5" s="18"/>
      <c r="H5" s="17"/>
      <c r="I5" s="17"/>
      <c r="J5" s="17">
        <f>B50*B61+C50*C61</f>
        <v>0</v>
      </c>
      <c r="K5" s="17"/>
      <c r="L5" s="17"/>
      <c r="M5" s="17"/>
      <c r="N5" s="17">
        <f>B48*B59+C48*C59</f>
        <v>2559.7021222815465</v>
      </c>
      <c r="O5" s="17">
        <f>B69*B70*B71</f>
        <v>83.326245214255337</v>
      </c>
      <c r="P5" s="17">
        <f>B77*B78*B79/1000-B77*B78*B79/1000/B80</f>
        <v>273.88294199981061</v>
      </c>
    </row>
    <row r="6" spans="1:16">
      <c r="A6" s="16" t="s">
        <v>615</v>
      </c>
      <c r="B6" s="809">
        <f>kWh_PV_kleiner_dan_10kW</f>
        <v>1155.0272066419325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15497.590306641932</v>
      </c>
      <c r="C8" s="21">
        <f>C5</f>
        <v>0</v>
      </c>
      <c r="D8" s="21">
        <f>D5</f>
        <v>54095.413103599996</v>
      </c>
      <c r="E8" s="21">
        <f>E5</f>
        <v>311.39759002739396</v>
      </c>
      <c r="F8" s="21">
        <f>F5</f>
        <v>0</v>
      </c>
      <c r="G8" s="21"/>
      <c r="H8" s="21"/>
      <c r="I8" s="21"/>
      <c r="J8" s="21">
        <f>J5</f>
        <v>0</v>
      </c>
      <c r="K8" s="21"/>
      <c r="L8" s="21">
        <f>L5</f>
        <v>0</v>
      </c>
      <c r="M8" s="21">
        <f>M5</f>
        <v>0</v>
      </c>
      <c r="N8" s="21">
        <f>N5</f>
        <v>2559.7021222815465</v>
      </c>
      <c r="O8" s="21">
        <f>O5</f>
        <v>83.326245214255337</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0.21577173090160404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3343.9418852680501</v>
      </c>
      <c r="C12" s="23">
        <f ca="1">C10*C8</f>
        <v>0</v>
      </c>
      <c r="D12" s="23">
        <f>D8*D10</f>
        <v>10927.2734469272</v>
      </c>
      <c r="E12" s="23">
        <f>E10*E8</f>
        <v>70.687252936218428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4613</v>
      </c>
      <c r="C28" s="36"/>
      <c r="D28" s="228"/>
    </row>
    <row r="29" spans="1:7" s="15" customFormat="1">
      <c r="A29" s="230" t="s">
        <v>837</v>
      </c>
      <c r="B29" s="37">
        <f>SUM(HH_hh_gas_aantal,HH_rest_gas_aantal)</f>
        <v>4275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4275</v>
      </c>
      <c r="C32" s="167">
        <f>IF(ISERROR(B32/SUM($B$32,$B$34,$B$35,$B$36,$B$38,$B$39)*100),0,B32/SUM($B$32,$B$34,$B$35,$B$36,$B$38,$B$39)*100)</f>
        <v>93.198168737737063</v>
      </c>
      <c r="D32" s="233"/>
      <c r="G32" s="15"/>
    </row>
    <row r="33" spans="1:7">
      <c r="A33" s="171" t="s">
        <v>71</v>
      </c>
      <c r="B33" s="34" t="s">
        <v>110</v>
      </c>
      <c r="C33" s="167"/>
      <c r="D33" s="233"/>
      <c r="G33" s="15"/>
    </row>
    <row r="34" spans="1:7">
      <c r="A34" s="171" t="s">
        <v>72</v>
      </c>
      <c r="B34" s="33">
        <f>IF((($B$28-$B$32-$B$39-$B$77-$B$38)*C20/100)&lt;0,0,($B$28-$B$32-$B$39-$B$77-$B$38)*C20/100)</f>
        <v>7.9490445859872629</v>
      </c>
      <c r="C34" s="167">
        <f>IF(ISERROR(B34/SUM($B$32,$B$34,$B$35,$B$36,$B$38,$B$39)*100),0,B34/SUM($B$32,$B$34,$B$35,$B$36,$B$38,$B$39)*100)</f>
        <v>0.17329506400669853</v>
      </c>
      <c r="D34" s="233"/>
      <c r="G34" s="15"/>
    </row>
    <row r="35" spans="1:7">
      <c r="A35" s="171" t="s">
        <v>73</v>
      </c>
      <c r="B35" s="33">
        <f>IF((($B$28-$B$32-$B$39-$B$77-$B$38)*C21/100)&lt;0,0,($B$28-$B$32-$B$39-$B$77-$B$38)*C21/100)</f>
        <v>266.29299363057328</v>
      </c>
      <c r="C35" s="167">
        <f>IF(ISERROR(B35/SUM($B$32,$B$34,$B$35,$B$36,$B$38,$B$39)*100),0,B35/SUM($B$32,$B$34,$B$35,$B$36,$B$38,$B$39)*100)</f>
        <v>5.8053846442244001</v>
      </c>
      <c r="D35" s="233"/>
      <c r="G35" s="15"/>
    </row>
    <row r="36" spans="1:7">
      <c r="A36" s="171" t="s">
        <v>74</v>
      </c>
      <c r="B36" s="33">
        <f>IF((($B$28-$B$32-$B$39-$B$77-$B$38)*C22/100)&lt;0,0,($B$28-$B$32-$B$39-$B$77-$B$38)*C22/100)</f>
        <v>37.757961783439491</v>
      </c>
      <c r="C36" s="167">
        <f>IF(ISERROR(B36/SUM($B$32,$B$34,$B$35,$B$36,$B$38,$B$39)*100),0,B36/SUM($B$32,$B$34,$B$35,$B$36,$B$38,$B$39)*100)</f>
        <v>0.82315155403181772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4275</v>
      </c>
      <c r="C44" s="34" t="s">
        <v>110</v>
      </c>
      <c r="D44" s="174"/>
    </row>
    <row r="45" spans="1:7">
      <c r="A45" s="171" t="s">
        <v>71</v>
      </c>
      <c r="B45" s="33" t="str">
        <f t="shared" si="0"/>
        <v>-</v>
      </c>
      <c r="C45" s="34" t="s">
        <v>110</v>
      </c>
      <c r="D45" s="174"/>
    </row>
    <row r="46" spans="1:7">
      <c r="A46" s="171" t="s">
        <v>72</v>
      </c>
      <c r="B46" s="33">
        <f t="shared" si="0"/>
        <v>7.9490445859872629</v>
      </c>
      <c r="C46" s="34" t="s">
        <v>110</v>
      </c>
      <c r="D46" s="174"/>
    </row>
    <row r="47" spans="1:7">
      <c r="A47" s="171" t="s">
        <v>73</v>
      </c>
      <c r="B47" s="33">
        <f t="shared" si="0"/>
        <v>266.29299363057328</v>
      </c>
      <c r="C47" s="34" t="s">
        <v>110</v>
      </c>
      <c r="D47" s="174"/>
    </row>
    <row r="48" spans="1:7">
      <c r="A48" s="171" t="s">
        <v>74</v>
      </c>
      <c r="B48" s="33">
        <f t="shared" si="0"/>
        <v>37.757961783439491</v>
      </c>
      <c r="C48" s="33">
        <f>B48*10</f>
        <v>377.57961783439492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9950.9576869999983</v>
      </c>
      <c r="C5" s="17">
        <f>IF(ISERROR('Eigen informatie GS &amp; warmtenet'!B60),0,'Eigen informatie GS &amp; warmtenet'!B60)</f>
        <v>0</v>
      </c>
      <c r="D5" s="30">
        <f>SUM(D6:D12)</f>
        <v>18259.908705851998</v>
      </c>
      <c r="E5" s="17">
        <f>SUM(E6:E12)</f>
        <v>157.56220105264271</v>
      </c>
      <c r="F5" s="17">
        <f>SUM(F6:F12)</f>
        <v>1117.5407110937481</v>
      </c>
      <c r="G5" s="18"/>
      <c r="H5" s="17"/>
      <c r="I5" s="17"/>
      <c r="J5" s="17">
        <f>SUM(J6:J12)</f>
        <v>1.2038687969559174E-2</v>
      </c>
      <c r="K5" s="17"/>
      <c r="L5" s="17"/>
      <c r="M5" s="17"/>
      <c r="N5" s="17">
        <f>SUM(N6:N12)</f>
        <v>474.25748086569286</v>
      </c>
      <c r="O5" s="17">
        <f>B38*B39*B40</f>
        <v>4.8972607658411542</v>
      </c>
      <c r="P5" s="17">
        <f>B46*B47*B48/1000-B46*B47*B48/1000/B49</f>
        <v>157.61741491948504</v>
      </c>
      <c r="R5" s="32"/>
    </row>
    <row r="6" spans="1:18">
      <c r="A6" s="32" t="s">
        <v>53</v>
      </c>
      <c r="B6" s="37">
        <f>B26</f>
        <v>3760.1497000000004</v>
      </c>
      <c r="C6" s="33"/>
      <c r="D6" s="37">
        <f>IF(ISERROR(TER_kantoor_gas_kWh/1000),0,TER_kantoor_gas_kWh/1000)*0.902</f>
        <v>14703.349134452001</v>
      </c>
      <c r="E6" s="33">
        <f>$C$26*'E Balans VL '!I12/100/3.6*1000000</f>
        <v>30.256719036926206</v>
      </c>
      <c r="F6" s="33">
        <f>$C$26*('E Balans VL '!L12+'E Balans VL '!N12)/100/3.6*1000000</f>
        <v>459.71785633344842</v>
      </c>
      <c r="G6" s="34"/>
      <c r="H6" s="33"/>
      <c r="I6" s="33"/>
      <c r="J6" s="33">
        <f>$C$26*('E Balans VL '!D12+'E Balans VL '!E12)/100/3.6*1000000</f>
        <v>0</v>
      </c>
      <c r="K6" s="33"/>
      <c r="L6" s="33"/>
      <c r="M6" s="33"/>
      <c r="N6" s="33">
        <f>$C$26*'E Balans VL '!Y12/100/3.6*1000000</f>
        <v>2.0208952964187681</v>
      </c>
      <c r="O6" s="33"/>
      <c r="P6" s="33"/>
      <c r="R6" s="32"/>
    </row>
    <row r="7" spans="1:18">
      <c r="A7" s="32" t="s">
        <v>52</v>
      </c>
      <c r="B7" s="37">
        <f t="shared" ref="B7:B12" si="0">B27</f>
        <v>1057.3150000000001</v>
      </c>
      <c r="C7" s="33"/>
      <c r="D7" s="37">
        <f>IF(ISERROR(TER_horeca_gas_kWh/1000),0,TER_horeca_gas_kWh/1000)*0.902</f>
        <v>876.16581800000006</v>
      </c>
      <c r="E7" s="33">
        <f>$C$27*'E Balans VL '!I9/100/3.6*1000000</f>
        <v>11.352966788268681</v>
      </c>
      <c r="F7" s="33">
        <f>$C$27*('E Balans VL '!L9+'E Balans VL '!N9)/100/3.6*1000000</f>
        <v>127.16935599347214</v>
      </c>
      <c r="G7" s="34"/>
      <c r="H7" s="33"/>
      <c r="I7" s="33"/>
      <c r="J7" s="33">
        <f>$C$27*('E Balans VL '!D9+'E Balans VL '!E9)/100/3.6*1000000</f>
        <v>0</v>
      </c>
      <c r="K7" s="33"/>
      <c r="L7" s="33"/>
      <c r="M7" s="33"/>
      <c r="N7" s="33">
        <f>$C$27*'E Balans VL '!Y9/100/3.6*1000000</f>
        <v>0.15851294778714117</v>
      </c>
      <c r="O7" s="33"/>
      <c r="P7" s="33"/>
      <c r="R7" s="32"/>
    </row>
    <row r="8" spans="1:18">
      <c r="A8" s="6" t="s">
        <v>51</v>
      </c>
      <c r="B8" s="37">
        <f t="shared" si="0"/>
        <v>4254.5257369999999</v>
      </c>
      <c r="C8" s="33"/>
      <c r="D8" s="37">
        <f>IF(ISERROR(TER_handel_gas_kWh/1000),0,TER_handel_gas_kWh/1000)*0.902</f>
        <v>998.98574599999995</v>
      </c>
      <c r="E8" s="33">
        <f>$C$28*'E Balans VL '!I13/100/3.6*1000000</f>
        <v>114.17844567689001</v>
      </c>
      <c r="F8" s="33">
        <f>$C$28*('E Balans VL '!L13+'E Balans VL '!N13)/100/3.6*1000000</f>
        <v>406.01288317411394</v>
      </c>
      <c r="G8" s="34"/>
      <c r="H8" s="33"/>
      <c r="I8" s="33"/>
      <c r="J8" s="33">
        <f>$C$28*('E Balans VL '!D13+'E Balans VL '!E13)/100/3.6*1000000</f>
        <v>0</v>
      </c>
      <c r="K8" s="33"/>
      <c r="L8" s="33"/>
      <c r="M8" s="33"/>
      <c r="N8" s="33">
        <f>$C$28*'E Balans VL '!Y13/100/3.6*1000000</f>
        <v>1.6865423777444672</v>
      </c>
      <c r="O8" s="33"/>
      <c r="P8" s="33"/>
      <c r="R8" s="32"/>
    </row>
    <row r="9" spans="1:18">
      <c r="A9" s="32" t="s">
        <v>50</v>
      </c>
      <c r="B9" s="37">
        <f t="shared" si="0"/>
        <v>154.46625</v>
      </c>
      <c r="C9" s="33"/>
      <c r="D9" s="37">
        <f>IF(ISERROR(TER_gezond_gas_kWh/1000),0,TER_gezond_gas_kWh/1000)*0.902</f>
        <v>362.84817140000001</v>
      </c>
      <c r="E9" s="33">
        <f>$C$29*'E Balans VL '!I10/100/3.6*1000000</f>
        <v>0.28952004889506056</v>
      </c>
      <c r="F9" s="33">
        <f>$C$29*('E Balans VL '!L10+'E Balans VL '!N10)/100/3.6*1000000</f>
        <v>12.698535145932624</v>
      </c>
      <c r="G9" s="34"/>
      <c r="H9" s="33"/>
      <c r="I9" s="33"/>
      <c r="J9" s="33">
        <f>$C$29*('E Balans VL '!D10+'E Balans VL '!E10)/100/3.6*1000000</f>
        <v>0</v>
      </c>
      <c r="K9" s="33"/>
      <c r="L9" s="33"/>
      <c r="M9" s="33"/>
      <c r="N9" s="33">
        <f>$C$29*'E Balans VL '!Y10/100/3.6*1000000</f>
        <v>1.2018626733821891</v>
      </c>
      <c r="O9" s="33"/>
      <c r="P9" s="33"/>
      <c r="R9" s="32"/>
    </row>
    <row r="10" spans="1:18">
      <c r="A10" s="32" t="s">
        <v>49</v>
      </c>
      <c r="B10" s="37">
        <f t="shared" si="0"/>
        <v>709.15700000000004</v>
      </c>
      <c r="C10" s="33"/>
      <c r="D10" s="37">
        <f>IF(ISERROR(TER_ander_gas_kWh/1000),0,TER_ander_gas_kWh/1000)*0.902</f>
        <v>1021.505078</v>
      </c>
      <c r="E10" s="33">
        <f>$C$30*'E Balans VL '!I14/100/3.6*1000000</f>
        <v>1.0931727012768513</v>
      </c>
      <c r="F10" s="33">
        <f>$C$30*('E Balans VL '!L14+'E Balans VL '!N14)/100/3.6*1000000</f>
        <v>110.09682002355324</v>
      </c>
      <c r="G10" s="34"/>
      <c r="H10" s="33"/>
      <c r="I10" s="33"/>
      <c r="J10" s="33">
        <f>$C$30*('E Balans VL '!D14+'E Balans VL '!E14)/100/3.6*1000000</f>
        <v>1.2038687969559174E-2</v>
      </c>
      <c r="K10" s="33"/>
      <c r="L10" s="33"/>
      <c r="M10" s="33"/>
      <c r="N10" s="33">
        <f>$C$30*'E Balans VL '!Y14/100/3.6*1000000</f>
        <v>469.15554288875717</v>
      </c>
      <c r="O10" s="33"/>
      <c r="P10" s="33"/>
      <c r="R10" s="32"/>
    </row>
    <row r="11" spans="1:18">
      <c r="A11" s="32" t="s">
        <v>54</v>
      </c>
      <c r="B11" s="37">
        <f t="shared" si="0"/>
        <v>15.343999999999999</v>
      </c>
      <c r="C11" s="33"/>
      <c r="D11" s="37">
        <f>IF(ISERROR(TER_onderwijs_gas_kWh/1000),0,TER_onderwijs_gas_kWh/1000)*0.902</f>
        <v>297.05475799999999</v>
      </c>
      <c r="E11" s="33">
        <f>$C$31*'E Balans VL '!I11/100/3.6*1000000</f>
        <v>0.39137680038591321</v>
      </c>
      <c r="F11" s="33">
        <f>$C$31*('E Balans VL '!L11+'E Balans VL '!N11)/100/3.6*1000000</f>
        <v>1.8452604232278289</v>
      </c>
      <c r="G11" s="34"/>
      <c r="H11" s="33"/>
      <c r="I11" s="33"/>
      <c r="J11" s="33">
        <f>$C$31*('E Balans VL '!D11+'E Balans VL '!E11)/100/3.6*1000000</f>
        <v>0</v>
      </c>
      <c r="K11" s="33"/>
      <c r="L11" s="33"/>
      <c r="M11" s="33"/>
      <c r="N11" s="33">
        <f>$C$31*'E Balans VL '!Y11/100/3.6*1000000</f>
        <v>3.4124681603173938E-2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9950.9576869999983</v>
      </c>
      <c r="C16" s="21">
        <f t="shared" ca="1" si="1"/>
        <v>0</v>
      </c>
      <c r="D16" s="21">
        <f t="shared" ca="1" si="1"/>
        <v>18259.908705851998</v>
      </c>
      <c r="E16" s="21">
        <f t="shared" si="1"/>
        <v>157.56220105264271</v>
      </c>
      <c r="F16" s="21">
        <f t="shared" ca="1" si="1"/>
        <v>1117.5407110937481</v>
      </c>
      <c r="G16" s="21">
        <f t="shared" si="1"/>
        <v>0</v>
      </c>
      <c r="H16" s="21">
        <f t="shared" si="1"/>
        <v>0</v>
      </c>
      <c r="I16" s="21">
        <f t="shared" si="1"/>
        <v>0</v>
      </c>
      <c r="J16" s="21">
        <f t="shared" si="1"/>
        <v>1.2038687969559174E-2</v>
      </c>
      <c r="K16" s="21">
        <f t="shared" si="1"/>
        <v>0</v>
      </c>
      <c r="L16" s="21">
        <f t="shared" ca="1" si="1"/>
        <v>0</v>
      </c>
      <c r="M16" s="21">
        <f t="shared" si="1"/>
        <v>0</v>
      </c>
      <c r="N16" s="21">
        <f t="shared" ca="1" si="1"/>
        <v>474.25748086569286</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0.21577173090160404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2147.1353642526119</v>
      </c>
      <c r="C20" s="23">
        <f t="shared" ref="C20:P20" ca="1" si="2">C16*C18</f>
        <v>0</v>
      </c>
      <c r="D20" s="23">
        <f t="shared" ca="1" si="2"/>
        <v>3688.5015585821038</v>
      </c>
      <c r="E20" s="23">
        <f t="shared" si="2"/>
        <v>35.766619638949898</v>
      </c>
      <c r="F20" s="23">
        <f t="shared" ca="1" si="2"/>
        <v>298.38336986203075</v>
      </c>
      <c r="G20" s="23">
        <f t="shared" si="2"/>
        <v>0</v>
      </c>
      <c r="H20" s="23">
        <f t="shared" si="2"/>
        <v>0</v>
      </c>
      <c r="I20" s="23">
        <f t="shared" si="2"/>
        <v>0</v>
      </c>
      <c r="J20" s="23">
        <f t="shared" si="2"/>
        <v>4.261695541223947E-3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3760.1497000000004</v>
      </c>
      <c r="C26" s="39">
        <f>IF(ISERROR(B26*3.6/1000000/'E Balans VL '!Z12*100),0,B26*3.6/1000000/'E Balans VL '!Z12*100)</f>
        <v>7.9768135743568613E-2</v>
      </c>
      <c r="D26" s="237" t="s">
        <v>716</v>
      </c>
      <c r="F26" s="6"/>
    </row>
    <row r="27" spans="1:18">
      <c r="A27" s="231" t="s">
        <v>52</v>
      </c>
      <c r="B27" s="33">
        <f>IF(ISERROR(TER_horeca_ele_kWh/1000),0,TER_horeca_ele_kWh/1000)</f>
        <v>1057.3150000000001</v>
      </c>
      <c r="C27" s="39">
        <f>IF(ISERROR(B27*3.6/1000000/'E Balans VL '!Z9*100),0,B27*3.6/1000000/'E Balans VL '!Z9*100)</f>
        <v>7.9625185731860934E-2</v>
      </c>
      <c r="D27" s="237" t="s">
        <v>716</v>
      </c>
      <c r="F27" s="6"/>
    </row>
    <row r="28" spans="1:18">
      <c r="A28" s="171" t="s">
        <v>51</v>
      </c>
      <c r="B28" s="33">
        <f>IF(ISERROR(TER_handel_ele_kWh/1000),0,TER_handel_ele_kWh/1000)</f>
        <v>4254.5257369999999</v>
      </c>
      <c r="C28" s="39">
        <f>IF(ISERROR(B28*3.6/1000000/'E Balans VL '!Z13*100),0,B28*3.6/1000000/'E Balans VL '!Z13*100)</f>
        <v>0.12349380718424817</v>
      </c>
      <c r="D28" s="237" t="s">
        <v>716</v>
      </c>
      <c r="F28" s="6"/>
    </row>
    <row r="29" spans="1:18">
      <c r="A29" s="231" t="s">
        <v>50</v>
      </c>
      <c r="B29" s="33">
        <f>IF(ISERROR(TER_gezond_ele_kWh/1000),0,TER_gezond_ele_kWh/1000)</f>
        <v>154.46625</v>
      </c>
      <c r="C29" s="39">
        <f>IF(ISERROR(B29*3.6/1000000/'E Balans VL '!Z10*100),0,B29*3.6/1000000/'E Balans VL '!Z10*100)</f>
        <v>1.5578105521005777E-2</v>
      </c>
      <c r="D29" s="237" t="s">
        <v>716</v>
      </c>
      <c r="F29" s="6"/>
    </row>
    <row r="30" spans="1:18">
      <c r="A30" s="231" t="s">
        <v>49</v>
      </c>
      <c r="B30" s="33">
        <f>IF(ISERROR(TER_ander_ele_kWh/1000),0,TER_ander_ele_kWh/1000)</f>
        <v>709.15700000000004</v>
      </c>
      <c r="C30" s="39">
        <f>IF(ISERROR(B30*3.6/1000000/'E Balans VL '!Z14*100),0,B30*3.6/1000000/'E Balans VL '!Z14*100)</f>
        <v>5.1459015025380916E-2</v>
      </c>
      <c r="D30" s="237" t="s">
        <v>716</v>
      </c>
      <c r="F30" s="6"/>
    </row>
    <row r="31" spans="1:18">
      <c r="A31" s="231" t="s">
        <v>54</v>
      </c>
      <c r="B31" s="33">
        <f>IF(ISERROR(TER_onderwijs_ele_kWh/1000),0,TER_onderwijs_ele_kWh/1000)</f>
        <v>15.343999999999999</v>
      </c>
      <c r="C31" s="39">
        <f>IF(ISERROR(B31*3.6/1000000/'E Balans VL '!Z11*100),0,B31*3.6/1000000/'E Balans VL '!Z11*100)</f>
        <v>4.3736648367746654E-3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24832.486102999999</v>
      </c>
      <c r="C5" s="17">
        <f>IF(ISERROR('Eigen informatie GS &amp; warmtenet'!B61),0,'Eigen informatie GS &amp; warmtenet'!B61)</f>
        <v>0</v>
      </c>
      <c r="D5" s="30">
        <f>SUM(D6:D15)</f>
        <v>52728.692059999994</v>
      </c>
      <c r="E5" s="17">
        <f>SUM(E6:E15)</f>
        <v>1284.5498384202974</v>
      </c>
      <c r="F5" s="17">
        <f>SUM(F6:F15)</f>
        <v>4740.3032583941567</v>
      </c>
      <c r="G5" s="18"/>
      <c r="H5" s="17"/>
      <c r="I5" s="17"/>
      <c r="J5" s="17">
        <f>SUM(J6:J15)</f>
        <v>196.54987968412203</v>
      </c>
      <c r="K5" s="17"/>
      <c r="L5" s="17"/>
      <c r="M5" s="17"/>
      <c r="N5" s="17">
        <f>SUM(N6:N15)</f>
        <v>980.11612025529541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339.19900000000001</v>
      </c>
      <c r="C8" s="33"/>
      <c r="D8" s="37">
        <f>IF( ISERROR(IND_metaal_Gas_kWH/1000),0,IND_metaal_Gas_kWH/1000)*0.902</f>
        <v>2556.1696820000002</v>
      </c>
      <c r="E8" s="33">
        <f>C30*'E Balans VL '!I18/100/3.6*1000000</f>
        <v>2.4470827128916848</v>
      </c>
      <c r="F8" s="33">
        <f>C30*'E Balans VL '!L18/100/3.6*1000000+C30*'E Balans VL '!N18/100/3.6*1000000</f>
        <v>32.081971008561453</v>
      </c>
      <c r="G8" s="34"/>
      <c r="H8" s="33"/>
      <c r="I8" s="33"/>
      <c r="J8" s="40">
        <f>C30*'E Balans VL '!D18/100/3.6*1000000+C30*'E Balans VL '!E18/100/3.6*1000000</f>
        <v>0.34116832535259012</v>
      </c>
      <c r="K8" s="33"/>
      <c r="L8" s="33"/>
      <c r="M8" s="33"/>
      <c r="N8" s="33">
        <f>C30*'E Balans VL '!Y18/100/3.6*1000000</f>
        <v>4.2883727919537282</v>
      </c>
      <c r="O8" s="33"/>
      <c r="P8" s="33"/>
      <c r="R8" s="32"/>
    </row>
    <row r="9" spans="1:18">
      <c r="A9" s="6" t="s">
        <v>32</v>
      </c>
      <c r="B9" s="37">
        <f t="shared" si="0"/>
        <v>574.99610299999995</v>
      </c>
      <c r="C9" s="33"/>
      <c r="D9" s="37">
        <f>IF( ISERROR(IND_andere_gas_kWh/1000),0,IND_andere_gas_kWh/1000)*0.902</f>
        <v>755.49445400000002</v>
      </c>
      <c r="E9" s="33">
        <f>C31*'E Balans VL '!I19/100/3.6*1000000</f>
        <v>159.33910880244972</v>
      </c>
      <c r="F9" s="33">
        <f>C31*'E Balans VL '!L19/100/3.6*1000000+C31*'E Balans VL '!N19/100/3.6*1000000</f>
        <v>476.55801274255492</v>
      </c>
      <c r="G9" s="34"/>
      <c r="H9" s="33"/>
      <c r="I9" s="33"/>
      <c r="J9" s="40">
        <f>C31*'E Balans VL '!D19/100/3.6*1000000+C31*'E Balans VL '!E19/100/3.6*1000000</f>
        <v>0</v>
      </c>
      <c r="K9" s="33"/>
      <c r="L9" s="33"/>
      <c r="M9" s="33"/>
      <c r="N9" s="33">
        <f>C31*'E Balans VL '!Y19/100/3.6*1000000</f>
        <v>41.737684114083862</v>
      </c>
      <c r="O9" s="33"/>
      <c r="P9" s="33"/>
      <c r="R9" s="32"/>
    </row>
    <row r="10" spans="1:18">
      <c r="A10" s="6" t="s">
        <v>40</v>
      </c>
      <c r="B10" s="37">
        <f t="shared" si="0"/>
        <v>167.69900000000001</v>
      </c>
      <c r="C10" s="33"/>
      <c r="D10" s="37">
        <f>IF( ISERROR(IND_voed_gas_kWh/1000),0,IND_voed_gas_kWh/1000)*0.902</f>
        <v>296.74988200000001</v>
      </c>
      <c r="E10" s="33">
        <f>C32*'E Balans VL '!I20/100/3.6*1000000</f>
        <v>0.29688403329312185</v>
      </c>
      <c r="F10" s="33">
        <f>C32*'E Balans VL '!L20/100/3.6*1000000+C32*'E Balans VL '!N20/100/3.6*1000000</f>
        <v>9.0572323029046462</v>
      </c>
      <c r="G10" s="34"/>
      <c r="H10" s="33"/>
      <c r="I10" s="33"/>
      <c r="J10" s="40">
        <f>C32*'E Balans VL '!D20/100/3.6*1000000+C32*'E Balans VL '!E20/100/3.6*1000000</f>
        <v>0</v>
      </c>
      <c r="K10" s="33"/>
      <c r="L10" s="33"/>
      <c r="M10" s="33"/>
      <c r="N10" s="33">
        <f>C32*'E Balans VL '!Y20/100/3.6*1000000</f>
        <v>9.7445926332220765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314.65909199999999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23750.592000000001</v>
      </c>
      <c r="C15" s="33"/>
      <c r="D15" s="37">
        <f>IF( ISERROR(IND_rest_gas_kWh/1000),0,IND_rest_gas_kWh/1000)*0.902</f>
        <v>48805.618949999996</v>
      </c>
      <c r="E15" s="33">
        <f>C37*'E Balans VL '!I15/100/3.6*1000000</f>
        <v>1122.4667628716629</v>
      </c>
      <c r="F15" s="33">
        <f>C37*'E Balans VL '!L15/100/3.6*1000000+C37*'E Balans VL '!N15/100/3.6*1000000</f>
        <v>4222.6060423401359</v>
      </c>
      <c r="G15" s="34"/>
      <c r="H15" s="33"/>
      <c r="I15" s="33"/>
      <c r="J15" s="40">
        <f>C37*'E Balans VL '!D15/100/3.6*1000000+C37*'E Balans VL '!E15/100/3.6*1000000</f>
        <v>196.20871135876945</v>
      </c>
      <c r="K15" s="33"/>
      <c r="L15" s="33"/>
      <c r="M15" s="33"/>
      <c r="N15" s="33">
        <f>C37*'E Balans VL '!Y15/100/3.6*1000000</f>
        <v>924.34547071603572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24832.486102999999</v>
      </c>
      <c r="C18" s="21">
        <f>C5+C16</f>
        <v>0</v>
      </c>
      <c r="D18" s="21">
        <f>MAX((D5+D16),0)</f>
        <v>52728.692059999994</v>
      </c>
      <c r="E18" s="21">
        <f>MAX((E5+E16),0)</f>
        <v>1284.5498384202974</v>
      </c>
      <c r="F18" s="21">
        <f>MAX((F5+F16),0)</f>
        <v>4740.3032583941567</v>
      </c>
      <c r="G18" s="21"/>
      <c r="H18" s="21"/>
      <c r="I18" s="21"/>
      <c r="J18" s="21">
        <f>MAX((J5+J16),0)</f>
        <v>196.54987968412203</v>
      </c>
      <c r="K18" s="21"/>
      <c r="L18" s="21">
        <f>MAX((L5+L16),0)</f>
        <v>0</v>
      </c>
      <c r="M18" s="21"/>
      <c r="N18" s="21">
        <f>MAX((N5+N16),0)</f>
        <v>980.11612025529541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0.21577173090160404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5358.1485090343376</v>
      </c>
      <c r="C22" s="23">
        <f ca="1">C18*C20</f>
        <v>0</v>
      </c>
      <c r="D22" s="23">
        <f>D18*D20</f>
        <v>10651.195796119999</v>
      </c>
      <c r="E22" s="23">
        <f>E18*E20</f>
        <v>291.5928133214075</v>
      </c>
      <c r="F22" s="23">
        <f>F18*F20</f>
        <v>1265.6609699912399</v>
      </c>
      <c r="G22" s="23"/>
      <c r="H22" s="23"/>
      <c r="I22" s="23"/>
      <c r="J22" s="23">
        <f>J18*J20</f>
        <v>69.578657408179197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339.19900000000001</v>
      </c>
      <c r="C30" s="39">
        <f>IF(ISERROR(B30*3.6/1000000/'E Balans VL '!Z18*100),0,B30*3.6/1000000/'E Balans VL '!Z18*100)</f>
        <v>1.9581429001631432E-2</v>
      </c>
      <c r="D30" s="237" t="s">
        <v>716</v>
      </c>
    </row>
    <row r="31" spans="1:18">
      <c r="A31" s="6" t="s">
        <v>32</v>
      </c>
      <c r="B31" s="37">
        <f>IF( ISERROR(IND_ander_ele_kWh/1000),0,IND_ander_ele_kWh/1000)</f>
        <v>574.99610299999995</v>
      </c>
      <c r="C31" s="39">
        <f>IF(ISERROR(B31*3.6/1000000/'E Balans VL '!Z19*100),0,B31*3.6/1000000/'E Balans VL '!Z19*100)</f>
        <v>2.8920440203199411E-2</v>
      </c>
      <c r="D31" s="237" t="s">
        <v>716</v>
      </c>
    </row>
    <row r="32" spans="1:18">
      <c r="A32" s="171" t="s">
        <v>40</v>
      </c>
      <c r="B32" s="37">
        <f>IF( ISERROR(IND_voed_ele_kWh/1000),0,IND_voed_ele_kWh/1000)</f>
        <v>167.69900000000001</v>
      </c>
      <c r="C32" s="39">
        <f>IF(ISERROR(B32*3.6/1000000/'E Balans VL '!Z20*100),0,B32*3.6/1000000/'E Balans VL '!Z20*100)</f>
        <v>5.5853725382656689E-3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23750.592000000001</v>
      </c>
      <c r="C37" s="39">
        <f>IF(ISERROR(B37*3.6/1000000/'E Balans VL '!Z15*100),0,B37*3.6/1000000/'E Balans VL '!Z15*100)</f>
        <v>0.18531956670973801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48.212000000000003</v>
      </c>
      <c r="C5" s="17">
        <f>'Eigen informatie GS &amp; warmtenet'!B62</f>
        <v>0</v>
      </c>
      <c r="D5" s="30">
        <f>IF(ISERROR(SUM(LB_lb_gas_kWh,LB_rest_gas_kWh)/1000),0,SUM(LB_lb_gas_kWh,LB_rest_gas_kWh)/1000)*0.902</f>
        <v>96.574433999999997</v>
      </c>
      <c r="E5" s="17">
        <f>B17*'E Balans VL '!I25/3.6*1000000/100</f>
        <v>1.5046806216437472</v>
      </c>
      <c r="F5" s="17">
        <f>B17*('E Balans VL '!L25/3.6*1000000+'E Balans VL '!N25/3.6*1000000)/100</f>
        <v>170.38654878128713</v>
      </c>
      <c r="G5" s="18"/>
      <c r="H5" s="17"/>
      <c r="I5" s="17"/>
      <c r="J5" s="17">
        <f>('E Balans VL '!D25+'E Balans VL '!E25)/3.6*1000000*landbouw!B17/100</f>
        <v>13.282740347289804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48.212000000000003</v>
      </c>
      <c r="C8" s="21">
        <f>C5+C6</f>
        <v>0</v>
      </c>
      <c r="D8" s="21">
        <f>MAX((D5+D6),0)</f>
        <v>96.574433999999997</v>
      </c>
      <c r="E8" s="21">
        <f>MAX((E5+E6),0)</f>
        <v>1.5046806216437472</v>
      </c>
      <c r="F8" s="21">
        <f>MAX((F5+F6),0)</f>
        <v>170.38654878128713</v>
      </c>
      <c r="G8" s="21"/>
      <c r="H8" s="21"/>
      <c r="I8" s="21"/>
      <c r="J8" s="21">
        <f>MAX((J5+J6),0)</f>
        <v>13.282740347289804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0.21577173090160404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10.402786690228135</v>
      </c>
      <c r="C12" s="23">
        <f ca="1">C8*C10</f>
        <v>0</v>
      </c>
      <c r="D12" s="23">
        <f>D8*D10</f>
        <v>19.508035668000002</v>
      </c>
      <c r="E12" s="23">
        <f>E8*E10</f>
        <v>0.34156250111313063</v>
      </c>
      <c r="F12" s="23">
        <f>F8*F10</f>
        <v>45.493208524603666</v>
      </c>
      <c r="G12" s="23"/>
      <c r="H12" s="23"/>
      <c r="I12" s="23"/>
      <c r="J12" s="23">
        <f>J8*J10</f>
        <v>4.7020900829405905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7.1670594163535349E-3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3.1801254148591668E-2</v>
      </c>
      <c r="C29" s="247">
        <f>B29*'GWP N2O_CH4'!B4</f>
        <v>9.8583887860634167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6.9734424660793091E-6</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6.8434170904999993E-5</v>
      </c>
      <c r="C5" s="463" t="s">
        <v>210</v>
      </c>
      <c r="D5" s="448">
        <f>SUM(D6:D11)</f>
        <v>2.4630661288002002E-4</v>
      </c>
      <c r="E5" s="448">
        <f>SUM(E6:E11)</f>
        <v>1.929459496901E-4</v>
      </c>
      <c r="F5" s="461" t="s">
        <v>210</v>
      </c>
      <c r="G5" s="448">
        <f>SUM(G6:G11)</f>
        <v>8.0758775410494352E-2</v>
      </c>
      <c r="H5" s="448">
        <f>SUM(H6:H11)</f>
        <v>1.8454618009513691E-2</v>
      </c>
      <c r="I5" s="463" t="s">
        <v>210</v>
      </c>
      <c r="J5" s="463" t="s">
        <v>210</v>
      </c>
      <c r="K5" s="463" t="s">
        <v>210</v>
      </c>
      <c r="L5" s="463" t="s">
        <v>210</v>
      </c>
      <c r="M5" s="448">
        <f>SUM(M6:M11)</f>
        <v>5.8695063689948417E-3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6.5314702524999998E-5</v>
      </c>
      <c r="C6" s="449"/>
      <c r="D6" s="917">
        <f>vkm_2011_GW_PW*SUMIFS(TableVerdeelsleutelVkm[CNG],TableVerdeelsleutelVkm[Voertuigtype],"Lichte voertuigen")*SUMIFS(TableECFTransport[EnergieConsumptieFactor (PJ per km)],TableECFTransport[Index],CONCATENATE($A6,"_CNG_CNG"))</f>
        <v>2.2711034589474E-4</v>
      </c>
      <c r="E6" s="917">
        <f>vkm_2011_GW_PW*SUMIFS(TableVerdeelsleutelVkm[LPG],TableVerdeelsleutelVkm[Voertuigtype],"Lichte voertuigen")*SUMIFS(TableECFTransport[EnergieConsumptieFactor (PJ per km)],TableECFTransport[Index],CONCATENATE($A6,"_LPG_LPG"))</f>
        <v>1.7892553495799999E-4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4.8705611061629635E-2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1.7043728920910276E-2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3.9289363214462482E-3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2.6445516615129002E-2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6.6624778383685657E-6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1.5249311095758336E-3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3.1194683799999996E-6</v>
      </c>
      <c r="C8" s="449"/>
      <c r="D8" s="451">
        <f>vkm_2011_NGW_PW*SUMIFS(TableVerdeelsleutelVkm[CNG],TableVerdeelsleutelVkm[Voertuigtype],"Lichte voertuigen")*SUMIFS(TableECFTransport[EnergieConsumptieFactor (PJ per km)],TableECFTransport[Index],CONCATENATE($A8,"_CNG_CNG"))</f>
        <v>1.9196266985279998E-5</v>
      </c>
      <c r="E8" s="451">
        <f>vkm_2011_NGW_PW*SUMIFS(TableVerdeelsleutelVkm[LPG],TableVerdeelsleutelVkm[Voertuigtype],"Lichte voertuigen")*SUMIFS(TableECFTransport[EnergieConsumptieFactor (PJ per km)],TableECFTransport[Index],CONCATENATE($A8,"_LPG_LPG"))</f>
        <v>1.4020414732100001E-5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3.5416141499938995E-3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1.4037354901216121E-3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2.9650691955266512E-4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2.066033583741808E-3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4.9112064343370021E-7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1.1913201842009436E-4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19.009491918055552</v>
      </c>
      <c r="C14" s="21"/>
      <c r="D14" s="21">
        <f t="shared" ref="D14:M14" si="0">((D5)*10^9/3600)+D12</f>
        <v>68.418503577783341</v>
      </c>
      <c r="E14" s="21">
        <f t="shared" si="0"/>
        <v>53.596097136138894</v>
      </c>
      <c r="F14" s="21"/>
      <c r="G14" s="21">
        <f t="shared" si="0"/>
        <v>22432.993169581765</v>
      </c>
      <c r="H14" s="21">
        <f t="shared" si="0"/>
        <v>5126.2827804204699</v>
      </c>
      <c r="I14" s="21"/>
      <c r="J14" s="21"/>
      <c r="K14" s="21"/>
      <c r="L14" s="21"/>
      <c r="M14" s="21">
        <f t="shared" si="0"/>
        <v>1630.4184358319003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0.21577173090160404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4.1017109747188991</v>
      </c>
      <c r="C18" s="23"/>
      <c r="D18" s="23">
        <f t="shared" ref="D18:M18" si="1">D14*D16</f>
        <v>13.820537722712235</v>
      </c>
      <c r="E18" s="23">
        <f t="shared" si="1"/>
        <v>12.16631404990353</v>
      </c>
      <c r="F18" s="23"/>
      <c r="G18" s="23">
        <f t="shared" si="1"/>
        <v>5989.6091762783317</v>
      </c>
      <c r="H18" s="23">
        <f t="shared" si="1"/>
        <v>1276.4444123246969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3.6420499014243619E-3</v>
      </c>
      <c r="H50" s="321">
        <f t="shared" si="2"/>
        <v>0</v>
      </c>
      <c r="I50" s="321">
        <f t="shared" si="2"/>
        <v>0</v>
      </c>
      <c r="J50" s="321">
        <f t="shared" si="2"/>
        <v>0</v>
      </c>
      <c r="K50" s="321">
        <f t="shared" si="2"/>
        <v>0</v>
      </c>
      <c r="L50" s="321">
        <f t="shared" si="2"/>
        <v>0</v>
      </c>
      <c r="M50" s="321">
        <f t="shared" si="2"/>
        <v>2.024255364918504E-4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3.6420499014243619E-3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2.024255364918504E-4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1011.6805281734338</v>
      </c>
      <c r="H54" s="21">
        <f t="shared" si="3"/>
        <v>0</v>
      </c>
      <c r="I54" s="21">
        <f t="shared" si="3"/>
        <v>0</v>
      </c>
      <c r="J54" s="21">
        <f t="shared" si="3"/>
        <v>0</v>
      </c>
      <c r="K54" s="21">
        <f t="shared" si="3"/>
        <v>0</v>
      </c>
      <c r="L54" s="21">
        <f t="shared" si="3"/>
        <v>0</v>
      </c>
      <c r="M54" s="21">
        <f t="shared" si="3"/>
        <v>56.229315692180663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0.21577173090160404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270.11870102230682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10349.436686999998</v>
      </c>
      <c r="D10" s="712">
        <f ca="1">tertiair!C16</f>
        <v>0</v>
      </c>
      <c r="E10" s="712">
        <f ca="1">tertiair!D16</f>
        <v>18259.908705851998</v>
      </c>
      <c r="F10" s="712">
        <f>tertiair!E16</f>
        <v>157.56220105264271</v>
      </c>
      <c r="G10" s="712">
        <f ca="1">tertiair!F16</f>
        <v>1117.5407110937481</v>
      </c>
      <c r="H10" s="712">
        <f>tertiair!G16</f>
        <v>0</v>
      </c>
      <c r="I10" s="712">
        <f>tertiair!H16</f>
        <v>0</v>
      </c>
      <c r="J10" s="712">
        <f>tertiair!I16</f>
        <v>0</v>
      </c>
      <c r="K10" s="712">
        <f>tertiair!J16</f>
        <v>1.2038687969559174E-2</v>
      </c>
      <c r="L10" s="712">
        <f>tertiair!K16</f>
        <v>0</v>
      </c>
      <c r="M10" s="712">
        <f ca="1">tertiair!L16</f>
        <v>0</v>
      </c>
      <c r="N10" s="712">
        <f>tertiair!M16</f>
        <v>0</v>
      </c>
      <c r="O10" s="712">
        <f ca="1">tertiair!N16</f>
        <v>474.25748086569286</v>
      </c>
      <c r="P10" s="712">
        <f>tertiair!O16</f>
        <v>4.8972607658411542</v>
      </c>
      <c r="Q10" s="713">
        <f>tertiair!P16</f>
        <v>157.61741491948504</v>
      </c>
      <c r="R10" s="715">
        <f ca="1">SUM(C10:Q10)</f>
        <v>30521.232500237373</v>
      </c>
      <c r="S10" s="67"/>
    </row>
    <row r="11" spans="1:19" s="474" customFormat="1">
      <c r="A11" s="834" t="s">
        <v>224</v>
      </c>
      <c r="B11" s="839"/>
      <c r="C11" s="712">
        <f>huishoudens!B8</f>
        <v>15497.590306641932</v>
      </c>
      <c r="D11" s="712">
        <f>huishoudens!C8</f>
        <v>0</v>
      </c>
      <c r="E11" s="712">
        <f>huishoudens!D8</f>
        <v>54095.413103599996</v>
      </c>
      <c r="F11" s="712">
        <f>huishoudens!E8</f>
        <v>311.39759002739396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2559.7021222815465</v>
      </c>
      <c r="P11" s="712">
        <f>huishoudens!O8</f>
        <v>83.326245214255337</v>
      </c>
      <c r="Q11" s="713">
        <f>huishoudens!P8</f>
        <v>273.88294199981061</v>
      </c>
      <c r="R11" s="715">
        <f>SUM(C11:Q11)</f>
        <v>72821.312309764937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24832.486102999999</v>
      </c>
      <c r="D13" s="712">
        <f>industrie!C18</f>
        <v>0</v>
      </c>
      <c r="E13" s="712">
        <f>industrie!D18</f>
        <v>52728.692059999994</v>
      </c>
      <c r="F13" s="712">
        <f>industrie!E18</f>
        <v>1284.5498384202974</v>
      </c>
      <c r="G13" s="712">
        <f>industrie!F18</f>
        <v>4740.3032583941567</v>
      </c>
      <c r="H13" s="712">
        <f>industrie!G18</f>
        <v>0</v>
      </c>
      <c r="I13" s="712">
        <f>industrie!H18</f>
        <v>0</v>
      </c>
      <c r="J13" s="712">
        <f>industrie!I18</f>
        <v>0</v>
      </c>
      <c r="K13" s="712">
        <f>industrie!J18</f>
        <v>196.54987968412203</v>
      </c>
      <c r="L13" s="712">
        <f>industrie!K18</f>
        <v>0</v>
      </c>
      <c r="M13" s="712">
        <f>industrie!L18</f>
        <v>0</v>
      </c>
      <c r="N13" s="712">
        <f>industrie!M18</f>
        <v>0</v>
      </c>
      <c r="O13" s="712">
        <f>industrie!N18</f>
        <v>980.11612025529541</v>
      </c>
      <c r="P13" s="712">
        <f>industrie!O18</f>
        <v>0</v>
      </c>
      <c r="Q13" s="713">
        <f>industrie!P18</f>
        <v>0</v>
      </c>
      <c r="R13" s="715">
        <f>SUM(C13:Q13)</f>
        <v>84762.697259753855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50679.513096641924</v>
      </c>
      <c r="D16" s="748">
        <f t="shared" ref="D16:R16" ca="1" si="0">SUM(D9:D15)</f>
        <v>0</v>
      </c>
      <c r="E16" s="748">
        <f t="shared" ca="1" si="0"/>
        <v>125084.013869452</v>
      </c>
      <c r="F16" s="748">
        <f t="shared" si="0"/>
        <v>1753.5096295003341</v>
      </c>
      <c r="G16" s="748">
        <f t="shared" ca="1" si="0"/>
        <v>5857.8439694879053</v>
      </c>
      <c r="H16" s="748">
        <f t="shared" si="0"/>
        <v>0</v>
      </c>
      <c r="I16" s="748">
        <f t="shared" si="0"/>
        <v>0</v>
      </c>
      <c r="J16" s="748">
        <f t="shared" si="0"/>
        <v>0</v>
      </c>
      <c r="K16" s="748">
        <f t="shared" si="0"/>
        <v>196.56191837209158</v>
      </c>
      <c r="L16" s="748">
        <f t="shared" si="0"/>
        <v>0</v>
      </c>
      <c r="M16" s="748">
        <f t="shared" ca="1" si="0"/>
        <v>0</v>
      </c>
      <c r="N16" s="748">
        <f t="shared" si="0"/>
        <v>0</v>
      </c>
      <c r="O16" s="748">
        <f t="shared" ca="1" si="0"/>
        <v>4014.0757234025345</v>
      </c>
      <c r="P16" s="748">
        <f t="shared" si="0"/>
        <v>88.22350598009649</v>
      </c>
      <c r="Q16" s="748">
        <f t="shared" si="0"/>
        <v>431.50035691929565</v>
      </c>
      <c r="R16" s="748">
        <f t="shared" ca="1" si="0"/>
        <v>188105.24206975615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1011.6805281734338</v>
      </c>
      <c r="I19" s="712">
        <f>transport!H54</f>
        <v>0</v>
      </c>
      <c r="J19" s="712">
        <f>transport!I54</f>
        <v>0</v>
      </c>
      <c r="K19" s="712">
        <f>transport!J54</f>
        <v>0</v>
      </c>
      <c r="L19" s="712">
        <f>transport!K54</f>
        <v>0</v>
      </c>
      <c r="M19" s="712">
        <f>transport!L54</f>
        <v>0</v>
      </c>
      <c r="N19" s="712">
        <f>transport!M54</f>
        <v>56.229315692180663</v>
      </c>
      <c r="O19" s="712">
        <f>transport!N54</f>
        <v>0</v>
      </c>
      <c r="P19" s="712">
        <f>transport!O54</f>
        <v>0</v>
      </c>
      <c r="Q19" s="713">
        <f>transport!P54</f>
        <v>0</v>
      </c>
      <c r="R19" s="715">
        <f>SUM(C19:Q19)</f>
        <v>1067.9098438656144</v>
      </c>
      <c r="S19" s="67"/>
    </row>
    <row r="20" spans="1:19" s="474" customFormat="1">
      <c r="A20" s="834" t="s">
        <v>306</v>
      </c>
      <c r="B20" s="839"/>
      <c r="C20" s="712">
        <f>transport!B14</f>
        <v>19.009491918055552</v>
      </c>
      <c r="D20" s="712">
        <f>transport!C14</f>
        <v>0</v>
      </c>
      <c r="E20" s="712">
        <f>transport!D14</f>
        <v>68.418503577783341</v>
      </c>
      <c r="F20" s="712">
        <f>transport!E14</f>
        <v>53.596097136138894</v>
      </c>
      <c r="G20" s="712">
        <f>transport!F14</f>
        <v>0</v>
      </c>
      <c r="H20" s="712">
        <f>transport!G14</f>
        <v>22432.993169581765</v>
      </c>
      <c r="I20" s="712">
        <f>transport!H14</f>
        <v>5126.2827804204699</v>
      </c>
      <c r="J20" s="712">
        <f>transport!I14</f>
        <v>0</v>
      </c>
      <c r="K20" s="712">
        <f>transport!J14</f>
        <v>0</v>
      </c>
      <c r="L20" s="712">
        <f>transport!K14</f>
        <v>0</v>
      </c>
      <c r="M20" s="712">
        <f>transport!L14</f>
        <v>0</v>
      </c>
      <c r="N20" s="712">
        <f>transport!M14</f>
        <v>1630.4184358319003</v>
      </c>
      <c r="O20" s="712">
        <f>transport!N14</f>
        <v>0</v>
      </c>
      <c r="P20" s="712">
        <f>transport!O14</f>
        <v>0</v>
      </c>
      <c r="Q20" s="713">
        <f>transport!P14</f>
        <v>0</v>
      </c>
      <c r="R20" s="715">
        <f>SUM(C20:Q20)</f>
        <v>29330.718478466111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19.009491918055552</v>
      </c>
      <c r="D22" s="837">
        <f t="shared" ref="D22:R22" si="1">SUM(D18:D21)</f>
        <v>0</v>
      </c>
      <c r="E22" s="837">
        <f t="shared" si="1"/>
        <v>68.418503577783341</v>
      </c>
      <c r="F22" s="837">
        <f t="shared" si="1"/>
        <v>53.596097136138894</v>
      </c>
      <c r="G22" s="837">
        <f t="shared" si="1"/>
        <v>0</v>
      </c>
      <c r="H22" s="837">
        <f t="shared" si="1"/>
        <v>23444.673697755199</v>
      </c>
      <c r="I22" s="837">
        <f t="shared" si="1"/>
        <v>5126.2827804204699</v>
      </c>
      <c r="J22" s="837">
        <f t="shared" si="1"/>
        <v>0</v>
      </c>
      <c r="K22" s="837">
        <f t="shared" si="1"/>
        <v>0</v>
      </c>
      <c r="L22" s="837">
        <f t="shared" si="1"/>
        <v>0</v>
      </c>
      <c r="M22" s="837">
        <f t="shared" si="1"/>
        <v>0</v>
      </c>
      <c r="N22" s="837">
        <f t="shared" si="1"/>
        <v>1686.6477515240811</v>
      </c>
      <c r="O22" s="837">
        <f t="shared" si="1"/>
        <v>0</v>
      </c>
      <c r="P22" s="837">
        <f t="shared" si="1"/>
        <v>0</v>
      </c>
      <c r="Q22" s="837">
        <f t="shared" si="1"/>
        <v>0</v>
      </c>
      <c r="R22" s="837">
        <f t="shared" si="1"/>
        <v>30398.628322331726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48.212000000000003</v>
      </c>
      <c r="D24" s="712">
        <f>+landbouw!C8</f>
        <v>0</v>
      </c>
      <c r="E24" s="712">
        <f>+landbouw!D8</f>
        <v>96.574433999999997</v>
      </c>
      <c r="F24" s="712">
        <f>+landbouw!E8</f>
        <v>1.5046806216437472</v>
      </c>
      <c r="G24" s="712">
        <f>+landbouw!F8</f>
        <v>170.38654878128713</v>
      </c>
      <c r="H24" s="712">
        <f>+landbouw!G8</f>
        <v>0</v>
      </c>
      <c r="I24" s="712">
        <f>+landbouw!H8</f>
        <v>0</v>
      </c>
      <c r="J24" s="712">
        <f>+landbouw!I8</f>
        <v>0</v>
      </c>
      <c r="K24" s="712">
        <f>+landbouw!J8</f>
        <v>13.282740347289804</v>
      </c>
      <c r="L24" s="712">
        <f>+landbouw!K8</f>
        <v>0</v>
      </c>
      <c r="M24" s="712">
        <f>+landbouw!L8</f>
        <v>0</v>
      </c>
      <c r="N24" s="712">
        <f>+landbouw!M8</f>
        <v>0</v>
      </c>
      <c r="O24" s="712">
        <f>+landbouw!N8</f>
        <v>0</v>
      </c>
      <c r="P24" s="712">
        <f>+landbouw!O8</f>
        <v>0</v>
      </c>
      <c r="Q24" s="713">
        <f>+landbouw!P8</f>
        <v>0</v>
      </c>
      <c r="R24" s="715">
        <f>SUM(C24:Q24)</f>
        <v>329.96040375022068</v>
      </c>
      <c r="S24" s="67"/>
    </row>
    <row r="25" spans="1:19" s="474" customFormat="1" ht="15" thickBot="1">
      <c r="A25" s="856" t="s">
        <v>734</v>
      </c>
      <c r="B25" s="982"/>
      <c r="C25" s="983">
        <f>IF(Onbekend_ele_kWh="---",0,Onbekend_ele_kWh)/1000+IF(REST_rest_ele_kWh="---",0,REST_rest_ele_kWh)/1000</f>
        <v>491.1395</v>
      </c>
      <c r="D25" s="983"/>
      <c r="E25" s="983">
        <f>IF(onbekend_gas_kWh="---",0,onbekend_gas_kWh)/1000+IF(REST_rest_gas_kWh="---",0,REST_rest_gas_kWh)/1000</f>
        <v>1015.0277</v>
      </c>
      <c r="F25" s="983"/>
      <c r="G25" s="983"/>
      <c r="H25" s="983"/>
      <c r="I25" s="983"/>
      <c r="J25" s="983"/>
      <c r="K25" s="983"/>
      <c r="L25" s="983"/>
      <c r="M25" s="983"/>
      <c r="N25" s="983"/>
      <c r="O25" s="983"/>
      <c r="P25" s="983"/>
      <c r="Q25" s="984"/>
      <c r="R25" s="715">
        <f>SUM(C25:Q25)</f>
        <v>1506.1671999999999</v>
      </c>
      <c r="S25" s="67"/>
    </row>
    <row r="26" spans="1:19" s="474" customFormat="1" ht="15.75" thickBot="1">
      <c r="A26" s="720" t="s">
        <v>735</v>
      </c>
      <c r="B26" s="842"/>
      <c r="C26" s="837">
        <f>SUM(C24:C25)</f>
        <v>539.35149999999999</v>
      </c>
      <c r="D26" s="837">
        <f t="shared" ref="D26:R26" si="2">SUM(D24:D25)</f>
        <v>0</v>
      </c>
      <c r="E26" s="837">
        <f t="shared" si="2"/>
        <v>1111.602134</v>
      </c>
      <c r="F26" s="837">
        <f t="shared" si="2"/>
        <v>1.5046806216437472</v>
      </c>
      <c r="G26" s="837">
        <f t="shared" si="2"/>
        <v>170.38654878128713</v>
      </c>
      <c r="H26" s="837">
        <f t="shared" si="2"/>
        <v>0</v>
      </c>
      <c r="I26" s="837">
        <f t="shared" si="2"/>
        <v>0</v>
      </c>
      <c r="J26" s="837">
        <f t="shared" si="2"/>
        <v>0</v>
      </c>
      <c r="K26" s="837">
        <f t="shared" si="2"/>
        <v>13.282740347289804</v>
      </c>
      <c r="L26" s="837">
        <f t="shared" si="2"/>
        <v>0</v>
      </c>
      <c r="M26" s="837">
        <f t="shared" si="2"/>
        <v>0</v>
      </c>
      <c r="N26" s="837">
        <f t="shared" si="2"/>
        <v>0</v>
      </c>
      <c r="O26" s="837">
        <f t="shared" si="2"/>
        <v>0</v>
      </c>
      <c r="P26" s="837">
        <f t="shared" si="2"/>
        <v>0</v>
      </c>
      <c r="Q26" s="837">
        <f t="shared" si="2"/>
        <v>0</v>
      </c>
      <c r="R26" s="837">
        <f t="shared" si="2"/>
        <v>1836.1276037502205</v>
      </c>
      <c r="S26" s="67"/>
    </row>
    <row r="27" spans="1:19" s="474" customFormat="1" ht="17.25" thickTop="1" thickBot="1">
      <c r="A27" s="721" t="s">
        <v>115</v>
      </c>
      <c r="B27" s="829"/>
      <c r="C27" s="722">
        <f ca="1">C22+C16+C26</f>
        <v>51237.874088559976</v>
      </c>
      <c r="D27" s="722">
        <f t="shared" ref="D27:R27" ca="1" si="3">D22+D16+D26</f>
        <v>0</v>
      </c>
      <c r="E27" s="722">
        <f t="shared" ca="1" si="3"/>
        <v>126264.03450702978</v>
      </c>
      <c r="F27" s="722">
        <f t="shared" si="3"/>
        <v>1808.6104072581168</v>
      </c>
      <c r="G27" s="722">
        <f t="shared" ca="1" si="3"/>
        <v>6028.2305182691925</v>
      </c>
      <c r="H27" s="722">
        <f t="shared" si="3"/>
        <v>23444.673697755199</v>
      </c>
      <c r="I27" s="722">
        <f t="shared" si="3"/>
        <v>5126.2827804204699</v>
      </c>
      <c r="J27" s="722">
        <f t="shared" si="3"/>
        <v>0</v>
      </c>
      <c r="K27" s="722">
        <f t="shared" si="3"/>
        <v>209.84465871938139</v>
      </c>
      <c r="L27" s="722">
        <f t="shared" si="3"/>
        <v>0</v>
      </c>
      <c r="M27" s="722">
        <f t="shared" ca="1" si="3"/>
        <v>0</v>
      </c>
      <c r="N27" s="722">
        <f t="shared" si="3"/>
        <v>1686.6477515240811</v>
      </c>
      <c r="O27" s="722">
        <f t="shared" ca="1" si="3"/>
        <v>4014.0757234025345</v>
      </c>
      <c r="P27" s="722">
        <f t="shared" si="3"/>
        <v>88.22350598009649</v>
      </c>
      <c r="Q27" s="722">
        <f t="shared" si="3"/>
        <v>431.50035691929565</v>
      </c>
      <c r="R27" s="722">
        <f t="shared" ca="1" si="3"/>
        <v>220339.99799583809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2233.1158678105521</v>
      </c>
      <c r="D40" s="712">
        <f ca="1">tertiair!C20</f>
        <v>0</v>
      </c>
      <c r="E40" s="712">
        <f ca="1">tertiair!D20</f>
        <v>3688.5015585821038</v>
      </c>
      <c r="F40" s="712">
        <f>tertiair!E20</f>
        <v>35.766619638949898</v>
      </c>
      <c r="G40" s="712">
        <f ca="1">tertiair!F20</f>
        <v>298.38336986203075</v>
      </c>
      <c r="H40" s="712">
        <f>tertiair!G20</f>
        <v>0</v>
      </c>
      <c r="I40" s="712">
        <f>tertiair!H20</f>
        <v>0</v>
      </c>
      <c r="J40" s="712">
        <f>tertiair!I20</f>
        <v>0</v>
      </c>
      <c r="K40" s="712">
        <f>tertiair!J20</f>
        <v>4.261695541223947E-3</v>
      </c>
      <c r="L40" s="712">
        <f>tertiair!K20</f>
        <v>0</v>
      </c>
      <c r="M40" s="712">
        <f ca="1">tertiair!L20</f>
        <v>0</v>
      </c>
      <c r="N40" s="712">
        <f>tertiair!M20</f>
        <v>0</v>
      </c>
      <c r="O40" s="712">
        <f ca="1">tertiair!N20</f>
        <v>0</v>
      </c>
      <c r="P40" s="712">
        <f>tertiair!O20</f>
        <v>0</v>
      </c>
      <c r="Q40" s="795">
        <f>tertiair!P20</f>
        <v>0</v>
      </c>
      <c r="R40" s="875">
        <f t="shared" ca="1" si="4"/>
        <v>6255.7716775891786</v>
      </c>
    </row>
    <row r="41" spans="1:18">
      <c r="A41" s="847" t="s">
        <v>224</v>
      </c>
      <c r="B41" s="854"/>
      <c r="C41" s="712">
        <f ca="1">huishoudens!B12</f>
        <v>3343.9418852680501</v>
      </c>
      <c r="D41" s="712">
        <f ca="1">huishoudens!C12</f>
        <v>0</v>
      </c>
      <c r="E41" s="712">
        <f>huishoudens!D12</f>
        <v>10927.2734469272</v>
      </c>
      <c r="F41" s="712">
        <f>huishoudens!E12</f>
        <v>70.687252936218428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14341.902585131469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5358.1485090343376</v>
      </c>
      <c r="D43" s="712">
        <f ca="1">industrie!C22</f>
        <v>0</v>
      </c>
      <c r="E43" s="712">
        <f>industrie!D22</f>
        <v>10651.195796119999</v>
      </c>
      <c r="F43" s="712">
        <f>industrie!E22</f>
        <v>291.5928133214075</v>
      </c>
      <c r="G43" s="712">
        <f>industrie!F22</f>
        <v>1265.6609699912399</v>
      </c>
      <c r="H43" s="712">
        <f>industrie!G22</f>
        <v>0</v>
      </c>
      <c r="I43" s="712">
        <f>industrie!H22</f>
        <v>0</v>
      </c>
      <c r="J43" s="712">
        <f>industrie!I22</f>
        <v>0</v>
      </c>
      <c r="K43" s="712">
        <f>industrie!J22</f>
        <v>69.578657408179197</v>
      </c>
      <c r="L43" s="712">
        <f>industrie!K22</f>
        <v>0</v>
      </c>
      <c r="M43" s="712">
        <f>industrie!L22</f>
        <v>0</v>
      </c>
      <c r="N43" s="712">
        <f>industrie!M22</f>
        <v>0</v>
      </c>
      <c r="O43" s="712">
        <f>industrie!N22</f>
        <v>0</v>
      </c>
      <c r="P43" s="712">
        <f>industrie!O22</f>
        <v>0</v>
      </c>
      <c r="Q43" s="795">
        <f>industrie!P22</f>
        <v>0</v>
      </c>
      <c r="R43" s="874">
        <f t="shared" ca="1" si="4"/>
        <v>17636.176745875164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10935.206262112941</v>
      </c>
      <c r="D46" s="748">
        <f t="shared" ref="D46:Q46" ca="1" si="5">SUM(D39:D45)</f>
        <v>0</v>
      </c>
      <c r="E46" s="748">
        <f t="shared" ca="1" si="5"/>
        <v>25266.970801629301</v>
      </c>
      <c r="F46" s="748">
        <f t="shared" si="5"/>
        <v>398.04668589657581</v>
      </c>
      <c r="G46" s="748">
        <f t="shared" ca="1" si="5"/>
        <v>1564.0443398532707</v>
      </c>
      <c r="H46" s="748">
        <f t="shared" si="5"/>
        <v>0</v>
      </c>
      <c r="I46" s="748">
        <f t="shared" si="5"/>
        <v>0</v>
      </c>
      <c r="J46" s="748">
        <f t="shared" si="5"/>
        <v>0</v>
      </c>
      <c r="K46" s="748">
        <f t="shared" si="5"/>
        <v>69.582919103720414</v>
      </c>
      <c r="L46" s="748">
        <f t="shared" si="5"/>
        <v>0</v>
      </c>
      <c r="M46" s="748">
        <f t="shared" ca="1" si="5"/>
        <v>0</v>
      </c>
      <c r="N46" s="748">
        <f t="shared" si="5"/>
        <v>0</v>
      </c>
      <c r="O46" s="748">
        <f t="shared" ca="1" si="5"/>
        <v>0</v>
      </c>
      <c r="P46" s="748">
        <f t="shared" si="5"/>
        <v>0</v>
      </c>
      <c r="Q46" s="748">
        <f t="shared" si="5"/>
        <v>0</v>
      </c>
      <c r="R46" s="748">
        <f ca="1">SUM(R39:R45)</f>
        <v>38233.851008595811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270.11870102230682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270.11870102230682</v>
      </c>
    </row>
    <row r="50" spans="1:18">
      <c r="A50" s="850" t="s">
        <v>306</v>
      </c>
      <c r="B50" s="860"/>
      <c r="C50" s="718">
        <f ca="1">transport!B18</f>
        <v>4.1017109747188991</v>
      </c>
      <c r="D50" s="718">
        <f>transport!C18</f>
        <v>0</v>
      </c>
      <c r="E50" s="718">
        <f>transport!D18</f>
        <v>13.820537722712235</v>
      </c>
      <c r="F50" s="718">
        <f>transport!E18</f>
        <v>12.16631404990353</v>
      </c>
      <c r="G50" s="718">
        <f>transport!F18</f>
        <v>0</v>
      </c>
      <c r="H50" s="718">
        <f>transport!G18</f>
        <v>5989.6091762783317</v>
      </c>
      <c r="I50" s="718">
        <f>transport!H18</f>
        <v>1276.4444123246969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7296.1421513503628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4.1017109747188991</v>
      </c>
      <c r="D52" s="748">
        <f t="shared" ref="D52:Q52" ca="1" si="6">SUM(D48:D51)</f>
        <v>0</v>
      </c>
      <c r="E52" s="748">
        <f t="shared" si="6"/>
        <v>13.820537722712235</v>
      </c>
      <c r="F52" s="748">
        <f t="shared" si="6"/>
        <v>12.16631404990353</v>
      </c>
      <c r="G52" s="748">
        <f t="shared" si="6"/>
        <v>0</v>
      </c>
      <c r="H52" s="748">
        <f t="shared" si="6"/>
        <v>6259.7278773006383</v>
      </c>
      <c r="I52" s="748">
        <f t="shared" si="6"/>
        <v>1276.4444123246969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7566.2608523726694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10.402786690228135</v>
      </c>
      <c r="D54" s="718">
        <f ca="1">+landbouw!C12</f>
        <v>0</v>
      </c>
      <c r="E54" s="718">
        <f>+landbouw!D12</f>
        <v>19.508035668000002</v>
      </c>
      <c r="F54" s="718">
        <f>+landbouw!E12</f>
        <v>0.34156250111313063</v>
      </c>
      <c r="G54" s="718">
        <f>+landbouw!F12</f>
        <v>45.493208524603666</v>
      </c>
      <c r="H54" s="718">
        <f>+landbouw!G12</f>
        <v>0</v>
      </c>
      <c r="I54" s="718">
        <f>+landbouw!H12</f>
        <v>0</v>
      </c>
      <c r="J54" s="718">
        <f>+landbouw!I12</f>
        <v>0</v>
      </c>
      <c r="K54" s="718">
        <f>+landbouw!J12</f>
        <v>4.7020900829405905</v>
      </c>
      <c r="L54" s="718">
        <f>+landbouw!K12</f>
        <v>0</v>
      </c>
      <c r="M54" s="718">
        <f>+landbouw!L12</f>
        <v>0</v>
      </c>
      <c r="N54" s="718">
        <f>+landbouw!M12</f>
        <v>0</v>
      </c>
      <c r="O54" s="718">
        <f>+landbouw!N12</f>
        <v>0</v>
      </c>
      <c r="P54" s="718">
        <f>+landbouw!O12</f>
        <v>0</v>
      </c>
      <c r="Q54" s="719">
        <f>+landbouw!P12</f>
        <v>0</v>
      </c>
      <c r="R54" s="747">
        <f ca="1">SUM(C54:Q54)</f>
        <v>80.447683466885522</v>
      </c>
    </row>
    <row r="55" spans="1:18" ht="15" thickBot="1">
      <c r="A55" s="850" t="s">
        <v>734</v>
      </c>
      <c r="B55" s="860"/>
      <c r="C55" s="718">
        <f ca="1">C25*'EF ele_warmte'!B12</f>
        <v>105.97402002914835</v>
      </c>
      <c r="D55" s="718"/>
      <c r="E55" s="718">
        <f>E25*EF_CO2_aardgas</f>
        <v>205.03559540000001</v>
      </c>
      <c r="F55" s="718"/>
      <c r="G55" s="718"/>
      <c r="H55" s="718"/>
      <c r="I55" s="718"/>
      <c r="J55" s="718"/>
      <c r="K55" s="718"/>
      <c r="L55" s="718"/>
      <c r="M55" s="718"/>
      <c r="N55" s="718"/>
      <c r="O55" s="718"/>
      <c r="P55" s="718"/>
      <c r="Q55" s="719"/>
      <c r="R55" s="747">
        <f ca="1">SUM(C55:Q55)</f>
        <v>311.00961542914837</v>
      </c>
    </row>
    <row r="56" spans="1:18" ht="15.75" thickBot="1">
      <c r="A56" s="848" t="s">
        <v>735</v>
      </c>
      <c r="B56" s="861"/>
      <c r="C56" s="748">
        <f ca="1">SUM(C54:C55)</f>
        <v>116.37680671937649</v>
      </c>
      <c r="D56" s="748">
        <f t="shared" ref="D56:Q56" ca="1" si="7">SUM(D54:D55)</f>
        <v>0</v>
      </c>
      <c r="E56" s="748">
        <f t="shared" si="7"/>
        <v>224.543631068</v>
      </c>
      <c r="F56" s="748">
        <f t="shared" si="7"/>
        <v>0.34156250111313063</v>
      </c>
      <c r="G56" s="748">
        <f t="shared" si="7"/>
        <v>45.493208524603666</v>
      </c>
      <c r="H56" s="748">
        <f t="shared" si="7"/>
        <v>0</v>
      </c>
      <c r="I56" s="748">
        <f t="shared" si="7"/>
        <v>0</v>
      </c>
      <c r="J56" s="748">
        <f t="shared" si="7"/>
        <v>0</v>
      </c>
      <c r="K56" s="748">
        <f t="shared" si="7"/>
        <v>4.7020900829405905</v>
      </c>
      <c r="L56" s="748">
        <f t="shared" si="7"/>
        <v>0</v>
      </c>
      <c r="M56" s="748">
        <f t="shared" si="7"/>
        <v>0</v>
      </c>
      <c r="N56" s="748">
        <f t="shared" si="7"/>
        <v>0</v>
      </c>
      <c r="O56" s="748">
        <f t="shared" si="7"/>
        <v>0</v>
      </c>
      <c r="P56" s="748">
        <f t="shared" si="7"/>
        <v>0</v>
      </c>
      <c r="Q56" s="749">
        <f t="shared" si="7"/>
        <v>0</v>
      </c>
      <c r="R56" s="750">
        <f ca="1">SUM(R54:R55)</f>
        <v>391.45729889603388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11055.684779807036</v>
      </c>
      <c r="D61" s="756">
        <f t="shared" ref="D61:Q61" ca="1" si="8">D46+D52+D56</f>
        <v>0</v>
      </c>
      <c r="E61" s="756">
        <f t="shared" ca="1" si="8"/>
        <v>25505.334970420015</v>
      </c>
      <c r="F61" s="756">
        <f t="shared" si="8"/>
        <v>410.55456244759245</v>
      </c>
      <c r="G61" s="756">
        <f t="shared" ca="1" si="8"/>
        <v>1609.5375483778744</v>
      </c>
      <c r="H61" s="756">
        <f t="shared" si="8"/>
        <v>6259.7278773006383</v>
      </c>
      <c r="I61" s="756">
        <f t="shared" si="8"/>
        <v>1276.4444123246969</v>
      </c>
      <c r="J61" s="756">
        <f t="shared" si="8"/>
        <v>0</v>
      </c>
      <c r="K61" s="756">
        <f t="shared" si="8"/>
        <v>74.285009186661</v>
      </c>
      <c r="L61" s="756">
        <f t="shared" si="8"/>
        <v>0</v>
      </c>
      <c r="M61" s="756">
        <f t="shared" ca="1" si="8"/>
        <v>0</v>
      </c>
      <c r="N61" s="756">
        <f t="shared" si="8"/>
        <v>0</v>
      </c>
      <c r="O61" s="756">
        <f t="shared" ca="1" si="8"/>
        <v>0</v>
      </c>
      <c r="P61" s="756">
        <f t="shared" si="8"/>
        <v>0</v>
      </c>
      <c r="Q61" s="756">
        <f t="shared" si="8"/>
        <v>0</v>
      </c>
      <c r="R61" s="756">
        <f ca="1">R46+R52+R56</f>
        <v>46191.569159864513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0.21577173090160409</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1212.1511030077888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1212.1511030077888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1212.1511030077888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1212.1511030077888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15497.590306641932</v>
      </c>
      <c r="C4" s="478">
        <f>huishoudens!C8</f>
        <v>0</v>
      </c>
      <c r="D4" s="478">
        <f>huishoudens!D8</f>
        <v>54095.413103599996</v>
      </c>
      <c r="E4" s="478">
        <f>huishoudens!E8</f>
        <v>311.39759002739396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2559.7021222815465</v>
      </c>
      <c r="O4" s="478">
        <f>huishoudens!O8</f>
        <v>83.326245214255337</v>
      </c>
      <c r="P4" s="479">
        <f>huishoudens!P8</f>
        <v>273.88294199981061</v>
      </c>
      <c r="Q4" s="480">
        <f>SUM(B4:P4)</f>
        <v>72821.312309764937</v>
      </c>
    </row>
    <row r="5" spans="1:17">
      <c r="A5" s="477" t="s">
        <v>155</v>
      </c>
      <c r="B5" s="478">
        <f ca="1">tertiair!B16</f>
        <v>9950.9576869999983</v>
      </c>
      <c r="C5" s="478">
        <f ca="1">tertiair!C16</f>
        <v>0</v>
      </c>
      <c r="D5" s="478">
        <f ca="1">tertiair!D16</f>
        <v>18259.908705851998</v>
      </c>
      <c r="E5" s="478">
        <f>tertiair!E16</f>
        <v>157.56220105264271</v>
      </c>
      <c r="F5" s="478">
        <f ca="1">tertiair!F16</f>
        <v>1117.5407110937481</v>
      </c>
      <c r="G5" s="478">
        <f>tertiair!G16</f>
        <v>0</v>
      </c>
      <c r="H5" s="478">
        <f>tertiair!H16</f>
        <v>0</v>
      </c>
      <c r="I5" s="478">
        <f>tertiair!I16</f>
        <v>0</v>
      </c>
      <c r="J5" s="478">
        <f>tertiair!J16</f>
        <v>1.2038687969559174E-2</v>
      </c>
      <c r="K5" s="478">
        <f>tertiair!K16</f>
        <v>0</v>
      </c>
      <c r="L5" s="478">
        <f ca="1">tertiair!L16</f>
        <v>0</v>
      </c>
      <c r="M5" s="478">
        <f>tertiair!M16</f>
        <v>0</v>
      </c>
      <c r="N5" s="478">
        <f ca="1">tertiair!N16</f>
        <v>474.25748086569286</v>
      </c>
      <c r="O5" s="478">
        <f>tertiair!O16</f>
        <v>4.8972607658411542</v>
      </c>
      <c r="P5" s="479">
        <f>tertiair!P16</f>
        <v>157.61741491948504</v>
      </c>
      <c r="Q5" s="477">
        <f t="shared" ref="Q5:Q14" ca="1" si="0">SUM(B5:P5)</f>
        <v>30122.753500237373</v>
      </c>
    </row>
    <row r="6" spans="1:17">
      <c r="A6" s="477" t="s">
        <v>193</v>
      </c>
      <c r="B6" s="478">
        <f>'openbare verlichting'!B8</f>
        <v>398.47899999999998</v>
      </c>
      <c r="C6" s="478"/>
      <c r="D6" s="478"/>
      <c r="E6" s="478"/>
      <c r="F6" s="478"/>
      <c r="G6" s="478"/>
      <c r="H6" s="478"/>
      <c r="I6" s="478"/>
      <c r="J6" s="478"/>
      <c r="K6" s="478"/>
      <c r="L6" s="478"/>
      <c r="M6" s="478"/>
      <c r="N6" s="478"/>
      <c r="O6" s="478"/>
      <c r="P6" s="479"/>
      <c r="Q6" s="477">
        <f t="shared" si="0"/>
        <v>398.47899999999998</v>
      </c>
    </row>
    <row r="7" spans="1:17">
      <c r="A7" s="477" t="s">
        <v>111</v>
      </c>
      <c r="B7" s="478">
        <f>landbouw!B8</f>
        <v>48.212000000000003</v>
      </c>
      <c r="C7" s="478">
        <f>landbouw!C8</f>
        <v>0</v>
      </c>
      <c r="D7" s="478">
        <f>landbouw!D8</f>
        <v>96.574433999999997</v>
      </c>
      <c r="E7" s="478">
        <f>landbouw!E8</f>
        <v>1.5046806216437472</v>
      </c>
      <c r="F7" s="478">
        <f>landbouw!F8</f>
        <v>170.38654878128713</v>
      </c>
      <c r="G7" s="478">
        <f>landbouw!G8</f>
        <v>0</v>
      </c>
      <c r="H7" s="478">
        <f>landbouw!H8</f>
        <v>0</v>
      </c>
      <c r="I7" s="478">
        <f>landbouw!I8</f>
        <v>0</v>
      </c>
      <c r="J7" s="478">
        <f>landbouw!J8</f>
        <v>13.282740347289804</v>
      </c>
      <c r="K7" s="478">
        <f>landbouw!K8</f>
        <v>0</v>
      </c>
      <c r="L7" s="478">
        <f>landbouw!L8</f>
        <v>0</v>
      </c>
      <c r="M7" s="478">
        <f>landbouw!M8</f>
        <v>0</v>
      </c>
      <c r="N7" s="478">
        <f>landbouw!N8</f>
        <v>0</v>
      </c>
      <c r="O7" s="478">
        <f>landbouw!O8</f>
        <v>0</v>
      </c>
      <c r="P7" s="479">
        <f>landbouw!P8</f>
        <v>0</v>
      </c>
      <c r="Q7" s="477">
        <f t="shared" si="0"/>
        <v>329.96040375022068</v>
      </c>
    </row>
    <row r="8" spans="1:17">
      <c r="A8" s="477" t="s">
        <v>629</v>
      </c>
      <c r="B8" s="478">
        <f>industrie!B18</f>
        <v>24832.486102999999</v>
      </c>
      <c r="C8" s="478">
        <f>industrie!C18</f>
        <v>0</v>
      </c>
      <c r="D8" s="478">
        <f>industrie!D18</f>
        <v>52728.692059999994</v>
      </c>
      <c r="E8" s="478">
        <f>industrie!E18</f>
        <v>1284.5498384202974</v>
      </c>
      <c r="F8" s="478">
        <f>industrie!F18</f>
        <v>4740.3032583941567</v>
      </c>
      <c r="G8" s="478">
        <f>industrie!G18</f>
        <v>0</v>
      </c>
      <c r="H8" s="478">
        <f>industrie!H18</f>
        <v>0</v>
      </c>
      <c r="I8" s="478">
        <f>industrie!I18</f>
        <v>0</v>
      </c>
      <c r="J8" s="478">
        <f>industrie!J18</f>
        <v>196.54987968412203</v>
      </c>
      <c r="K8" s="478">
        <f>industrie!K18</f>
        <v>0</v>
      </c>
      <c r="L8" s="478">
        <f>industrie!L18</f>
        <v>0</v>
      </c>
      <c r="M8" s="478">
        <f>industrie!M18</f>
        <v>0</v>
      </c>
      <c r="N8" s="478">
        <f>industrie!N18</f>
        <v>980.11612025529541</v>
      </c>
      <c r="O8" s="478">
        <f>industrie!O18</f>
        <v>0</v>
      </c>
      <c r="P8" s="479">
        <f>industrie!P18</f>
        <v>0</v>
      </c>
      <c r="Q8" s="477">
        <f t="shared" si="0"/>
        <v>84762.697259753855</v>
      </c>
    </row>
    <row r="9" spans="1:17" s="483" customFormat="1">
      <c r="A9" s="481" t="s">
        <v>555</v>
      </c>
      <c r="B9" s="482">
        <f>transport!B14</f>
        <v>19.009491918055552</v>
      </c>
      <c r="C9" s="482">
        <f>transport!C14</f>
        <v>0</v>
      </c>
      <c r="D9" s="482">
        <f>transport!D14</f>
        <v>68.418503577783341</v>
      </c>
      <c r="E9" s="482">
        <f>transport!E14</f>
        <v>53.596097136138894</v>
      </c>
      <c r="F9" s="482">
        <f>transport!F14</f>
        <v>0</v>
      </c>
      <c r="G9" s="482">
        <f>transport!G14</f>
        <v>22432.993169581765</v>
      </c>
      <c r="H9" s="482">
        <f>transport!H14</f>
        <v>5126.2827804204699</v>
      </c>
      <c r="I9" s="482">
        <f>transport!I14</f>
        <v>0</v>
      </c>
      <c r="J9" s="482">
        <f>transport!J14</f>
        <v>0</v>
      </c>
      <c r="K9" s="482">
        <f>transport!K14</f>
        <v>0</v>
      </c>
      <c r="L9" s="482">
        <f>transport!L14</f>
        <v>0</v>
      </c>
      <c r="M9" s="482">
        <f>transport!M14</f>
        <v>1630.4184358319003</v>
      </c>
      <c r="N9" s="482">
        <f>transport!N14</f>
        <v>0</v>
      </c>
      <c r="O9" s="482">
        <f>transport!O14</f>
        <v>0</v>
      </c>
      <c r="P9" s="482">
        <f>transport!P14</f>
        <v>0</v>
      </c>
      <c r="Q9" s="481">
        <f>SUM(B9:P9)</f>
        <v>29330.718478466111</v>
      </c>
    </row>
    <row r="10" spans="1:17">
      <c r="A10" s="477" t="s">
        <v>545</v>
      </c>
      <c r="B10" s="478">
        <f>transport!B54</f>
        <v>0</v>
      </c>
      <c r="C10" s="478">
        <f>transport!C54</f>
        <v>0</v>
      </c>
      <c r="D10" s="478">
        <f>transport!D54</f>
        <v>0</v>
      </c>
      <c r="E10" s="478">
        <f>transport!E54</f>
        <v>0</v>
      </c>
      <c r="F10" s="478">
        <f>transport!F54</f>
        <v>0</v>
      </c>
      <c r="G10" s="478">
        <f>transport!G54</f>
        <v>1011.6805281734338</v>
      </c>
      <c r="H10" s="478">
        <f>transport!H54</f>
        <v>0</v>
      </c>
      <c r="I10" s="478">
        <f>transport!I54</f>
        <v>0</v>
      </c>
      <c r="J10" s="478">
        <f>transport!J54</f>
        <v>0</v>
      </c>
      <c r="K10" s="478">
        <f>transport!K54</f>
        <v>0</v>
      </c>
      <c r="L10" s="478">
        <f>transport!L54</f>
        <v>0</v>
      </c>
      <c r="M10" s="478">
        <f>transport!M54</f>
        <v>56.229315692180663</v>
      </c>
      <c r="N10" s="478">
        <f>transport!N54</f>
        <v>0</v>
      </c>
      <c r="O10" s="478">
        <f>transport!O54</f>
        <v>0</v>
      </c>
      <c r="P10" s="479">
        <f>transport!P54</f>
        <v>0</v>
      </c>
      <c r="Q10" s="477">
        <f t="shared" si="0"/>
        <v>1067.9098438656144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491.1395</v>
      </c>
      <c r="C14" s="485"/>
      <c r="D14" s="485">
        <f>'SEAP template'!E25</f>
        <v>1015.0277</v>
      </c>
      <c r="E14" s="485"/>
      <c r="F14" s="485"/>
      <c r="G14" s="485"/>
      <c r="H14" s="485"/>
      <c r="I14" s="485"/>
      <c r="J14" s="485"/>
      <c r="K14" s="485"/>
      <c r="L14" s="485"/>
      <c r="M14" s="485"/>
      <c r="N14" s="485"/>
      <c r="O14" s="485"/>
      <c r="P14" s="486"/>
      <c r="Q14" s="477">
        <f t="shared" si="0"/>
        <v>1506.1671999999999</v>
      </c>
    </row>
    <row r="15" spans="1:17" s="489" customFormat="1">
      <c r="A15" s="487" t="s">
        <v>549</v>
      </c>
      <c r="B15" s="488">
        <f ca="1">SUM(B4:B14)</f>
        <v>51237.874088559976</v>
      </c>
      <c r="C15" s="488">
        <f t="shared" ref="C15:Q15" ca="1" si="1">SUM(C4:C14)</f>
        <v>0</v>
      </c>
      <c r="D15" s="488">
        <f t="shared" ca="1" si="1"/>
        <v>126264.03450702976</v>
      </c>
      <c r="E15" s="488">
        <f t="shared" si="1"/>
        <v>1808.6104072581168</v>
      </c>
      <c r="F15" s="488">
        <f t="shared" ca="1" si="1"/>
        <v>6028.2305182691916</v>
      </c>
      <c r="G15" s="488">
        <f t="shared" si="1"/>
        <v>23444.673697755199</v>
      </c>
      <c r="H15" s="488">
        <f t="shared" si="1"/>
        <v>5126.2827804204699</v>
      </c>
      <c r="I15" s="488">
        <f t="shared" si="1"/>
        <v>0</v>
      </c>
      <c r="J15" s="488">
        <f t="shared" si="1"/>
        <v>209.84465871938139</v>
      </c>
      <c r="K15" s="488">
        <f t="shared" si="1"/>
        <v>0</v>
      </c>
      <c r="L15" s="488">
        <f t="shared" ca="1" si="1"/>
        <v>0</v>
      </c>
      <c r="M15" s="488">
        <f t="shared" si="1"/>
        <v>1686.6477515240811</v>
      </c>
      <c r="N15" s="488">
        <f t="shared" ca="1" si="1"/>
        <v>4014.0757234025345</v>
      </c>
      <c r="O15" s="488">
        <f t="shared" si="1"/>
        <v>88.22350598009649</v>
      </c>
      <c r="P15" s="488">
        <f t="shared" si="1"/>
        <v>431.50035691929565</v>
      </c>
      <c r="Q15" s="488">
        <f t="shared" ca="1" si="1"/>
        <v>220339.99799583812</v>
      </c>
    </row>
    <row r="17" spans="1:17">
      <c r="A17" s="490" t="s">
        <v>550</v>
      </c>
      <c r="B17" s="807">
        <f ca="1">huishoudens!B10</f>
        <v>0.21577173090160404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3343.9418852680501</v>
      </c>
      <c r="C22" s="478">
        <f t="shared" ref="C22:C32" ca="1" si="3">C4*$C$17</f>
        <v>0</v>
      </c>
      <c r="D22" s="478">
        <f t="shared" ref="D22:D32" si="4">D4*$D$17</f>
        <v>10927.2734469272</v>
      </c>
      <c r="E22" s="478">
        <f t="shared" ref="E22:E32" si="5">E4*$E$17</f>
        <v>70.687252936218428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14341.902585131469</v>
      </c>
    </row>
    <row r="23" spans="1:17">
      <c r="A23" s="477" t="s">
        <v>155</v>
      </c>
      <c r="B23" s="478">
        <f t="shared" ca="1" si="2"/>
        <v>2147.1353642526119</v>
      </c>
      <c r="C23" s="478">
        <f t="shared" ca="1" si="3"/>
        <v>0</v>
      </c>
      <c r="D23" s="478">
        <f t="shared" ca="1" si="4"/>
        <v>3688.5015585821038</v>
      </c>
      <c r="E23" s="478">
        <f t="shared" si="5"/>
        <v>35.766619638949898</v>
      </c>
      <c r="F23" s="478">
        <f t="shared" ca="1" si="6"/>
        <v>298.38336986203075</v>
      </c>
      <c r="G23" s="478">
        <f t="shared" si="7"/>
        <v>0</v>
      </c>
      <c r="H23" s="478">
        <f t="shared" si="8"/>
        <v>0</v>
      </c>
      <c r="I23" s="478">
        <f t="shared" si="9"/>
        <v>0</v>
      </c>
      <c r="J23" s="478">
        <f t="shared" si="10"/>
        <v>4.261695541223947E-3</v>
      </c>
      <c r="K23" s="478">
        <f t="shared" si="11"/>
        <v>0</v>
      </c>
      <c r="L23" s="478">
        <f t="shared" ca="1" si="12"/>
        <v>0</v>
      </c>
      <c r="M23" s="478">
        <f t="shared" si="13"/>
        <v>0</v>
      </c>
      <c r="N23" s="478">
        <f t="shared" ca="1" si="14"/>
        <v>0</v>
      </c>
      <c r="O23" s="478">
        <f t="shared" si="15"/>
        <v>0</v>
      </c>
      <c r="P23" s="479">
        <f t="shared" si="16"/>
        <v>0</v>
      </c>
      <c r="Q23" s="477">
        <f t="shared" ref="Q23:Q31" ca="1" si="17">SUM(B23:P23)</f>
        <v>6169.7911740312384</v>
      </c>
    </row>
    <row r="24" spans="1:17">
      <c r="A24" s="477" t="s">
        <v>193</v>
      </c>
      <c r="B24" s="478">
        <f t="shared" ca="1" si="2"/>
        <v>85.980503557940267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85.980503557940267</v>
      </c>
    </row>
    <row r="25" spans="1:17">
      <c r="A25" s="477" t="s">
        <v>111</v>
      </c>
      <c r="B25" s="478">
        <f t="shared" ca="1" si="2"/>
        <v>10.402786690228135</v>
      </c>
      <c r="C25" s="478">
        <f t="shared" ca="1" si="3"/>
        <v>0</v>
      </c>
      <c r="D25" s="478">
        <f t="shared" si="4"/>
        <v>19.508035668000002</v>
      </c>
      <c r="E25" s="478">
        <f t="shared" si="5"/>
        <v>0.34156250111313063</v>
      </c>
      <c r="F25" s="478">
        <f t="shared" si="6"/>
        <v>45.493208524603666</v>
      </c>
      <c r="G25" s="478">
        <f t="shared" si="7"/>
        <v>0</v>
      </c>
      <c r="H25" s="478">
        <f t="shared" si="8"/>
        <v>0</v>
      </c>
      <c r="I25" s="478">
        <f t="shared" si="9"/>
        <v>0</v>
      </c>
      <c r="J25" s="478">
        <f t="shared" si="10"/>
        <v>4.7020900829405905</v>
      </c>
      <c r="K25" s="478">
        <f t="shared" si="11"/>
        <v>0</v>
      </c>
      <c r="L25" s="478">
        <f t="shared" si="12"/>
        <v>0</v>
      </c>
      <c r="M25" s="478">
        <f t="shared" si="13"/>
        <v>0</v>
      </c>
      <c r="N25" s="478">
        <f t="shared" si="14"/>
        <v>0</v>
      </c>
      <c r="O25" s="478">
        <f t="shared" si="15"/>
        <v>0</v>
      </c>
      <c r="P25" s="479">
        <f t="shared" si="16"/>
        <v>0</v>
      </c>
      <c r="Q25" s="477">
        <f t="shared" ca="1" si="17"/>
        <v>80.447683466885522</v>
      </c>
    </row>
    <row r="26" spans="1:17">
      <c r="A26" s="477" t="s">
        <v>629</v>
      </c>
      <c r="B26" s="478">
        <f t="shared" ca="1" si="2"/>
        <v>5358.1485090343376</v>
      </c>
      <c r="C26" s="478">
        <f t="shared" ca="1" si="3"/>
        <v>0</v>
      </c>
      <c r="D26" s="478">
        <f t="shared" si="4"/>
        <v>10651.195796119999</v>
      </c>
      <c r="E26" s="478">
        <f t="shared" si="5"/>
        <v>291.5928133214075</v>
      </c>
      <c r="F26" s="478">
        <f t="shared" si="6"/>
        <v>1265.6609699912399</v>
      </c>
      <c r="G26" s="478">
        <f t="shared" si="7"/>
        <v>0</v>
      </c>
      <c r="H26" s="478">
        <f t="shared" si="8"/>
        <v>0</v>
      </c>
      <c r="I26" s="478">
        <f t="shared" si="9"/>
        <v>0</v>
      </c>
      <c r="J26" s="478">
        <f t="shared" si="10"/>
        <v>69.578657408179197</v>
      </c>
      <c r="K26" s="478">
        <f t="shared" si="11"/>
        <v>0</v>
      </c>
      <c r="L26" s="478">
        <f t="shared" si="12"/>
        <v>0</v>
      </c>
      <c r="M26" s="478">
        <f t="shared" si="13"/>
        <v>0</v>
      </c>
      <c r="N26" s="478">
        <f t="shared" si="14"/>
        <v>0</v>
      </c>
      <c r="O26" s="478">
        <f t="shared" si="15"/>
        <v>0</v>
      </c>
      <c r="P26" s="479">
        <f t="shared" si="16"/>
        <v>0</v>
      </c>
      <c r="Q26" s="477">
        <f t="shared" ca="1" si="17"/>
        <v>17636.176745875164</v>
      </c>
    </row>
    <row r="27" spans="1:17" s="483" customFormat="1">
      <c r="A27" s="481" t="s">
        <v>555</v>
      </c>
      <c r="B27" s="801">
        <f t="shared" ca="1" si="2"/>
        <v>4.1017109747188991</v>
      </c>
      <c r="C27" s="482">
        <f t="shared" ca="1" si="3"/>
        <v>0</v>
      </c>
      <c r="D27" s="482">
        <f t="shared" si="4"/>
        <v>13.820537722712235</v>
      </c>
      <c r="E27" s="482">
        <f t="shared" si="5"/>
        <v>12.16631404990353</v>
      </c>
      <c r="F27" s="482">
        <f t="shared" si="6"/>
        <v>0</v>
      </c>
      <c r="G27" s="482">
        <f t="shared" si="7"/>
        <v>5989.6091762783317</v>
      </c>
      <c r="H27" s="482">
        <f t="shared" si="8"/>
        <v>1276.4444123246969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7296.1421513503628</v>
      </c>
    </row>
    <row r="28" spans="1:17" ht="16.5" customHeight="1">
      <c r="A28" s="477" t="s">
        <v>545</v>
      </c>
      <c r="B28" s="478">
        <f t="shared" ca="1" si="2"/>
        <v>0</v>
      </c>
      <c r="C28" s="478">
        <f t="shared" ca="1" si="3"/>
        <v>0</v>
      </c>
      <c r="D28" s="478">
        <f t="shared" si="4"/>
        <v>0</v>
      </c>
      <c r="E28" s="478">
        <f t="shared" si="5"/>
        <v>0</v>
      </c>
      <c r="F28" s="478">
        <f t="shared" si="6"/>
        <v>0</v>
      </c>
      <c r="G28" s="478">
        <f t="shared" si="7"/>
        <v>270.11870102230682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270.11870102230682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105.97402002914835</v>
      </c>
      <c r="C32" s="478">
        <f t="shared" ca="1" si="3"/>
        <v>0</v>
      </c>
      <c r="D32" s="478">
        <f t="shared" si="4"/>
        <v>205.03559540000001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311.00961542914837</v>
      </c>
    </row>
    <row r="33" spans="1:17" s="489" customFormat="1">
      <c r="A33" s="487" t="s">
        <v>549</v>
      </c>
      <c r="B33" s="488">
        <f ca="1">SUM(B22:B32)</f>
        <v>11055.684779807036</v>
      </c>
      <c r="C33" s="488">
        <f t="shared" ref="C33:Q33" ca="1" si="19">SUM(C22:C32)</f>
        <v>0</v>
      </c>
      <c r="D33" s="488">
        <f t="shared" ca="1" si="19"/>
        <v>25505.334970420015</v>
      </c>
      <c r="E33" s="488">
        <f t="shared" si="19"/>
        <v>410.5545624475925</v>
      </c>
      <c r="F33" s="488">
        <f t="shared" ca="1" si="19"/>
        <v>1609.5375483778744</v>
      </c>
      <c r="G33" s="488">
        <f t="shared" si="19"/>
        <v>6259.7278773006383</v>
      </c>
      <c r="H33" s="488">
        <f t="shared" si="19"/>
        <v>1276.4444123246969</v>
      </c>
      <c r="I33" s="488">
        <f t="shared" si="19"/>
        <v>0</v>
      </c>
      <c r="J33" s="488">
        <f t="shared" si="19"/>
        <v>74.285009186661014</v>
      </c>
      <c r="K33" s="488">
        <f t="shared" si="19"/>
        <v>0</v>
      </c>
      <c r="L33" s="488">
        <f t="shared" ca="1" si="19"/>
        <v>0</v>
      </c>
      <c r="M33" s="488">
        <f t="shared" si="19"/>
        <v>0</v>
      </c>
      <c r="N33" s="488">
        <f t="shared" ca="1" si="19"/>
        <v>0</v>
      </c>
      <c r="O33" s="488">
        <f t="shared" si="19"/>
        <v>0</v>
      </c>
      <c r="P33" s="488">
        <f t="shared" si="19"/>
        <v>0</v>
      </c>
      <c r="Q33" s="488">
        <f t="shared" ca="1" si="19"/>
        <v>46191.569159864513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1212.1511030077888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1212.1511030077888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0.21577173090160404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0.21577173090160404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2019-08-12T08:37:39Z</dcterms:modified>
</cp:coreProperties>
</file>