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B75" i="14"/>
  <c r="B7" i="59" s="1"/>
  <c r="L78" i="14" l="1"/>
  <c r="L8" i="59"/>
  <c r="L10" s="1"/>
  <c r="K10"/>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C6" i="17" s="1"/>
  <c r="N92" i="18"/>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C9" s="1"/>
  <c r="D77" i="14" s="1"/>
  <c r="D9" i="59" s="1"/>
  <c r="O89" i="18"/>
  <c r="N89"/>
  <c r="B9" s="1"/>
  <c r="M89"/>
  <c r="W61"/>
  <c r="V61"/>
  <c r="U61"/>
  <c r="T61"/>
  <c r="S61"/>
  <c r="F6" i="17" s="1"/>
  <c r="R61" i="18"/>
  <c r="Q61"/>
  <c r="P61"/>
  <c r="D6" i="17" s="1"/>
  <c r="O61" i="18"/>
  <c r="N61"/>
  <c r="M61"/>
  <c r="W60"/>
  <c r="V60"/>
  <c r="U60"/>
  <c r="T60"/>
  <c r="S60"/>
  <c r="R60"/>
  <c r="Q60"/>
  <c r="P60"/>
  <c r="O60"/>
  <c r="N60"/>
  <c r="B13" i="15" s="1"/>
  <c r="M60" i="18"/>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B6"/>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E20"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O20" i="59"/>
  <c r="F30" i="48"/>
  <c r="F32"/>
  <c r="N30"/>
  <c r="N32"/>
  <c r="N20" i="59"/>
  <c r="F16" i="16"/>
  <c r="G20" i="59"/>
  <c r="C13" i="15"/>
  <c r="C16" s="1"/>
  <c r="L6" i="17"/>
  <c r="L5" s="1"/>
  <c r="D89" i="14"/>
  <c r="D19" i="59" s="1"/>
  <c r="O19" i="18"/>
  <c r="K10"/>
  <c r="N77" i="14"/>
  <c r="L10" i="18"/>
  <c r="O77" i="14"/>
  <c r="C89"/>
  <c r="C19" i="59" s="1"/>
  <c r="B89" i="14"/>
  <c r="B19" i="59" s="1"/>
  <c r="H16" i="14"/>
  <c r="B8" i="9"/>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J16" s="1"/>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J7" i="48"/>
  <c r="J25" s="1"/>
  <c r="P25"/>
  <c r="E5" i="17"/>
  <c r="C8"/>
  <c r="G25" i="48"/>
  <c r="I25"/>
  <c r="G90" i="14"/>
  <c r="D88"/>
  <c r="D18" i="59" s="1"/>
  <c r="H88" i="14"/>
  <c r="N90"/>
  <c r="F88"/>
  <c r="F18" i="59" s="1"/>
  <c r="E77" i="14"/>
  <c r="D20" i="18"/>
  <c r="L20"/>
  <c r="G77" i="14"/>
  <c r="E90"/>
  <c r="O90"/>
  <c r="F20" i="18"/>
  <c r="D11" i="14"/>
  <c r="C4" i="48"/>
  <c r="O18" i="18"/>
  <c r="G78" i="14" l="1"/>
  <c r="G9" i="59"/>
  <c r="G10" s="1"/>
  <c r="I33" i="48"/>
  <c r="K15"/>
  <c r="I15"/>
  <c r="J27" i="14"/>
  <c r="E78"/>
  <c r="E9" i="59"/>
  <c r="E10" s="1"/>
  <c r="O78" i="14"/>
  <c r="O9" i="59"/>
  <c r="O10" s="1"/>
  <c r="H90" i="14"/>
  <c r="H18" i="59"/>
  <c r="H20" s="1"/>
  <c r="H78" i="14"/>
  <c r="H9" i="59"/>
  <c r="H10" s="1"/>
  <c r="N78" i="14"/>
  <c r="N9" i="59"/>
  <c r="N10" s="1"/>
  <c r="M24" i="48"/>
  <c r="M32"/>
  <c r="K33"/>
  <c r="P22"/>
  <c r="L8"/>
  <c r="L22" i="16"/>
  <c r="M43" i="14" s="1"/>
  <c r="C17" i="18"/>
  <c r="C20" s="1"/>
  <c r="D10" i="14"/>
  <c r="B88"/>
  <c r="B18" i="59" s="1"/>
  <c r="C88" i="14"/>
  <c r="C18" i="59" s="1"/>
  <c r="B77" i="14"/>
  <c r="B9" i="59" s="1"/>
  <c r="J46" i="14"/>
  <c r="J61" s="1"/>
  <c r="C77"/>
  <c r="C9" i="59" s="1"/>
  <c r="L46" i="14"/>
  <c r="L61" s="1"/>
  <c r="L16"/>
  <c r="L27" s="1"/>
  <c r="B35" i="13"/>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B47" i="13"/>
  <c r="N12" i="16"/>
  <c r="J12"/>
  <c r="F12"/>
  <c r="E12"/>
  <c r="Q11" i="48"/>
  <c r="O5"/>
  <c r="R9" i="14"/>
  <c r="O29" i="48"/>
  <c r="H23"/>
  <c r="B46" i="13"/>
  <c r="E5" s="1"/>
  <c r="E8" s="1"/>
  <c r="E12" s="1"/>
  <c r="F41" i="14" s="1"/>
  <c r="L27" i="48"/>
  <c r="M30"/>
  <c r="M26"/>
  <c r="M25"/>
  <c r="C50" i="13"/>
  <c r="J5" s="1"/>
  <c r="J8" s="1"/>
  <c r="C5" i="48"/>
  <c r="F78" i="14" l="1"/>
  <c r="F8" i="59"/>
  <c r="F10" s="1"/>
  <c r="F90" i="14"/>
  <c r="F17" i="59"/>
  <c r="F20" s="1"/>
  <c r="E13" i="14"/>
  <c r="P15" i="48"/>
  <c r="P33"/>
  <c r="O8"/>
  <c r="O26" s="1"/>
  <c r="P13" i="14"/>
  <c r="P16" s="1"/>
  <c r="P27" s="1"/>
  <c r="E12" i="17"/>
  <c r="F54" i="14" s="1"/>
  <c r="F56" s="1"/>
  <c r="E7" i="48"/>
  <c r="E25" s="1"/>
  <c r="M28"/>
  <c r="C15"/>
  <c r="I8" i="18"/>
  <c r="I76" i="14" s="1"/>
  <c r="I8" i="59" s="1"/>
  <c r="I10" s="1"/>
  <c r="C8" i="1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I17"/>
  <c r="I87" i="14" s="1"/>
  <c r="E20" i="18"/>
  <c r="M87" i="14"/>
  <c r="M17" i="59" s="1"/>
  <c r="M20" s="1"/>
  <c r="H20" i="18"/>
  <c r="E20" i="14"/>
  <c r="E22" s="1"/>
  <c r="E18" i="22"/>
  <c r="F50" i="14" s="1"/>
  <c r="F52" s="1"/>
  <c r="E9" i="48"/>
  <c r="E10" i="14"/>
  <c r="E16" s="1"/>
  <c r="D5" i="48"/>
  <c r="I10" i="18"/>
  <c r="G58" i="22"/>
  <c r="H49" i="14" s="1"/>
  <c r="G10" i="48"/>
  <c r="G9"/>
  <c r="R18" i="14"/>
  <c r="Q13" i="48"/>
  <c r="I20" i="14"/>
  <c r="I22" s="1"/>
  <c r="I27" s="1"/>
  <c r="M18" i="22"/>
  <c r="N50" i="14" s="1"/>
  <c r="M9" i="48"/>
  <c r="M15" s="1"/>
  <c r="N20" i="14"/>
  <c r="B8" i="48"/>
  <c r="J63" i="14"/>
  <c r="L63"/>
  <c r="N20" i="15"/>
  <c r="O10" i="14"/>
  <c r="L5" i="48"/>
  <c r="M10" i="14"/>
  <c r="M16" s="1"/>
  <c r="F20" i="15"/>
  <c r="G10" i="14"/>
  <c r="C10"/>
  <c r="B5" i="48"/>
  <c r="Q63" i="14"/>
  <c r="N5" i="16"/>
  <c r="F5" i="48"/>
  <c r="E5" i="16"/>
  <c r="J5"/>
  <c r="C35" i="13"/>
  <c r="F5" i="16"/>
  <c r="C36" i="13"/>
  <c r="O23" i="48"/>
  <c r="N12" i="13"/>
  <c r="O41" i="14" s="1"/>
  <c r="O11"/>
  <c r="C38" i="13"/>
  <c r="C39"/>
  <c r="C32"/>
  <c r="C34"/>
  <c r="E4" i="48"/>
  <c r="E22" s="1"/>
  <c r="F11" i="14"/>
  <c r="J4" i="48"/>
  <c r="J12" i="13"/>
  <c r="K41" i="14" s="1"/>
  <c r="K11"/>
  <c r="N5" i="48"/>
  <c r="L20" i="15"/>
  <c r="J78" i="14" l="1"/>
  <c r="J8" i="59"/>
  <c r="J10" s="1"/>
  <c r="J5" i="48"/>
  <c r="J23" s="1"/>
  <c r="O15"/>
  <c r="E27" i="14"/>
  <c r="C10" i="18"/>
  <c r="D90" i="14"/>
  <c r="D17" i="59"/>
  <c r="D20" s="1"/>
  <c r="I90" i="14"/>
  <c r="I17" i="59"/>
  <c r="I20" s="1"/>
  <c r="J20" i="15"/>
  <c r="K40" i="14" s="1"/>
  <c r="B15" i="48"/>
  <c r="D15"/>
  <c r="O33"/>
  <c r="E27"/>
  <c r="G15"/>
  <c r="O17" i="18"/>
  <c r="O20" s="1"/>
  <c r="Q76" i="14"/>
  <c r="P8" i="59" s="1"/>
  <c r="P10" s="1"/>
  <c r="D78" i="14"/>
  <c r="B76"/>
  <c r="B8" i="59" s="1"/>
  <c r="B10" s="1"/>
  <c r="F23" i="48"/>
  <c r="L23"/>
  <c r="L33" s="1"/>
  <c r="L15"/>
  <c r="B20" i="6"/>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5" i="48"/>
  <c r="Q4"/>
  <c r="N23"/>
  <c r="R11" i="14"/>
  <c r="J22" i="48"/>
  <c r="R10" i="14"/>
  <c r="Q90" l="1"/>
  <c r="B17" i="6" s="1"/>
  <c r="P17" i="59"/>
  <c r="P20" s="1"/>
  <c r="B22" i="6"/>
  <c r="C17" i="49" s="1"/>
  <c r="J90" i="14"/>
  <c r="J17" i="59"/>
  <c r="J20" s="1"/>
  <c r="C18" i="15"/>
  <c r="C20" s="1"/>
  <c r="D40" i="14" s="1"/>
  <c r="C22" i="59"/>
  <c r="G33" i="48"/>
  <c r="Q9"/>
  <c r="H15"/>
  <c r="F22" i="16"/>
  <c r="G43" i="14" s="1"/>
  <c r="F8" i="48"/>
  <c r="F15" s="1"/>
  <c r="O13" i="14"/>
  <c r="O16" s="1"/>
  <c r="O27" s="1"/>
  <c r="C10" i="13"/>
  <c r="C12" s="1"/>
  <c r="C29" i="20"/>
  <c r="C17" i="19"/>
  <c r="C19" s="1"/>
  <c r="D39" i="14" s="1"/>
  <c r="C56" i="22"/>
  <c r="C58" s="1"/>
  <c r="D49" i="14" s="1"/>
  <c r="D52" s="1"/>
  <c r="C20" i="16"/>
  <c r="C22" s="1"/>
  <c r="D43" i="14" s="1"/>
  <c r="C87"/>
  <c r="B87"/>
  <c r="G46"/>
  <c r="G61" s="1"/>
  <c r="G63" s="1"/>
  <c r="Q78" s="1"/>
  <c r="B9" i="6" s="1"/>
  <c r="I52" i="14"/>
  <c r="I61" s="1"/>
  <c r="I63" s="1"/>
  <c r="F46"/>
  <c r="F61" s="1"/>
  <c r="M46"/>
  <c r="M61" s="1"/>
  <c r="M63" s="1"/>
  <c r="B3" i="6"/>
  <c r="N22" i="16"/>
  <c r="O43" i="14" s="1"/>
  <c r="E8" i="48"/>
  <c r="E26" s="1"/>
  <c r="E33" s="1"/>
  <c r="F13" i="14"/>
  <c r="J22" i="16"/>
  <c r="K43" i="14" s="1"/>
  <c r="J8" i="48"/>
  <c r="N26"/>
  <c r="N33" s="1"/>
  <c r="N63" i="14"/>
  <c r="H63"/>
  <c r="R20"/>
  <c r="R22" s="1"/>
  <c r="H27" i="48"/>
  <c r="H33" s="1"/>
  <c r="F26"/>
  <c r="F33" s="1"/>
  <c r="C90" i="14" l="1"/>
  <c r="C17" i="59"/>
  <c r="C20" s="1"/>
  <c r="C16" i="22"/>
  <c r="B90" i="14"/>
  <c r="B17" i="59"/>
  <c r="B20" s="1"/>
  <c r="C10" i="17"/>
  <c r="C12" s="1"/>
  <c r="D54" i="14" s="1"/>
  <c r="D56" s="1"/>
  <c r="J26" i="48"/>
  <c r="J33" s="1"/>
  <c r="J15"/>
  <c r="E15"/>
  <c r="C17"/>
  <c r="C24" s="1"/>
  <c r="D41" i="14"/>
  <c r="D46" s="1"/>
  <c r="O46"/>
  <c r="O61" s="1"/>
  <c r="O63" s="1"/>
  <c r="K46"/>
  <c r="K61" s="1"/>
  <c r="K63" s="1"/>
  <c r="F16"/>
  <c r="R13"/>
  <c r="R16" s="1"/>
  <c r="R27" s="1"/>
  <c r="Q8" i="48"/>
  <c r="Q15" s="1"/>
  <c r="D61" i="14" l="1"/>
  <c r="D63" s="1"/>
  <c r="C28" i="48"/>
  <c r="C30"/>
  <c r="C27"/>
  <c r="C29"/>
  <c r="C32"/>
  <c r="C25"/>
  <c r="C31"/>
  <c r="C26"/>
  <c r="C22"/>
  <c r="C23"/>
  <c r="F27" i="14"/>
  <c r="F63" s="1"/>
  <c r="C78"/>
  <c r="B78"/>
  <c r="B12" i="6" l="1"/>
  <c r="C55" i="14" s="1"/>
  <c r="R55" s="1"/>
  <c r="B4" i="6"/>
  <c r="C33" i="48"/>
  <c r="B56" i="22"/>
  <c r="B58" s="1"/>
  <c r="B10" i="17"/>
  <c r="B12" s="1"/>
  <c r="B16" i="22"/>
  <c r="B18" s="1"/>
  <c r="B18" i="15"/>
  <c r="B20" s="1"/>
  <c r="B10" i="13"/>
  <c r="B17" i="49"/>
  <c r="B19" s="1"/>
  <c r="B20" i="16" l="1"/>
  <c r="B22" s="1"/>
  <c r="B17" i="19"/>
  <c r="B19" s="1"/>
  <c r="C12" i="59"/>
  <c r="B29" i="20"/>
  <c r="B31" s="1"/>
  <c r="B10" i="9"/>
  <c r="B12" s="1"/>
  <c r="C54" i="14"/>
  <c r="R54" s="1"/>
  <c r="R56" s="1"/>
  <c r="C43"/>
  <c r="R43" s="1"/>
  <c r="C49"/>
  <c r="R49" s="1"/>
  <c r="C39"/>
  <c r="R39" s="1"/>
  <c r="C42"/>
  <c r="R42" s="1"/>
  <c r="C48"/>
  <c r="R48" s="1"/>
  <c r="C50"/>
  <c r="R50"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<sst xmlns="http://schemas.openxmlformats.org/spreadsheetml/2006/main" count="2393" uniqueCount="892">
  <si>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</si>
  <si>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</si>
  <si>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</si>
  <si>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</si>
  <si>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</si>
  <si>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</si>
  <si>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</si>
  <si>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</si>
  <si>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</si>
  <si>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</si>
  <si>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</si>
  <si>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</si>
  <si>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</si>
  <si>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</si>
  <si>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</si>
  <si>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</si>
  <si>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</si>
  <si>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</si>
  <si>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</si>
  <si>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</si>
  <si>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</si>
  <si>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</si>
  <si>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</si>
  <si>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</si>
  <si>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</si>
  <si>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</si>
  <si>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</si>
  <si>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</si>
  <si>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</si>
  <si>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</si>
  <si>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</si>
  <si>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</si>
  <si>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</si>
  <si>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</si>
  <si>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</si>
  <si>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</si>
  <si>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</si>
  <si>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</si>
  <si>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</si>
  <si>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</si>
  <si>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</si>
  <si>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</si>
  <si>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</si>
  <si>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</si>
  <si>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</si>
  <si>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</si>
  <si>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</si>
  <si>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</si>
  <si>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</si>
  <si>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</si>
  <si>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</si>
  <si>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</si>
  <si>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</si>
  <si>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</si>
  <si>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</si>
  <si>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</si>
  <si>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</si>
  <si>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</si>
  <si>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</si>
  <si>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</si>
  <si>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</si>
  <si>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</si>
  <si>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</si>
  <si>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</si>
  <si>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</si>
  <si>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</si>
  <si>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</si>
  <si>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</si>
  <si>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</si>
  <si>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</si>
  <si>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</si>
  <si>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</si>
  <si>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</si>
  <si>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</si>
  <si>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</si>
  <si>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</si>
  <si>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</si>
  <si>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</si>
  <si>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</si>
  <si>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</si>
  <si>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</si>
  <si>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</si>
  <si>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</si>
  <si>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</si>
  <si>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</si>
  <si>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</si>
  <si>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</si>
  <si>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</si>
  <si>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</si>
  <si>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</si>
  <si>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</si>
  <si>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</si>
  <si>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</si>
  <si>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</si>
  <si>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</si>
  <si>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</si>
  <si>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</si>
  <si>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</si>
  <si>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</si>
  <si>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</si>
  <si>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</si>
  <si>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</si>
  <si>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</si>
  <si>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</si>
  <si>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</si>
  <si>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</si>
  <si>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</si>
  <si>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</si>
  <si>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</si>
  <si>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</si>
  <si>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</si>
  <si>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</si>
  <si>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</si>
  <si>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</si>
  <si>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</si>
  <si>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</si>
  <si>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</si>
  <si>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</si>
  <si>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</si>
  <si>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</si>
  <si>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</si>
  <si>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</si>
  <si>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</si>
  <si>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</si>
  <si>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</si>
  <si>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</si>
  <si>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</si>
  <si>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</si>
  <si>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</si>
  <si>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</si>
  <si>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</si>
  <si>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</si>
  <si>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</si>
  <si>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</si>
  <si>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</si>
  <si>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</si>
  <si>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</si>
  <si>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</si>
  <si>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</si>
  <si>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</si>
  <si>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</si>
  <si>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</si>
  <si>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</si>
  <si>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</si>
  <si>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</si>
  <si>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</si>
  <si>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</si>
  <si>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</si>
  <si>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</si>
  <si>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</si>
  <si>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</si>
  <si>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</si>
  <si>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</si>
  <si>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</si>
  <si>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</si>
  <si>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</si>
  <si>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</si>
  <si>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</si>
  <si>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</si>
  <si>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</si>
  <si>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</si>
  <si>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</si>
  <si>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</si>
  <si>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</si>
  <si>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</si>
  <si>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</si>
  <si>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</si>
  <si>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</si>
  <si>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</si>
  <si>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</si>
  <si>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</si>
  <si>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</si>
  <si>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</si>
  <si>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</si>
  <si>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</si>
  <si>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</si>
  <si>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</si>
  <si>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</si>
  <si>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</si>
  <si>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</si>
  <si>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</si>
  <si>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</si>
  <si>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</si>
  <si>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</si>
  <si>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</si>
  <si>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</si>
  <si>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</si>
  <si>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</si>
  <si>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</si>
  <si>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</si>
  <si>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</si>
  <si>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</si>
  <si>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</si>
  <si>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</si>
  <si>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</si>
  <si>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</si>
  <si>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</si>
  <si>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</si>
  <si>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</si>
  <si>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</si>
  <si>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</si>
  <si>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</si>
  <si>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</si>
  <si>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</si>
  <si>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</si>
  <si>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</si>
  <si>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</si>
  <si>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</si>
  <si>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</si>
  <si>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</si>
  <si>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</si>
  <si>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</si>
  <si>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</si>
  <si>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</si>
  <si>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</si>
  <si>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</si>
  <si>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</si>
  <si>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</si>
  <si>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</si>
  <si>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</si>
  <si>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</si>
  <si>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</si>
  <si>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</si>
  <si>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</si>
  <si>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</si>
  <si>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</si>
  <si>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</si>
  <si>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</si>
  <si>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</si>
  <si>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</si>
  <si>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</si>
  <si>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</si>
  <si>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</si>
  <si>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</si>
  <si>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</si>
  <si>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</si>
  <si>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</si>
  <si>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</si>
  <si>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</si>
  <si>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</si>
  <si>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</si>
  <si>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</si>
  <si>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</si>
  <si>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</si>
  <si>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</si>
  <si>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</si>
  <si>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</si>
  <si>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</si>
  <si>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</si>
  <si>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</si>
  <si>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</si>
  <si>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</si>
  <si>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</si>
  <si>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</si>
  <si>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</si>
  <si>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</si>
  <si>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</si>
  <si>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</si>
  <si>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</si>
  <si>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</si>
  <si>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</si>
  <si>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</si>
  <si>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</si>
  <si>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</si>
  <si>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</si>
  <si>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</si>
  <si>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</si>
  <si>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</si>
  <si>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</si>
  <si>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</si>
  <si>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</si>
  <si>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</si>
  <si>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</si>
  <si>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</si>
  <si>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</si>
  <si>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</si>
  <si>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</si>
  <si>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</si>
  <si>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</si>
  <si>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</si>
  <si>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</si>
  <si>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</si>
  <si>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</si>
  <si>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</si>
  <si>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</si>
  <si>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</si>
  <si>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</si>
  <si>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</si>
  <si>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</si>
  <si>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</si>
  <si>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</si>
  <si>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</si>
  <si>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</si>
  <si>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</si>
  <si>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</si>
  <si>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</si>
  <si>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</si>
  <si>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</si>
  <si>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</si>
  <si>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</si>
  <si>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</si>
  <si>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</si>
  <si>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</si>
  <si>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</si>
  <si>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</si>
  <si>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</si>
  <si>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</si>
  <si>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</si>
  <si>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</si>
  <si>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</si>
  <si>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</si>
  <si>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</si>
  <si>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</si>
  <si>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</si>
  <si>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</si>
  <si>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</si>
  <si>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</si>
  <si>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</si>
  <si>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</si>
  <si>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</si>
  <si>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</si>
  <si>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</si>
  <si>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</si>
  <si>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</si>
  <si>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</si>
  <si>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</si>
  <si>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</si>
  <si>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</si>
  <si>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</si>
  <si>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</si>
  <si>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</si>
  <si>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</si>
  <si>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</si>
  <si>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</si>
  <si>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</si>
  <si>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</si>
  <si>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</si>
  <si>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</si>
  <si>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</si>
  <si>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</si>
  <si>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</si>
  <si>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</si>
  <si>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</si>
  <si>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</si>
  <si>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</si>
  <si>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</si>
  <si>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</si>
  <si>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</si>
  <si>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</si>
  <si>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</si>
  <si>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</si>
  <si>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</si>
  <si>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</si>
  <si>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</si>
  <si>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</si>
  <si>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</si>
  <si>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</si>
  <si>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</si>
  <si>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</si>
  <si>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</si>
  <si>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</si>
  <si>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</si>
  <si>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</si>
  <si>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</si>
  <si>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</si>
  <si>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</si>
  <si>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</si>
  <si>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</si>
  <si>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</si>
  <si>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</si>
  <si>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</si>
  <si>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</si>
  <si>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</si>
  <si>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</si>
  <si>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</si>
  <si>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</si>
  <si>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</si>
  <si>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</si>
  <si>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</si>
  <si>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</si>
  <si>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</si>
  <si>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</si>
  <si>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</si>
  <si>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</si>
  <si>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</si>
  <si>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</si>
  <si>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</si>
  <si>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</si>
  <si>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</si>
  <si>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</si>
  <si>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</si>
  <si>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</si>
  <si>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</si>
  <si>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</si>
  <si>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</si>
  <si>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</si>
  <si>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</si>
  <si>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</si>
  <si>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</si>
  <si>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</si>
  <si>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</si>
  <si>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</si>
  <si>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</si>
  <si>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</si>
  <si>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</si>
  <si>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</si>
  <si>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</si>
  <si>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</si>
  <si>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</si>
  <si>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</si>
  <si>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</si>
  <si>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</si>
  <si>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</si>
  <si>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</si>
  <si>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</si>
  <si>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</si>
  <si>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</si>
  <si>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</si>
  <si>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</si>
  <si>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</si>
  <si>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</si>
  <si>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</si>
  <si>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</si>
  <si>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</si>
  <si>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</si>
  <si>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</si>
  <si>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</si>
  <si>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</si>
  <si>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</si>
  <si>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</si>
  <si>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</si>
  <si>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</si>
  <si>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</si>
  <si>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</si>
  <si>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</si>
  <si>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</si>
  <si>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</si>
  <si>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</si>
  <si>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</si>
  <si>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</si>
  <si>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</si>
  <si>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</si>
  <si>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</si>
  <si>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</si>
  <si>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</si>
  <si>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</si>
  <si>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</si>
  <si>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</si>
  <si>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</si>
  <si>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</si>
  <si>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</si>
  <si>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</si>
  <si>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</si>
  <si>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</si>
  <si>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</si>
  <si>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</si>
  <si>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</si>
  <si>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</si>
  <si>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</si>
  <si>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</si>
  <si>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</si>
  <si>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</si>
  <si>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</si>
  <si>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</si>
  <si>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</si>
  <si>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</si>
  <si>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</si>
  <si>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</si>
  <si>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</si>
  <si>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</si>
  <si>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</si>
  <si>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</si>
  <si>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</si>
  <si>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</si>
  <si>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</si>
  <si>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</si>
  <si>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</si>
  <si>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</si>
  <si>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</si>
  <si>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</si>
  <si>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</si>
  <si>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</si>
  <si>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</si>
  <si>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</si>
  <si>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</si>
  <si>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</si>
  <si>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</si>
  <si>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</si>
  <si>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</si>
  <si>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</si>
  <si>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</si>
  <si>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</si>
  <si>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</si>
  <si>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</si>
  <si>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</si>
  <si>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</si>
  <si>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</si>
  <si>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</si>
  <si>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</si>
  <si>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</si>
  <si>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</si>
  <si>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</si>
  <si>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</si>
  <si>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</si>
  <si>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</si>
  <si>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</si>
  <si>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</si>
  <si>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</si>
  <si>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</si>
  <si>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</si>
  <si>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</si>
  <si>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</si>
  <si>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</si>
  <si>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</si>
  <si>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</si>
  <si>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</si>
  <si>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</si>
  <si>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</si>
  <si>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</si>
  <si>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</si>
  <si>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</si>
  <si>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</si>
  <si>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</si>
  <si>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</si>
  <si>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</si>
  <si>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</si>
  <si>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</si>
  <si>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</si>
  <si>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</si>
  <si>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</si>
  <si>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</si>
  <si>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</si>
  <si>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</si>
  <si>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</si>
  <si>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</si>
  <si>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</si>
  <si>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</si>
  <si>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</si>
  <si>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</si>
  <si>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</si>
  <si>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</si>
  <si>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</si>
  <si>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</si>
  <si>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</si>
  <si>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</si>
  <si>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</si>
  <si>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</si>
  <si>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</si>
  <si>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</si>
  <si>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</si>
  <si>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</si>
  <si>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</si>
  <si>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</si>
  <si>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</si>
  <si>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</si>
  <si>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</si>
  <si>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</si>
  <si>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</si>
  <si>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</si>
  <si>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</si>
  <si>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</si>
  <si>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</si>
  <si>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</si>
  <si>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</si>
  <si>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</si>
  <si>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</si>
  <si>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</si>
  <si>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</si>
  <si>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</si>
  <si>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</si>
  <si>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</si>
  <si>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</si>
  <si>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</si>
  <si>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</si>
  <si>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</si>
  <si>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</si>
  <si>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</si>
  <si>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</si>
  <si>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</si>
  <si>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</si>
  <si>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</si>
  <si>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</si>
  <si>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</si>
  <si>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</si>
  <si>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</si>
  <si>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</si>
  <si>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</si>
  <si>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</si>
  <si>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</si>
  <si>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</si>
  <si>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</si>
  <si>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</si>
  <si>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</si>
  <si>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</si>
  <si>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</si>
  <si>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</si>
  <si>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</si>
  <si>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</si>
  <si>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</si>
  <si>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</si>
  <si>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</si>
  <si>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</si>
  <si>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</si>
  <si>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</si>
  <si>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</si>
  <si>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</si>
  <si>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</si>
  <si>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</si>
  <si>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</si>
  <si>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</si>
  <si>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</si>
  <si>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</si>
  <si>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</si>
  <si>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</si>
  <si>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</si>
  <si>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</si>
  <si>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</si>
  <si>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</si>
  <si>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</si>
  <si>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</si>
  <si>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</si>
  <si>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</si>
  <si>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</si>
  <si>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</si>
  <si>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</si>
  <si>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</si>
  <si>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</si>
  <si>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</si>
  <si>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</si>
  <si>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</si>
  <si>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</si>
  <si>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</si>
  <si>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</si>
  <si>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</si>
  <si>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</si>
  <si>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</si>
  <si>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</si>
  <si>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</si>
  <si>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</si>
  <si>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</si>
  <si>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</si>
  <si>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</si>
  <si>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</si>
  <si>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</si>
  <si>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</si>
  <si>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</si>
  <si>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</si>
  <si>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</si>
  <si>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</si>
  <si>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</si>
  <si>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</si>
  <si>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</si>
  <si>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</si>
  <si>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</si>
  <si>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</si>
  <si>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</si>
  <si>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</si>
  <si>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</si>
  <si>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</si>
  <si>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</si>
  <si>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</si>
  <si>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</si>
  <si>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</si>
  <si>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</si>
  <si>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</si>
  <si>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</si>
  <si>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</si>
  <si>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</si>
  <si>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</si>
  <si>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</si>
  <si>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</si>
  <si>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</si>
  <si>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</si>
  <si>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</si>
  <si>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</si>
  <si>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</si>
  <si>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</si>
  <si>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</si>
  <si>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</si>
  <si>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</si>
  <si>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</si>
  <si>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</si>
  <si>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</si>
  <si>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</si>
  <si>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</si>
  <si>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</si>
  <si>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</si>
  <si>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</si>
  <si>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</si>
  <si>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</si>
  <si>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</si>
  <si>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</si>
  <si>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</si>
  <si>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</si>
  <si>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</si>
  <si>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</si>
  <si>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</si>
  <si>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</si>
  <si>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</si>
  <si>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</si>
  <si>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</si>
  <si>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</si>
  <si>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</si>
  <si>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</si>
  <si>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</si>
  <si>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</si>
  <si>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</si>
  <si>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</si>
  <si>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</si>
  <si>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</si>
  <si>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</si>
  <si>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</si>
  <si>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</si>
  <si>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</si>
  <si>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</si>
  <si>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</si>
  <si>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</si>
  <si>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</si>
  <si>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</si>
  <si>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</si>
  <si>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</si>
  <si>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</si>
  <si>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</si>
  <si>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</si>
  <si>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</si>
  <si>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</si>
  <si>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</si>
  <si>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</si>
  <si>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</si>
  <si>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</si>
  <si>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</si>
  <si>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</si>
  <si>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</si>
  <si>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</si>
  <si>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</si>
  <si>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</si>
  <si>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</si>
  <si>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</si>
  <si>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</si>
  <si>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</si>
  <si>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</si>
  <si>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</si>
  <si>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</si>
  <si>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</si>
  <si>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</si>
  <si>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</si>
  <si>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</si>
  <si>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</si>
  <si>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</si>
  <si>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</si>
  <si>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</si>
  <si>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</si>
  <si>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</si>
  <si>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</si>
  <si>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</si>
  <si>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</si>
  <si>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</si>
  <si>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</si>
  <si>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</si>
  <si>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</si>
  <si>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</si>
  <si>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</si>
  <si>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</si>
  <si>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</si>
  <si>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</si>
  <si>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</si>
  <si>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</si>
  <si>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</si>
  <si>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</si>
  <si>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</si>
  <si>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</si>
  <si>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</si>
  <si>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</si>
  <si>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</si>
  <si>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</si>
  <si>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</si>
  <si>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</si>
  <si>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</si>
  <si>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</si>
  <si>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</si>
  <si>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</si>
  <si>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</si>
  <si>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</si>
  <si>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</si>
  <si>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</si>
  <si>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</si>
  <si>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</si>
  <si>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</si>
  <si>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</si>
  <si>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</si>
  <si>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</si>
  <si>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</si>
  <si>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</si>
  <si>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</si>
  <si>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</si>
  <si>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</si>
  <si>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</si>
  <si>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</si>
  <si>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</si>
  <si>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</si>
  <si>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</si>
  <si>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</si>
  <si>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</si>
  <si>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</si>
  <si>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</si>
  <si>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</si>
  <si>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</si>
  <si>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</si>
  <si>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</si>
  <si>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</si>
  <si>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</si>
  <si>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</si>
  <si>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</si>
  <si>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</si>
  <si>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</si>
  <si>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</si>
  <si>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</si>
  <si>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</si>
  <si>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</si>
  <si>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</si>
  <si>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</si>
  <si>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</si>
  <si>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</si>
  <si>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</si>
  <si>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</si>
  <si>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</si>
  <si>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</si>
  <si>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</si>
  <si>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</si>
  <si>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</si>
  <si>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</si>
  <si>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</si>
  <si>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</si>
  <si>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</si>
  <si>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</si>
  <si>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</si>
  <si>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</si>
  <si>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</si>
  <si>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</si>
  <si>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</si>
  <si>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</si>
  <si>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</si>
  <si>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</si>
  <si>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</si>
  <si>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</si>
  <si>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</si>
  <si>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</si>
  <si>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</si>
  <si>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</si>
  <si>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</si>
  <si>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</si>
  <si>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</si>
  <si>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</si>
  <si>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</si>
  <si>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</si>
  <si>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</si>
  <si>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</si>
  <si>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</si>
  <si>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</si>
  <si>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</si>
  <si>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</si>
  <si>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</si>
  <si>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</si>
  <si>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</si>
  <si>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</si>
  <si>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</si>
  <si>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</si>
  <si>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</si>
  <si>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</si>
  <si>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</si>
  <si>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</si>
  <si>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</si>
  <si>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</si>
  <si>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</si>
  <si>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</si>
  <si>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</si>
  <si>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</si>
  <si>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</si>
  <si>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11013</t>
  </si>
  <si>
    <t>EDEGEM</t>
  </si>
  <si>
    <t>Mestbank (maart 2019)</t>
  </si>
  <si>
    <t>Fluvius (februari 2019)</t>
  </si>
  <si>
    <t>referentietaak LNE (2017); Jaarverslag De Lijn (2018)</t>
  </si>
  <si>
    <t>VEA (30 april 2019)</t>
  </si>
  <si>
    <t>VEA (mei 2018)</t>
  </si>
  <si>
    <t>VEA (mei 2019)</t>
  </si>
  <si>
    <t>Universitair Ziekenhuis Antwerpen izw</t>
  </si>
  <si>
    <t>Wilrijkstraat 10 , 2650 Edegem</t>
  </si>
  <si>
    <t>WKK-0472 Universitair Ziekenhuis Antwerpen</t>
  </si>
  <si>
    <t>interne verbrandingsmotor</t>
  </si>
  <si>
    <t>WKK interne verbrandinsgmotor (gas)</t>
  </si>
  <si>
    <t>IVEKA</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</si>
</sst>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150151.63059910462</c:v>
                </c:pt>
                <c:pt idx="1">
                  <c:v>106533.89993041822</c:v>
                </c:pt>
                <c:pt idx="2">
                  <c:v>893.78300000000002</c:v>
                </c:pt>
                <c:pt idx="3">
                  <c:v>2536.4888259316303</c:v>
                </c:pt>
                <c:pt idx="4">
                  <c:v>26660.924951071258</c:v>
                </c:pt>
                <c:pt idx="5">
                  <c:v>121886.96681511798</c:v>
                </c:pt>
                <c:pt idx="6">
                  <c:v>2636.7145752127144</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162176"/>
        <c:axId val="182163712"/>
      </c:barChart>
      <c:catAx>
        <c:axId val="182162176"/>
        <c:scaling>
          <c:orientation val="minMax"/>
        </c:scaling>
        <c:axPos val="b"/>
        <c:numFmt formatCode="General" sourceLinked="0"/>
        <c:tickLblPos val="nextTo"/>
        <c:crossAx val="182163712"/>
        <c:crosses val="autoZero"/>
        <c:auto val="1"/>
        <c:lblAlgn val="ctr"/>
        <c:lblOffset val="100"/>
      </c:catAx>
      <c:valAx>
        <c:axId val="182163712"/>
        <c:scaling>
          <c:orientation val="minMax"/>
        </c:scaling>
        <c:axPos val="l"/>
        <c:majorGridlines/>
        <c:numFmt formatCode="#,##0" sourceLinked="1"/>
        <c:tickLblPos val="nextTo"/>
        <c:crossAx val="18216217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150151.63059910462</c:v>
                </c:pt>
                <c:pt idx="1">
                  <c:v>106533.89993041822</c:v>
                </c:pt>
                <c:pt idx="2">
                  <c:v>893.78300000000002</c:v>
                </c:pt>
                <c:pt idx="3">
                  <c:v>2536.4888259316303</c:v>
                </c:pt>
                <c:pt idx="4">
                  <c:v>26660.924951071258</c:v>
                </c:pt>
                <c:pt idx="5">
                  <c:v>121886.96681511798</c:v>
                </c:pt>
                <c:pt idx="6">
                  <c:v>2636.7145752127144</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30616.84523965737</c:v>
                </c:pt>
                <c:pt idx="1">
                  <c:v>22331.57198168887</c:v>
                </c:pt>
                <c:pt idx="2">
                  <c:v>194.28460604614162</c:v>
                </c:pt>
                <c:pt idx="3">
                  <c:v>645.14982788743907</c:v>
                </c:pt>
                <c:pt idx="4">
                  <c:v>5685.5254619530515</c:v>
                </c:pt>
                <c:pt idx="5">
                  <c:v>30290.791331252243</c:v>
                </c:pt>
                <c:pt idx="6">
                  <c:v>666.93449837013429</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2590848"/>
        <c:axId val="182629504"/>
      </c:barChart>
      <c:catAx>
        <c:axId val="182590848"/>
        <c:scaling>
          <c:orientation val="minMax"/>
        </c:scaling>
        <c:axPos val="b"/>
        <c:numFmt formatCode="General" sourceLinked="0"/>
        <c:tickLblPos val="nextTo"/>
        <c:crossAx val="182629504"/>
        <c:crosses val="autoZero"/>
        <c:auto val="1"/>
        <c:lblAlgn val="ctr"/>
        <c:lblOffset val="100"/>
      </c:catAx>
      <c:valAx>
        <c:axId val="182629504"/>
        <c:scaling>
          <c:orientation val="minMax"/>
        </c:scaling>
        <c:axPos val="l"/>
        <c:majorGridlines/>
        <c:numFmt formatCode="#,##0" sourceLinked="1"/>
        <c:tickLblPos val="nextTo"/>
        <c:crossAx val="18259084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30616.84523965737</c:v>
                </c:pt>
                <c:pt idx="1">
                  <c:v>22331.57198168887</c:v>
                </c:pt>
                <c:pt idx="2">
                  <c:v>194.28460604614162</c:v>
                </c:pt>
                <c:pt idx="3">
                  <c:v>645.14982788743907</c:v>
                </c:pt>
                <c:pt idx="4">
                  <c:v>5685.5254619530515</c:v>
                </c:pt>
                <c:pt idx="5">
                  <c:v>30290.791331252243</c:v>
                </c:pt>
                <c:pt idx="6">
                  <c:v>666.93449837013429</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11013</v>
      </c>
      <c r="B6" s="415"/>
      <c r="C6" s="416"/>
    </row>
    <row r="7" spans="1:7" s="413" customFormat="1" ht="15.75" customHeight="1">
      <c r="A7" s="417" t="str">
        <f>txtMunicipality</f>
        <v>EDEGEM</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0.21737335130131319</v>
      </c>
      <c r="C17" s="527">
        <f ca="1">'EF ele_warmte'!B22</f>
        <v>0.23764705882352949</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0.21737335130131319</v>
      </c>
      <c r="C29" s="528">
        <f ca="1">'EF ele_warmte'!B22</f>
        <v>0.23764705882352949</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11013</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9601</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122.61</v>
      </c>
    </row>
    <row r="15" spans="1:6">
      <c r="A15" s="348" t="s">
        <v>183</v>
      </c>
      <c r="B15" s="334">
        <v>2</v>
      </c>
    </row>
    <row r="16" spans="1:6">
      <c r="A16" s="348" t="s">
        <v>6</v>
      </c>
      <c r="B16" s="334">
        <v>77</v>
      </c>
    </row>
    <row r="17" spans="1:6">
      <c r="A17" s="348" t="s">
        <v>7</v>
      </c>
      <c r="B17" s="334">
        <v>0</v>
      </c>
    </row>
    <row r="18" spans="1:6">
      <c r="A18" s="348" t="s">
        <v>8</v>
      </c>
      <c r="B18" s="334">
        <v>27</v>
      </c>
    </row>
    <row r="19" spans="1:6">
      <c r="A19" s="348" t="s">
        <v>9</v>
      </c>
      <c r="B19" s="334">
        <v>29</v>
      </c>
    </row>
    <row r="20" spans="1:6">
      <c r="A20" s="348" t="s">
        <v>10</v>
      </c>
      <c r="B20" s="334">
        <v>80</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0</v>
      </c>
    </row>
    <row r="27" spans="1:6">
      <c r="A27" s="348" t="s">
        <v>17</v>
      </c>
      <c r="B27" s="334">
        <v>0</v>
      </c>
    </row>
    <row r="28" spans="1:6" s="356" customFormat="1">
      <c r="A28" s="355" t="s">
        <v>18</v>
      </c>
      <c r="B28" s="355">
        <v>0</v>
      </c>
    </row>
    <row r="29" spans="1:6">
      <c r="A29" s="355" t="s">
        <v>713</v>
      </c>
      <c r="B29" s="355">
        <v>0</v>
      </c>
      <c r="C29" s="356"/>
      <c r="D29" s="356"/>
      <c r="E29" s="356"/>
      <c r="F29" s="356"/>
    </row>
    <row r="30" spans="1:6">
      <c r="A30" s="341" t="s">
        <v>714</v>
      </c>
      <c r="B30" s="341">
        <v>0</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0</v>
      </c>
      <c r="F36" s="334">
        <v>0</v>
      </c>
    </row>
    <row r="37" spans="1:6">
      <c r="A37" s="348" t="s">
        <v>24</v>
      </c>
      <c r="B37" s="348" t="s">
        <v>27</v>
      </c>
      <c r="C37" s="334">
        <v>0</v>
      </c>
      <c r="D37" s="334">
        <v>0</v>
      </c>
      <c r="E37" s="334">
        <v>0</v>
      </c>
      <c r="F37" s="334">
        <v>0</v>
      </c>
    </row>
    <row r="38" spans="1:6">
      <c r="A38" s="348" t="s">
        <v>24</v>
      </c>
      <c r="B38" s="348" t="s">
        <v>28</v>
      </c>
      <c r="C38" s="334">
        <v>0</v>
      </c>
      <c r="D38" s="334">
        <v>0</v>
      </c>
      <c r="E38" s="334">
        <v>0</v>
      </c>
      <c r="F38" s="334">
        <v>0</v>
      </c>
    </row>
    <row r="39" spans="1:6">
      <c r="A39" s="348" t="s">
        <v>29</v>
      </c>
      <c r="B39" s="348" t="s">
        <v>30</v>
      </c>
      <c r="C39" s="334">
        <v>8081</v>
      </c>
      <c r="D39" s="334">
        <v>122536776.59999999</v>
      </c>
      <c r="E39" s="334">
        <v>9694</v>
      </c>
      <c r="F39" s="334">
        <v>30322878.329999998</v>
      </c>
    </row>
    <row r="40" spans="1:6">
      <c r="A40" s="348" t="s">
        <v>29</v>
      </c>
      <c r="B40" s="348" t="s">
        <v>28</v>
      </c>
      <c r="C40" s="334">
        <v>1</v>
      </c>
      <c r="D40" s="334">
        <v>41657.919999999998</v>
      </c>
      <c r="E40" s="334">
        <v>1</v>
      </c>
      <c r="F40" s="334">
        <v>3989.174</v>
      </c>
    </row>
    <row r="41" spans="1:6">
      <c r="A41" s="348" t="s">
        <v>31</v>
      </c>
      <c r="B41" s="348" t="s">
        <v>32</v>
      </c>
      <c r="C41" s="334">
        <v>23</v>
      </c>
      <c r="D41" s="334">
        <v>2254985.3829999999</v>
      </c>
      <c r="E41" s="334">
        <v>46</v>
      </c>
      <c r="F41" s="334">
        <v>1779460.379</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0</v>
      </c>
      <c r="D44" s="334">
        <v>0</v>
      </c>
      <c r="E44" s="334">
        <v>0</v>
      </c>
      <c r="F44" s="334">
        <v>0</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0</v>
      </c>
      <c r="D47" s="334">
        <v>0</v>
      </c>
      <c r="E47" s="334">
        <v>0</v>
      </c>
      <c r="F47" s="334">
        <v>0</v>
      </c>
    </row>
    <row r="48" spans="1:6">
      <c r="A48" s="348" t="s">
        <v>31</v>
      </c>
      <c r="B48" s="348" t="s">
        <v>28</v>
      </c>
      <c r="C48" s="334">
        <v>22</v>
      </c>
      <c r="D48" s="334">
        <v>9306244.2789999992</v>
      </c>
      <c r="E48" s="334">
        <v>26</v>
      </c>
      <c r="F48" s="334">
        <v>8703776.3570000008</v>
      </c>
    </row>
    <row r="49" spans="1:6">
      <c r="A49" s="348" t="s">
        <v>31</v>
      </c>
      <c r="B49" s="348" t="s">
        <v>39</v>
      </c>
      <c r="C49" s="334">
        <v>0</v>
      </c>
      <c r="D49" s="334">
        <v>0</v>
      </c>
      <c r="E49" s="334">
        <v>0</v>
      </c>
      <c r="F49" s="334">
        <v>0</v>
      </c>
    </row>
    <row r="50" spans="1:6">
      <c r="A50" s="348" t="s">
        <v>31</v>
      </c>
      <c r="B50" s="348" t="s">
        <v>40</v>
      </c>
      <c r="C50" s="334">
        <v>6</v>
      </c>
      <c r="D50" s="334">
        <v>840831.88899999997</v>
      </c>
      <c r="E50" s="334">
        <v>14</v>
      </c>
      <c r="F50" s="334">
        <v>470872.34499999997</v>
      </c>
    </row>
    <row r="51" spans="1:6">
      <c r="A51" s="348" t="s">
        <v>41</v>
      </c>
      <c r="B51" s="348" t="s">
        <v>42</v>
      </c>
      <c r="C51" s="334">
        <v>3</v>
      </c>
      <c r="D51" s="334">
        <v>85628.046000000002</v>
      </c>
      <c r="E51" s="334">
        <v>6</v>
      </c>
      <c r="F51" s="334">
        <v>16419.127</v>
      </c>
    </row>
    <row r="52" spans="1:6">
      <c r="A52" s="348" t="s">
        <v>41</v>
      </c>
      <c r="B52" s="348" t="s">
        <v>28</v>
      </c>
      <c r="C52" s="334">
        <v>2</v>
      </c>
      <c r="D52" s="334">
        <v>249987.64799999999</v>
      </c>
      <c r="E52" s="334">
        <v>4</v>
      </c>
      <c r="F52" s="334">
        <v>445023.36900000001</v>
      </c>
    </row>
    <row r="53" spans="1:6">
      <c r="A53" s="348" t="s">
        <v>43</v>
      </c>
      <c r="B53" s="348" t="s">
        <v>44</v>
      </c>
      <c r="C53" s="334">
        <v>205</v>
      </c>
      <c r="D53" s="334">
        <v>3446751.952</v>
      </c>
      <c r="E53" s="334">
        <v>484</v>
      </c>
      <c r="F53" s="334">
        <v>1070444.452</v>
      </c>
    </row>
    <row r="54" spans="1:6">
      <c r="A54" s="348" t="s">
        <v>45</v>
      </c>
      <c r="B54" s="348" t="s">
        <v>46</v>
      </c>
      <c r="C54" s="334">
        <v>0</v>
      </c>
      <c r="D54" s="334">
        <v>0</v>
      </c>
      <c r="E54" s="334">
        <v>1</v>
      </c>
      <c r="F54" s="334">
        <v>893783</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51</v>
      </c>
      <c r="D57" s="334">
        <v>4777480.3030000003</v>
      </c>
      <c r="E57" s="334">
        <v>68</v>
      </c>
      <c r="F57" s="334">
        <v>2271586.8769999999</v>
      </c>
    </row>
    <row r="58" spans="1:6">
      <c r="A58" s="348" t="s">
        <v>48</v>
      </c>
      <c r="B58" s="348" t="s">
        <v>50</v>
      </c>
      <c r="C58" s="334">
        <v>68</v>
      </c>
      <c r="D58" s="334">
        <v>40710054.109999999</v>
      </c>
      <c r="E58" s="334">
        <v>76</v>
      </c>
      <c r="F58" s="334">
        <v>13448739.369999999</v>
      </c>
    </row>
    <row r="59" spans="1:6">
      <c r="A59" s="348" t="s">
        <v>48</v>
      </c>
      <c r="B59" s="348" t="s">
        <v>51</v>
      </c>
      <c r="C59" s="334">
        <v>81</v>
      </c>
      <c r="D59" s="334">
        <v>4291154.8470000001</v>
      </c>
      <c r="E59" s="334">
        <v>135</v>
      </c>
      <c r="F59" s="334">
        <v>4623699.1770000001</v>
      </c>
    </row>
    <row r="60" spans="1:6">
      <c r="A60" s="348" t="s">
        <v>48</v>
      </c>
      <c r="B60" s="348" t="s">
        <v>52</v>
      </c>
      <c r="C60" s="334">
        <v>42</v>
      </c>
      <c r="D60" s="334">
        <v>3347550.0380000002</v>
      </c>
      <c r="E60" s="334">
        <v>53</v>
      </c>
      <c r="F60" s="334">
        <v>1534657.166</v>
      </c>
    </row>
    <row r="61" spans="1:6">
      <c r="A61" s="348" t="s">
        <v>48</v>
      </c>
      <c r="B61" s="348" t="s">
        <v>53</v>
      </c>
      <c r="C61" s="334">
        <v>327</v>
      </c>
      <c r="D61" s="334">
        <v>18572095.52</v>
      </c>
      <c r="E61" s="334">
        <v>668</v>
      </c>
      <c r="F61" s="334">
        <v>6821538.2039999999</v>
      </c>
    </row>
    <row r="62" spans="1:6">
      <c r="A62" s="348" t="s">
        <v>48</v>
      </c>
      <c r="B62" s="348" t="s">
        <v>54</v>
      </c>
      <c r="C62" s="334">
        <v>18</v>
      </c>
      <c r="D62" s="334">
        <v>1801520.898</v>
      </c>
      <c r="E62" s="334">
        <v>21</v>
      </c>
      <c r="F62" s="334">
        <v>442763.99099999998</v>
      </c>
    </row>
    <row r="63" spans="1:6">
      <c r="A63" s="348" t="s">
        <v>48</v>
      </c>
      <c r="B63" s="348" t="s">
        <v>28</v>
      </c>
      <c r="C63" s="334">
        <v>86</v>
      </c>
      <c r="D63" s="334">
        <v>5477363.5290000001</v>
      </c>
      <c r="E63" s="334">
        <v>98</v>
      </c>
      <c r="F63" s="334">
        <v>3594751.966</v>
      </c>
    </row>
    <row r="64" spans="1:6">
      <c r="A64" s="348" t="s">
        <v>55</v>
      </c>
      <c r="B64" s="348" t="s">
        <v>56</v>
      </c>
      <c r="C64" s="334">
        <v>0</v>
      </c>
      <c r="D64" s="334">
        <v>0</v>
      </c>
      <c r="E64" s="334">
        <v>0</v>
      </c>
      <c r="F64" s="334">
        <v>0</v>
      </c>
    </row>
    <row r="65" spans="1:6">
      <c r="A65" s="348" t="s">
        <v>55</v>
      </c>
      <c r="B65" s="348" t="s">
        <v>28</v>
      </c>
      <c r="C65" s="334">
        <v>2</v>
      </c>
      <c r="D65" s="334">
        <v>79696.481</v>
      </c>
      <c r="E65" s="334">
        <v>3</v>
      </c>
      <c r="F65" s="334">
        <v>83015.123999999996</v>
      </c>
    </row>
    <row r="66" spans="1:6">
      <c r="A66" s="348" t="s">
        <v>55</v>
      </c>
      <c r="B66" s="348" t="s">
        <v>57</v>
      </c>
      <c r="C66" s="334">
        <v>0</v>
      </c>
      <c r="D66" s="334">
        <v>0</v>
      </c>
      <c r="E66" s="334">
        <v>8</v>
      </c>
      <c r="F66" s="334">
        <v>467018.386</v>
      </c>
    </row>
    <row r="67" spans="1:6">
      <c r="A67" s="355" t="s">
        <v>55</v>
      </c>
      <c r="B67" s="355" t="s">
        <v>58</v>
      </c>
      <c r="C67" s="334">
        <v>0</v>
      </c>
      <c r="D67" s="334">
        <v>0</v>
      </c>
      <c r="E67" s="334">
        <v>0</v>
      </c>
      <c r="F67" s="334">
        <v>0</v>
      </c>
    </row>
    <row r="68" spans="1:6">
      <c r="A68" s="341" t="s">
        <v>55</v>
      </c>
      <c r="B68" s="341" t="s">
        <v>59</v>
      </c>
      <c r="C68" s="334">
        <v>0</v>
      </c>
      <c r="D68" s="334">
        <v>0</v>
      </c>
      <c r="E68" s="334">
        <v>3</v>
      </c>
      <c r="F68" s="334">
        <v>11450.763999999999</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30137606</v>
      </c>
      <c r="E73" s="476"/>
    </row>
    <row r="74" spans="1:6">
      <c r="A74" s="348" t="s">
        <v>63</v>
      </c>
      <c r="B74" s="348" t="s">
        <v>651</v>
      </c>
      <c r="C74" s="1307" t="s">
        <v>653</v>
      </c>
      <c r="D74" s="476">
        <v>2394373.5</v>
      </c>
      <c r="E74" s="476"/>
    </row>
    <row r="75" spans="1:6">
      <c r="A75" s="348" t="s">
        <v>64</v>
      </c>
      <c r="B75" s="348" t="s">
        <v>650</v>
      </c>
      <c r="C75" s="1307" t="s">
        <v>654</v>
      </c>
      <c r="D75" s="476">
        <v>27429008</v>
      </c>
      <c r="E75" s="476"/>
    </row>
    <row r="76" spans="1:6">
      <c r="A76" s="348" t="s">
        <v>64</v>
      </c>
      <c r="B76" s="348" t="s">
        <v>651</v>
      </c>
      <c r="C76" s="1307" t="s">
        <v>655</v>
      </c>
      <c r="D76" s="476">
        <v>33315.4</v>
      </c>
      <c r="E76" s="476"/>
    </row>
    <row r="77" spans="1:6">
      <c r="A77" s="348" t="s">
        <v>65</v>
      </c>
      <c r="B77" s="348" t="s">
        <v>650</v>
      </c>
      <c r="C77" s="1307" t="s">
        <v>656</v>
      </c>
      <c r="D77" s="476">
        <v>75928067</v>
      </c>
      <c r="E77" s="476"/>
    </row>
    <row r="78" spans="1:6">
      <c r="A78" s="341" t="s">
        <v>65</v>
      </c>
      <c r="B78" s="341" t="s">
        <v>651</v>
      </c>
      <c r="C78" s="341" t="s">
        <v>657</v>
      </c>
      <c r="D78" s="1308">
        <v>8305952</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732513</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1691.4128656458684</v>
      </c>
    </row>
    <row r="92" spans="1:6">
      <c r="A92" s="341" t="s">
        <v>68</v>
      </c>
      <c r="B92" s="342">
        <v>235.98724400320967</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6361</v>
      </c>
    </row>
    <row r="98" spans="1:6">
      <c r="A98" s="348" t="s">
        <v>71</v>
      </c>
      <c r="B98" s="334">
        <v>2</v>
      </c>
    </row>
    <row r="99" spans="1:6">
      <c r="A99" s="348" t="s">
        <v>72</v>
      </c>
      <c r="B99" s="334">
        <v>6</v>
      </c>
    </row>
    <row r="100" spans="1:6">
      <c r="A100" s="348" t="s">
        <v>73</v>
      </c>
      <c r="B100" s="334">
        <v>580</v>
      </c>
    </row>
    <row r="101" spans="1:6">
      <c r="A101" s="348" t="s">
        <v>74</v>
      </c>
      <c r="B101" s="334">
        <v>13</v>
      </c>
    </row>
    <row r="102" spans="1:6">
      <c r="A102" s="348" t="s">
        <v>75</v>
      </c>
      <c r="B102" s="334">
        <v>131</v>
      </c>
    </row>
    <row r="103" spans="1:6">
      <c r="A103" s="348" t="s">
        <v>76</v>
      </c>
      <c r="B103" s="334">
        <v>45</v>
      </c>
    </row>
    <row r="104" spans="1:6">
      <c r="A104" s="348" t="s">
        <v>77</v>
      </c>
      <c r="B104" s="334">
        <v>1767</v>
      </c>
    </row>
    <row r="105" spans="1:6">
      <c r="A105" s="341" t="s">
        <v>78</v>
      </c>
      <c r="B105" s="341">
        <v>3</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25</v>
      </c>
      <c r="C123" s="334">
        <v>16</v>
      </c>
    </row>
    <row r="124" spans="1:6">
      <c r="A124" s="341" t="s">
        <v>88</v>
      </c>
      <c r="B124" s="334">
        <v>1</v>
      </c>
      <c r="C124" s="334">
        <v>0</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94</v>
      </c>
    </row>
    <row r="130" spans="1:6">
      <c r="A130" s="348" t="s">
        <v>294</v>
      </c>
      <c r="B130" s="334">
        <v>3</v>
      </c>
    </row>
    <row r="131" spans="1:6">
      <c r="A131" s="348" t="s">
        <v>295</v>
      </c>
      <c r="B131" s="334">
        <v>0</v>
      </c>
    </row>
    <row r="132" spans="1:6">
      <c r="A132" s="341" t="s">
        <v>296</v>
      </c>
      <c r="B132" s="342">
        <v>19</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85228.291177800042</v>
      </c>
      <c r="C3" s="43" t="s">
        <v>169</v>
      </c>
      <c r="D3" s="43"/>
      <c r="E3" s="154"/>
      <c r="F3" s="43"/>
      <c r="G3" s="43"/>
      <c r="H3" s="43"/>
      <c r="I3" s="43"/>
      <c r="J3" s="43"/>
      <c r="K3" s="96"/>
    </row>
    <row r="4" spans="1:11">
      <c r="A4" s="383" t="s">
        <v>170</v>
      </c>
      <c r="B4" s="49">
        <f>IF(ISERROR('SEAP template'!B78+'SEAP template'!C78),0,'SEAP template'!B78+'SEAP template'!C78)</f>
        <v>8947.4001096490774</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1668.2823529411769</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0.21737335130131319</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2383.2605042016817</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10028.571428571429</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0.23764705882352949</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893.78300000000002</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893.78300000000002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0.21737335130131319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194.28460604614162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30326.867503999998</v>
      </c>
      <c r="C5" s="17">
        <f>IF(ISERROR('Eigen informatie GS &amp; warmtenet'!B59),0,'Eigen informatie GS &amp; warmtenet'!B59)</f>
        <v>0</v>
      </c>
      <c r="D5" s="30">
        <f>(SUM(HH_hh_gas_kWh,HH_rest_gas_kWh)/1000)*0.902</f>
        <v>110565.74793704</v>
      </c>
      <c r="E5" s="17">
        <f>B46*B57</f>
        <v>492.81032996114067</v>
      </c>
      <c r="F5" s="17">
        <f>B51*B62</f>
        <v>4534.7389686110046</v>
      </c>
      <c r="G5" s="18"/>
      <c r="H5" s="17"/>
      <c r="I5" s="17"/>
      <c r="J5" s="17">
        <f>B50*B61+C50*C61</f>
        <v>0</v>
      </c>
      <c r="K5" s="17"/>
      <c r="L5" s="17"/>
      <c r="M5" s="17"/>
      <c r="N5" s="17">
        <f>B48*B59+C48*C59</f>
        <v>1847.7894208681978</v>
      </c>
      <c r="O5" s="17">
        <f>B69*B70*B71</f>
        <v>218.23540413257348</v>
      </c>
      <c r="P5" s="17">
        <f>B77*B78*B79/1000-B77*B78*B79/1000/B80</f>
        <v>474.02816884582603</v>
      </c>
    </row>
    <row r="6" spans="1:16">
      <c r="A6" s="16" t="s">
        <v>615</v>
      </c>
      <c r="B6" s="809">
        <f>kWh_PV_kleiner_dan_10kW</f>
        <v>1691.4128656458684</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32018.280369645865</v>
      </c>
      <c r="C8" s="21">
        <f>C5</f>
        <v>0</v>
      </c>
      <c r="D8" s="21">
        <f>D5</f>
        <v>110565.74793704</v>
      </c>
      <c r="E8" s="21">
        <f>E5</f>
        <v>492.81032996114067</v>
      </c>
      <c r="F8" s="21">
        <f>F5</f>
        <v>4534.7389686110046</v>
      </c>
      <c r="G8" s="21"/>
      <c r="H8" s="21"/>
      <c r="I8" s="21"/>
      <c r="J8" s="21">
        <f>J5</f>
        <v>0</v>
      </c>
      <c r="K8" s="21"/>
      <c r="L8" s="21">
        <f>L5</f>
        <v>0</v>
      </c>
      <c r="M8" s="21">
        <f>M5</f>
        <v>0</v>
      </c>
      <c r="N8" s="21">
        <f>N5</f>
        <v>1847.7894208681978</v>
      </c>
      <c r="O8" s="21">
        <f>O5</f>
        <v>218.23540413257348</v>
      </c>
      <c r="P8" s="21">
        <f>P5</f>
        <v>474.02816884582603</v>
      </c>
    </row>
    <row r="9" spans="1:16">
      <c r="B9" s="19"/>
      <c r="C9" s="19"/>
      <c r="D9" s="258"/>
      <c r="E9" s="19"/>
      <c r="F9" s="19"/>
      <c r="G9" s="19"/>
      <c r="H9" s="19"/>
      <c r="I9" s="19"/>
      <c r="J9" s="19"/>
      <c r="K9" s="19"/>
      <c r="L9" s="19"/>
      <c r="M9" s="19"/>
      <c r="N9" s="19"/>
      <c r="O9" s="19"/>
      <c r="P9" s="19"/>
    </row>
    <row r="10" spans="1:16">
      <c r="A10" s="24" t="s">
        <v>213</v>
      </c>
      <c r="B10" s="25">
        <f ca="1">'EF ele_warmte'!B12</f>
        <v>0.21737335130131319</v>
      </c>
      <c r="C10" s="25">
        <f ca="1">'EF ele_warmte'!B22</f>
        <v>0.23764705882352949</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6959.9209068549708</v>
      </c>
      <c r="C12" s="23">
        <f ca="1">C10*C8</f>
        <v>0</v>
      </c>
      <c r="D12" s="23">
        <f>D8*D10</f>
        <v>22334.28108328208</v>
      </c>
      <c r="E12" s="23">
        <f>E10*E8</f>
        <v>111.86794490117893</v>
      </c>
      <c r="F12" s="23">
        <f>F10*F8</f>
        <v>1210.7753046191383</v>
      </c>
      <c r="G12" s="23"/>
      <c r="H12" s="23"/>
      <c r="I12" s="23"/>
      <c r="J12" s="23">
        <f>J10*J8</f>
        <v>0</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6361</v>
      </c>
      <c r="C18" s="166" t="s">
        <v>110</v>
      </c>
      <c r="D18" s="228"/>
      <c r="E18" s="15"/>
    </row>
    <row r="19" spans="1:7">
      <c r="A19" s="171" t="s">
        <v>71</v>
      </c>
      <c r="B19" s="37">
        <f>aantalw2001_ander</f>
        <v>2</v>
      </c>
      <c r="C19" s="166" t="s">
        <v>110</v>
      </c>
      <c r="D19" s="229"/>
      <c r="E19" s="15"/>
    </row>
    <row r="20" spans="1:7">
      <c r="A20" s="171" t="s">
        <v>72</v>
      </c>
      <c r="B20" s="37">
        <f>aantalw2001_propaan</f>
        <v>6</v>
      </c>
      <c r="C20" s="167">
        <f>IF(ISERROR(B20/SUM($B$20,$B$21,$B$22)*100),0,B20/SUM($B$20,$B$21,$B$22)*100)</f>
        <v>1.001669449081803</v>
      </c>
      <c r="D20" s="229"/>
      <c r="E20" s="15"/>
    </row>
    <row r="21" spans="1:7">
      <c r="A21" s="171" t="s">
        <v>73</v>
      </c>
      <c r="B21" s="37">
        <f>aantalw2001_elektriciteit</f>
        <v>580</v>
      </c>
      <c r="C21" s="167">
        <f>IF(ISERROR(B21/SUM($B$20,$B$21,$B$22)*100),0,B21/SUM($B$20,$B$21,$B$22)*100)</f>
        <v>96.828046744574294</v>
      </c>
      <c r="D21" s="229"/>
      <c r="E21" s="15"/>
    </row>
    <row r="22" spans="1:7">
      <c r="A22" s="171" t="s">
        <v>74</v>
      </c>
      <c r="B22" s="37">
        <f>aantalw2001_hout</f>
        <v>13</v>
      </c>
      <c r="C22" s="167">
        <f>IF(ISERROR(B22/SUM($B$20,$B$21,$B$22)*100),0,B22/SUM($B$20,$B$21,$B$22)*100)</f>
        <v>2.1702838063439067</v>
      </c>
      <c r="D22" s="229"/>
      <c r="E22" s="15"/>
    </row>
    <row r="23" spans="1:7">
      <c r="A23" s="171" t="s">
        <v>75</v>
      </c>
      <c r="B23" s="37">
        <f>aantalw2001_niet_gespec</f>
        <v>131</v>
      </c>
      <c r="C23" s="166" t="s">
        <v>110</v>
      </c>
      <c r="D23" s="228"/>
      <c r="E23" s="15"/>
    </row>
    <row r="24" spans="1:7">
      <c r="A24" s="171" t="s">
        <v>76</v>
      </c>
      <c r="B24" s="37">
        <f>aantalw2001_steenkool</f>
        <v>45</v>
      </c>
      <c r="C24" s="166" t="s">
        <v>110</v>
      </c>
      <c r="D24" s="229"/>
      <c r="E24" s="15"/>
    </row>
    <row r="25" spans="1:7">
      <c r="A25" s="171" t="s">
        <v>77</v>
      </c>
      <c r="B25" s="37">
        <f>aantalw2001_stookolie</f>
        <v>1767</v>
      </c>
      <c r="C25" s="166" t="s">
        <v>110</v>
      </c>
      <c r="D25" s="228"/>
      <c r="E25" s="52"/>
    </row>
    <row r="26" spans="1:7">
      <c r="A26" s="171" t="s">
        <v>78</v>
      </c>
      <c r="B26" s="37">
        <f>aantalw2001_WP</f>
        <v>3</v>
      </c>
      <c r="C26" s="166" t="s">
        <v>110</v>
      </c>
      <c r="D26" s="228"/>
      <c r="E26" s="15"/>
    </row>
    <row r="27" spans="1:7" s="15" customFormat="1">
      <c r="A27" s="171"/>
      <c r="B27" s="29"/>
      <c r="C27" s="36"/>
      <c r="D27" s="228"/>
    </row>
    <row r="28" spans="1:7" s="15" customFormat="1">
      <c r="A28" s="230" t="s">
        <v>836</v>
      </c>
      <c r="B28" s="37">
        <f>aantalHuishoudens2011</f>
        <v>9601</v>
      </c>
      <c r="C28" s="36"/>
      <c r="D28" s="228"/>
    </row>
    <row r="29" spans="1:7" s="15" customFormat="1">
      <c r="A29" s="230" t="s">
        <v>837</v>
      </c>
      <c r="B29" s="37">
        <f>SUM(HH_hh_gas_aantal,HH_rest_gas_aantal)</f>
        <v>8082</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8082</v>
      </c>
      <c r="C32" s="167">
        <f>IF(ISERROR(B32/SUM($B$32,$B$34,$B$35,$B$36,$B$38,$B$39)*100),0,B32/SUM($B$32,$B$34,$B$35,$B$36,$B$38,$B$39)*100)</f>
        <v>84.575136040184162</v>
      </c>
      <c r="D32" s="233"/>
      <c r="G32" s="15"/>
    </row>
    <row r="33" spans="1:7">
      <c r="A33" s="171" t="s">
        <v>71</v>
      </c>
      <c r="B33" s="34" t="s">
        <v>110</v>
      </c>
      <c r="C33" s="167"/>
      <c r="D33" s="233"/>
      <c r="G33" s="15"/>
    </row>
    <row r="34" spans="1:7">
      <c r="A34" s="171" t="s">
        <v>72</v>
      </c>
      <c r="B34" s="33">
        <f>IF((($B$28-$B$32-$B$39-$B$77-$B$38)*C20/100)&lt;0,0,($B$28-$B$32-$B$39-$B$77-$B$38)*C20/100)</f>
        <v>12.579966611018365</v>
      </c>
      <c r="C34" s="167">
        <f>IF(ISERROR(B34/SUM($B$32,$B$34,$B$35,$B$36,$B$38,$B$39)*100),0,B34/SUM($B$32,$B$34,$B$35,$B$36,$B$38,$B$39)*100)</f>
        <v>0.13164469036226834</v>
      </c>
      <c r="D34" s="233"/>
      <c r="G34" s="15"/>
    </row>
    <row r="35" spans="1:7">
      <c r="A35" s="171" t="s">
        <v>73</v>
      </c>
      <c r="B35" s="33">
        <f>IF((($B$28-$B$32-$B$39-$B$77-$B$38)*C21/100)&lt;0,0,($B$28-$B$32-$B$39-$B$77-$B$38)*C21/100)</f>
        <v>1216.0634390651087</v>
      </c>
      <c r="C35" s="167">
        <f>IF(ISERROR(B35/SUM($B$32,$B$34,$B$35,$B$36,$B$38,$B$39)*100),0,B35/SUM($B$32,$B$34,$B$35,$B$36,$B$38,$B$39)*100)</f>
        <v>12.725653401685941</v>
      </c>
      <c r="D35" s="233"/>
      <c r="G35" s="15"/>
    </row>
    <row r="36" spans="1:7">
      <c r="A36" s="171" t="s">
        <v>74</v>
      </c>
      <c r="B36" s="33">
        <f>IF((($B$28-$B$32-$B$39-$B$77-$B$38)*C22/100)&lt;0,0,($B$28-$B$32-$B$39-$B$77-$B$38)*C22/100)</f>
        <v>27.256594323873127</v>
      </c>
      <c r="C36" s="167">
        <f>IF(ISERROR(B36/SUM($B$32,$B$34,$B$35,$B$36,$B$38,$B$39)*100),0,B36/SUM($B$32,$B$34,$B$35,$B$36,$B$38,$B$39)*100)</f>
        <v>0.28523016245158145</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218.09999999999991</v>
      </c>
      <c r="C39" s="167">
        <f>IF(ISERROR(B39/SUM($B$32,$B$34,$B$35,$B$36,$B$38,$B$39)*100),0,B39/SUM($B$32,$B$34,$B$35,$B$36,$B$38,$B$39)*100)</f>
        <v>2.2823357053160307</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8082</v>
      </c>
      <c r="C44" s="34" t="s">
        <v>110</v>
      </c>
      <c r="D44" s="174"/>
    </row>
    <row r="45" spans="1:7">
      <c r="A45" s="171" t="s">
        <v>71</v>
      </c>
      <c r="B45" s="33" t="str">
        <f t="shared" si="0"/>
        <v>-</v>
      </c>
      <c r="C45" s="34" t="s">
        <v>110</v>
      </c>
      <c r="D45" s="174"/>
    </row>
    <row r="46" spans="1:7">
      <c r="A46" s="171" t="s">
        <v>72</v>
      </c>
      <c r="B46" s="33">
        <f t="shared" si="0"/>
        <v>12.579966611018365</v>
      </c>
      <c r="C46" s="34" t="s">
        <v>110</v>
      </c>
      <c r="D46" s="174"/>
    </row>
    <row r="47" spans="1:7">
      <c r="A47" s="171" t="s">
        <v>73</v>
      </c>
      <c r="B47" s="33">
        <f t="shared" si="0"/>
        <v>1216.0634390651087</v>
      </c>
      <c r="C47" s="34" t="s">
        <v>110</v>
      </c>
      <c r="D47" s="174"/>
    </row>
    <row r="48" spans="1:7">
      <c r="A48" s="171" t="s">
        <v>74</v>
      </c>
      <c r="B48" s="33">
        <f t="shared" si="0"/>
        <v>27.256594323873127</v>
      </c>
      <c r="C48" s="33">
        <f>B48*10</f>
        <v>272.56594323873128</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218.09999999999991</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110</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45</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32737.736751</v>
      </c>
      <c r="C5" s="17">
        <f>IF(ISERROR('Eigen informatie GS &amp; warmtenet'!B60),0,'Eigen informatie GS &amp; warmtenet'!B60)</f>
        <v>0</v>
      </c>
      <c r="D5" s="30">
        <f>SUM(D6:D12)</f>
        <v>71237.451758990006</v>
      </c>
      <c r="E5" s="17">
        <f>SUM(E6:E12)</f>
        <v>281.86005996116489</v>
      </c>
      <c r="F5" s="17">
        <f>SUM(F6:F12)</f>
        <v>3384.338120106685</v>
      </c>
      <c r="G5" s="18"/>
      <c r="H5" s="17"/>
      <c r="I5" s="17"/>
      <c r="J5" s="17">
        <f>SUM(J6:J12)</f>
        <v>4.5451734859103907E-2</v>
      </c>
      <c r="K5" s="17"/>
      <c r="L5" s="17"/>
      <c r="M5" s="17"/>
      <c r="N5" s="17">
        <f>SUM(N6:N12)</f>
        <v>1886.3474348994193</v>
      </c>
      <c r="O5" s="17">
        <f>B38*B39*B40</f>
        <v>14.691782297523464</v>
      </c>
      <c r="P5" s="17">
        <f>B46*B47*B48/1000-B46*B47*B48/1000/B49</f>
        <v>0</v>
      </c>
      <c r="R5" s="32"/>
    </row>
    <row r="6" spans="1:18">
      <c r="A6" s="32" t="s">
        <v>53</v>
      </c>
      <c r="B6" s="37">
        <f>B26</f>
        <v>6821.5382039999995</v>
      </c>
      <c r="C6" s="33"/>
      <c r="D6" s="37">
        <f>IF(ISERROR(TER_kantoor_gas_kWh/1000),0,TER_kantoor_gas_kWh/1000)*0.902</f>
        <v>16752.030159040001</v>
      </c>
      <c r="E6" s="33">
        <f>$C$26*'E Balans VL '!I12/100/3.6*1000000</f>
        <v>54.89073077013029</v>
      </c>
      <c r="F6" s="33">
        <f>$C$26*('E Balans VL '!L12+'E Balans VL '!N12)/100/3.6*1000000</f>
        <v>834.00480572345327</v>
      </c>
      <c r="G6" s="34"/>
      <c r="H6" s="33"/>
      <c r="I6" s="33"/>
      <c r="J6" s="33">
        <f>$C$26*('E Balans VL '!D12+'E Balans VL '!E12)/100/3.6*1000000</f>
        <v>0</v>
      </c>
      <c r="K6" s="33"/>
      <c r="L6" s="33"/>
      <c r="M6" s="33"/>
      <c r="N6" s="33">
        <f>$C$26*'E Balans VL '!Y12/100/3.6*1000000</f>
        <v>3.6662408602520604</v>
      </c>
      <c r="O6" s="33"/>
      <c r="P6" s="33"/>
      <c r="R6" s="32"/>
    </row>
    <row r="7" spans="1:18">
      <c r="A7" s="32" t="s">
        <v>52</v>
      </c>
      <c r="B7" s="37">
        <f t="shared" ref="B7:B12" si="0">B27</f>
        <v>1534.657166</v>
      </c>
      <c r="C7" s="33"/>
      <c r="D7" s="37">
        <f>IF(ISERROR(TER_horeca_gas_kWh/1000),0,TER_horeca_gas_kWh/1000)*0.902</f>
        <v>3019.4901342760004</v>
      </c>
      <c r="E7" s="33">
        <f>$C$27*'E Balans VL '!I9/100/3.6*1000000</f>
        <v>16.478449503673495</v>
      </c>
      <c r="F7" s="33">
        <f>$C$27*('E Balans VL '!L9+'E Balans VL '!N9)/100/3.6*1000000</f>
        <v>184.58204363977347</v>
      </c>
      <c r="G7" s="34"/>
      <c r="H7" s="33"/>
      <c r="I7" s="33"/>
      <c r="J7" s="33">
        <f>$C$27*('E Balans VL '!D9+'E Balans VL '!E9)/100/3.6*1000000</f>
        <v>0</v>
      </c>
      <c r="K7" s="33"/>
      <c r="L7" s="33"/>
      <c r="M7" s="33"/>
      <c r="N7" s="33">
        <f>$C$27*'E Balans VL '!Y9/100/3.6*1000000</f>
        <v>0.23007621307303883</v>
      </c>
      <c r="O7" s="33"/>
      <c r="P7" s="33"/>
      <c r="R7" s="32"/>
    </row>
    <row r="8" spans="1:18">
      <c r="A8" s="6" t="s">
        <v>51</v>
      </c>
      <c r="B8" s="37">
        <f t="shared" si="0"/>
        <v>4623.6991770000004</v>
      </c>
      <c r="C8" s="33"/>
      <c r="D8" s="37">
        <f>IF(ISERROR(TER_handel_gas_kWh/1000),0,TER_handel_gas_kWh/1000)*0.902</f>
        <v>3870.6216719939998</v>
      </c>
      <c r="E8" s="33">
        <f>$C$28*'E Balans VL '!I13/100/3.6*1000000</f>
        <v>124.08593059296742</v>
      </c>
      <c r="F8" s="33">
        <f>$C$28*('E Balans VL '!L13+'E Balans VL '!N13)/100/3.6*1000000</f>
        <v>441.24340756891939</v>
      </c>
      <c r="G8" s="34"/>
      <c r="H8" s="33"/>
      <c r="I8" s="33"/>
      <c r="J8" s="33">
        <f>$C$28*('E Balans VL '!D13+'E Balans VL '!E13)/100/3.6*1000000</f>
        <v>0</v>
      </c>
      <c r="K8" s="33"/>
      <c r="L8" s="33"/>
      <c r="M8" s="33"/>
      <c r="N8" s="33">
        <f>$C$28*'E Balans VL '!Y13/100/3.6*1000000</f>
        <v>1.8328869270047896</v>
      </c>
      <c r="O8" s="33"/>
      <c r="P8" s="33"/>
      <c r="R8" s="32"/>
    </row>
    <row r="9" spans="1:18">
      <c r="A9" s="32" t="s">
        <v>50</v>
      </c>
      <c r="B9" s="37">
        <f t="shared" si="0"/>
        <v>13448.739369999999</v>
      </c>
      <c r="C9" s="33"/>
      <c r="D9" s="37">
        <f>IF(ISERROR(TER_gezond_gas_kWh/1000),0,TER_gezond_gas_kWh/1000)*0.902</f>
        <v>36720.468807220001</v>
      </c>
      <c r="E9" s="33">
        <f>$C$29*'E Balans VL '!I10/100/3.6*1000000</f>
        <v>25.207316679076008</v>
      </c>
      <c r="F9" s="33">
        <f>$C$29*('E Balans VL '!L10+'E Balans VL '!N10)/100/3.6*1000000</f>
        <v>1105.6090865055164</v>
      </c>
      <c r="G9" s="34"/>
      <c r="H9" s="33"/>
      <c r="I9" s="33"/>
      <c r="J9" s="33">
        <f>$C$29*('E Balans VL '!D10+'E Balans VL '!E10)/100/3.6*1000000</f>
        <v>0</v>
      </c>
      <c r="K9" s="33"/>
      <c r="L9" s="33"/>
      <c r="M9" s="33"/>
      <c r="N9" s="33">
        <f>$C$29*'E Balans VL '!Y10/100/3.6*1000000</f>
        <v>104.64122649995383</v>
      </c>
      <c r="O9" s="33"/>
      <c r="P9" s="33"/>
      <c r="R9" s="32"/>
    </row>
    <row r="10" spans="1:18">
      <c r="A10" s="32" t="s">
        <v>49</v>
      </c>
      <c r="B10" s="37">
        <f t="shared" si="0"/>
        <v>2271.5868769999997</v>
      </c>
      <c r="C10" s="33"/>
      <c r="D10" s="37">
        <f>IF(ISERROR(TER_ander_gas_kWh/1000),0,TER_ander_gas_kWh/1000)*0.902</f>
        <v>4309.2872333060004</v>
      </c>
      <c r="E10" s="33">
        <f>$C$30*'E Balans VL '!I14/100/3.6*1000000</f>
        <v>3.5016741885296718</v>
      </c>
      <c r="F10" s="33">
        <f>$C$30*('E Balans VL '!L14+'E Balans VL '!N14)/100/3.6*1000000</f>
        <v>352.66448976028488</v>
      </c>
      <c r="G10" s="34"/>
      <c r="H10" s="33"/>
      <c r="I10" s="33"/>
      <c r="J10" s="33">
        <f>$C$30*('E Balans VL '!D14+'E Balans VL '!E14)/100/3.6*1000000</f>
        <v>3.8562582908930457E-2</v>
      </c>
      <c r="K10" s="33"/>
      <c r="L10" s="33"/>
      <c r="M10" s="33"/>
      <c r="N10" s="33">
        <f>$C$30*'E Balans VL '!Y14/100/3.6*1000000</f>
        <v>1502.8090740102843</v>
      </c>
      <c r="O10" s="33"/>
      <c r="P10" s="33"/>
      <c r="R10" s="32"/>
    </row>
    <row r="11" spans="1:18">
      <c r="A11" s="32" t="s">
        <v>54</v>
      </c>
      <c r="B11" s="37">
        <f t="shared" si="0"/>
        <v>442.76399099999998</v>
      </c>
      <c r="C11" s="33"/>
      <c r="D11" s="37">
        <f>IF(ISERROR(TER_onderwijs_gas_kWh/1000),0,TER_onderwijs_gas_kWh/1000)*0.902</f>
        <v>1624.9718499959999</v>
      </c>
      <c r="E11" s="33">
        <f>$C$31*'E Balans VL '!I11/100/3.6*1000000</f>
        <v>11.293505873545184</v>
      </c>
      <c r="F11" s="33">
        <f>$C$31*('E Balans VL '!L11+'E Balans VL '!N11)/100/3.6*1000000</f>
        <v>53.246537371135467</v>
      </c>
      <c r="G11" s="34"/>
      <c r="H11" s="33"/>
      <c r="I11" s="33"/>
      <c r="J11" s="33">
        <f>$C$31*('E Balans VL '!D11+'E Balans VL '!E11)/100/3.6*1000000</f>
        <v>0</v>
      </c>
      <c r="K11" s="33"/>
      <c r="L11" s="33"/>
      <c r="M11" s="33"/>
      <c r="N11" s="33">
        <f>$C$31*'E Balans VL '!Y11/100/3.6*1000000</f>
        <v>0.98469631244952893</v>
      </c>
      <c r="O11" s="33"/>
      <c r="P11" s="33"/>
      <c r="R11" s="32"/>
    </row>
    <row r="12" spans="1:18">
      <c r="A12" s="32" t="s">
        <v>259</v>
      </c>
      <c r="B12" s="37">
        <f t="shared" si="0"/>
        <v>3594.7519659999998</v>
      </c>
      <c r="C12" s="33"/>
      <c r="D12" s="37">
        <f>IF(ISERROR(TER_rest_gas_kWh/1000),0,TER_rest_gas_kWh/1000)*0.902</f>
        <v>4940.5819031580004</v>
      </c>
      <c r="E12" s="33">
        <f>$C$32*'E Balans VL '!I8/100/3.6*1000000</f>
        <v>46.402452353242872</v>
      </c>
      <c r="F12" s="33">
        <f>$C$32*('E Balans VL '!L8+'E Balans VL '!N8)/100/3.6*1000000</f>
        <v>412.98774953760193</v>
      </c>
      <c r="G12" s="34"/>
      <c r="H12" s="33"/>
      <c r="I12" s="33"/>
      <c r="J12" s="33">
        <f>$C$32*('E Balans VL '!D8+'E Balans VL '!E8)/100/3.6*1000000</f>
        <v>6.8891519501734465E-3</v>
      </c>
      <c r="K12" s="33"/>
      <c r="L12" s="33"/>
      <c r="M12" s="33"/>
      <c r="N12" s="33">
        <f>$C$32*'E Balans VL '!Y8/100/3.6*1000000</f>
        <v>272.18323407640167</v>
      </c>
      <c r="O12" s="33"/>
      <c r="P12" s="33"/>
      <c r="R12" s="32"/>
    </row>
    <row r="13" spans="1:18">
      <c r="A13" s="16" t="s">
        <v>482</v>
      </c>
      <c r="B13" s="247">
        <f ca="1">'lokale energieproductie'!N91+'lokale energieproductie'!N60</f>
        <v>7020</v>
      </c>
      <c r="C13" s="247">
        <f ca="1">'lokale energieproductie'!O91+'lokale energieproductie'!O60</f>
        <v>10028.571428571429</v>
      </c>
      <c r="D13" s="310">
        <f ca="1">('lokale energieproductie'!P60+'lokale energieproductie'!P91)*(-1)</f>
        <v>-20057.142857142859</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39757.736751000004</v>
      </c>
      <c r="C16" s="21">
        <f t="shared" ca="1" si="1"/>
        <v>10028.571428571429</v>
      </c>
      <c r="D16" s="21">
        <f t="shared" ca="1" si="1"/>
        <v>51180.308901847151</v>
      </c>
      <c r="E16" s="21">
        <f t="shared" si="1"/>
        <v>281.86005996116489</v>
      </c>
      <c r="F16" s="21">
        <f t="shared" ca="1" si="1"/>
        <v>3384.338120106685</v>
      </c>
      <c r="G16" s="21">
        <f t="shared" si="1"/>
        <v>0</v>
      </c>
      <c r="H16" s="21">
        <f t="shared" si="1"/>
        <v>0</v>
      </c>
      <c r="I16" s="21">
        <f t="shared" si="1"/>
        <v>0</v>
      </c>
      <c r="J16" s="21">
        <f t="shared" si="1"/>
        <v>4.5451734859103907E-2</v>
      </c>
      <c r="K16" s="21">
        <f t="shared" si="1"/>
        <v>0</v>
      </c>
      <c r="L16" s="21">
        <f t="shared" ca="1" si="1"/>
        <v>0</v>
      </c>
      <c r="M16" s="21">
        <f t="shared" si="1"/>
        <v>0</v>
      </c>
      <c r="N16" s="21">
        <f t="shared" ca="1" si="1"/>
        <v>1886.3474348994193</v>
      </c>
      <c r="O16" s="21">
        <f>O5</f>
        <v>14.691782297523464</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0.21737335130131319</v>
      </c>
      <c r="C18" s="25">
        <f ca="1">'EF ele_warmte'!B22</f>
        <v>0.23764705882352949</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8642.2724777202548</v>
      </c>
      <c r="C20" s="23">
        <f t="shared" ref="C20:P20" ca="1" si="2">C16*C18</f>
        <v>2383.2605042016817</v>
      </c>
      <c r="D20" s="23">
        <f t="shared" ca="1" si="2"/>
        <v>10338.422398173125</v>
      </c>
      <c r="E20" s="23">
        <f t="shared" si="2"/>
        <v>63.982233611184434</v>
      </c>
      <c r="F20" s="23">
        <f t="shared" ca="1" si="2"/>
        <v>903.61827806848498</v>
      </c>
      <c r="G20" s="23">
        <f t="shared" si="2"/>
        <v>0</v>
      </c>
      <c r="H20" s="23">
        <f t="shared" si="2"/>
        <v>0</v>
      </c>
      <c r="I20" s="23">
        <f t="shared" si="2"/>
        <v>0</v>
      </c>
      <c r="J20" s="23">
        <f t="shared" si="2"/>
        <v>1.6089914140122782E-2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6821.5382039999995</v>
      </c>
      <c r="C26" s="39">
        <f>IF(ISERROR(B26*3.6/1000000/'E Balans VL '!Z12*100),0,B26*3.6/1000000/'E Balans VL '!Z12*100)</f>
        <v>0.14471269200707917</v>
      </c>
      <c r="D26" s="237" t="s">
        <v>716</v>
      </c>
      <c r="F26" s="6"/>
    </row>
    <row r="27" spans="1:18">
      <c r="A27" s="231" t="s">
        <v>52</v>
      </c>
      <c r="B27" s="33">
        <f>IF(ISERROR(TER_horeca_ele_kWh/1000),0,TER_horeca_ele_kWh/1000)</f>
        <v>1534.657166</v>
      </c>
      <c r="C27" s="39">
        <f>IF(ISERROR(B27*3.6/1000000/'E Balans VL '!Z9*100),0,B27*3.6/1000000/'E Balans VL '!Z9*100)</f>
        <v>0.11557327937036865</v>
      </c>
      <c r="D27" s="237" t="s">
        <v>716</v>
      </c>
      <c r="F27" s="6"/>
    </row>
    <row r="28" spans="1:18">
      <c r="A28" s="171" t="s">
        <v>51</v>
      </c>
      <c r="B28" s="33">
        <f>IF(ISERROR(TER_handel_ele_kWh/1000),0,TER_handel_ele_kWh/1000)</f>
        <v>4623.6991770000004</v>
      </c>
      <c r="C28" s="39">
        <f>IF(ISERROR(B28*3.6/1000000/'E Balans VL '!Z13*100),0,B28*3.6/1000000/'E Balans VL '!Z13*100)</f>
        <v>0.13420960406389124</v>
      </c>
      <c r="D28" s="237" t="s">
        <v>716</v>
      </c>
      <c r="F28" s="6"/>
    </row>
    <row r="29" spans="1:18">
      <c r="A29" s="231" t="s">
        <v>50</v>
      </c>
      <c r="B29" s="33">
        <f>IF(ISERROR(TER_gezond_ele_kWh/1000),0,TER_gezond_ele_kWh/1000)</f>
        <v>13448.739369999999</v>
      </c>
      <c r="C29" s="39">
        <f>IF(ISERROR(B29*3.6/1000000/'E Balans VL '!Z10*100),0,B29*3.6/1000000/'E Balans VL '!Z10*100)</f>
        <v>1.3563214037394233</v>
      </c>
      <c r="D29" s="237" t="s">
        <v>716</v>
      </c>
      <c r="F29" s="6"/>
    </row>
    <row r="30" spans="1:18">
      <c r="A30" s="231" t="s">
        <v>49</v>
      </c>
      <c r="B30" s="33">
        <f>IF(ISERROR(TER_ander_ele_kWh/1000),0,TER_ander_ele_kWh/1000)</f>
        <v>2271.5868769999997</v>
      </c>
      <c r="C30" s="39">
        <f>IF(ISERROR(B30*3.6/1000000/'E Balans VL '!Z14*100),0,B30*3.6/1000000/'E Balans VL '!Z14*100)</f>
        <v>0.16483461805354963</v>
      </c>
      <c r="D30" s="237" t="s">
        <v>716</v>
      </c>
      <c r="F30" s="6"/>
    </row>
    <row r="31" spans="1:18">
      <c r="A31" s="231" t="s">
        <v>54</v>
      </c>
      <c r="B31" s="33">
        <f>IF(ISERROR(TER_onderwijs_ele_kWh/1000),0,TER_onderwijs_ele_kWh/1000)</f>
        <v>442.76399099999998</v>
      </c>
      <c r="C31" s="39">
        <f>IF(ISERROR(B31*3.6/1000000/'E Balans VL '!Z11*100),0,B31*3.6/1000000/'E Balans VL '!Z11*100)</f>
        <v>0.1262057676242645</v>
      </c>
      <c r="D31" s="237" t="s">
        <v>716</v>
      </c>
    </row>
    <row r="32" spans="1:18">
      <c r="A32" s="231" t="s">
        <v>259</v>
      </c>
      <c r="B32" s="33">
        <f>IF(ISERROR(TER_rest_ele_kWh/1000),0,TER_rest_ele_kWh/1000)</f>
        <v>3594.7519659999998</v>
      </c>
      <c r="C32" s="39">
        <f>IF(ISERROR(B32*3.6/1000000/'E Balans VL '!Z8*100),0,B32*3.6/1000000/'E Balans VL '!Z8*100)</f>
        <v>2.9447475888777341E-2</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3</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0</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10954.109081000001</v>
      </c>
      <c r="C5" s="17">
        <f>IF(ISERROR('Eigen informatie GS &amp; warmtenet'!B61),0,'Eigen informatie GS &amp; warmtenet'!B61)</f>
        <v>0</v>
      </c>
      <c r="D5" s="30">
        <f>SUM(D6:D15)</f>
        <v>11186.659519002</v>
      </c>
      <c r="E5" s="17">
        <f>SUM(E6:E15)</f>
        <v>905.2913912757374</v>
      </c>
      <c r="F5" s="17">
        <f>SUM(F6:F15)</f>
        <v>3047.6919949329513</v>
      </c>
      <c r="G5" s="18"/>
      <c r="H5" s="17"/>
      <c r="I5" s="17"/>
      <c r="J5" s="17">
        <f>SUM(J6:J15)</f>
        <v>71.903754776381788</v>
      </c>
      <c r="K5" s="17"/>
      <c r="L5" s="17"/>
      <c r="M5" s="17"/>
      <c r="N5" s="17">
        <f>SUM(N6:N15)</f>
        <v>495.26921008419265</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32</v>
      </c>
      <c r="B9" s="37">
        <f t="shared" si="0"/>
        <v>1779.4603789999999</v>
      </c>
      <c r="C9" s="33"/>
      <c r="D9" s="37">
        <f>IF( ISERROR(IND_andere_gas_kWh/1000),0,IND_andere_gas_kWh/1000)*0.902</f>
        <v>2033.9968154659998</v>
      </c>
      <c r="E9" s="33">
        <f>C31*'E Balans VL '!I19/100/3.6*1000000</f>
        <v>493.11226538717847</v>
      </c>
      <c r="F9" s="33">
        <f>C31*'E Balans VL '!L19/100/3.6*1000000+C31*'E Balans VL '!N19/100/3.6*1000000</f>
        <v>1474.8206075587157</v>
      </c>
      <c r="G9" s="34"/>
      <c r="H9" s="33"/>
      <c r="I9" s="33"/>
      <c r="J9" s="40">
        <f>C31*'E Balans VL '!D19/100/3.6*1000000+C31*'E Balans VL '!E19/100/3.6*1000000</f>
        <v>0</v>
      </c>
      <c r="K9" s="33"/>
      <c r="L9" s="33"/>
      <c r="M9" s="33"/>
      <c r="N9" s="33">
        <f>C31*'E Balans VL '!Y19/100/3.6*1000000</f>
        <v>129.16705835870675</v>
      </c>
      <c r="O9" s="33"/>
      <c r="P9" s="33"/>
      <c r="R9" s="32"/>
    </row>
    <row r="10" spans="1:18">
      <c r="A10" s="6" t="s">
        <v>40</v>
      </c>
      <c r="B10" s="37">
        <f t="shared" si="0"/>
        <v>470.872345</v>
      </c>
      <c r="C10" s="33"/>
      <c r="D10" s="37">
        <f>IF( ISERROR(IND_voed_gas_kWh/1000),0,IND_voed_gas_kWh/1000)*0.902</f>
        <v>758.43036387799998</v>
      </c>
      <c r="E10" s="33">
        <f>C32*'E Balans VL '!I20/100/3.6*1000000</f>
        <v>0.83360354533891268</v>
      </c>
      <c r="F10" s="33">
        <f>C32*'E Balans VL '!L20/100/3.6*1000000+C32*'E Balans VL '!N20/100/3.6*1000000</f>
        <v>25.431279934158582</v>
      </c>
      <c r="G10" s="34"/>
      <c r="H10" s="33"/>
      <c r="I10" s="33"/>
      <c r="J10" s="40">
        <f>C32*'E Balans VL '!D20/100/3.6*1000000+C32*'E Balans VL '!E20/100/3.6*1000000</f>
        <v>0</v>
      </c>
      <c r="K10" s="33"/>
      <c r="L10" s="33"/>
      <c r="M10" s="33"/>
      <c r="N10" s="33">
        <f>C32*'E Balans VL '!Y20/100/3.6*1000000</f>
        <v>27.361279341409329</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8703.7763570000006</v>
      </c>
      <c r="C15" s="33"/>
      <c r="D15" s="37">
        <f>IF( ISERROR(IND_rest_gas_kWh/1000),0,IND_rest_gas_kWh/1000)*0.902</f>
        <v>8394.2323396579995</v>
      </c>
      <c r="E15" s="33">
        <f>C37*'E Balans VL '!I15/100/3.6*1000000</f>
        <v>411.34552234322007</v>
      </c>
      <c r="F15" s="33">
        <f>C37*'E Balans VL '!L15/100/3.6*1000000+C37*'E Balans VL '!N15/100/3.6*1000000</f>
        <v>1547.4401074400769</v>
      </c>
      <c r="G15" s="34"/>
      <c r="H15" s="33"/>
      <c r="I15" s="33"/>
      <c r="J15" s="40">
        <f>C37*'E Balans VL '!D15/100/3.6*1000000+C37*'E Balans VL '!E15/100/3.6*1000000</f>
        <v>71.903754776381788</v>
      </c>
      <c r="K15" s="33"/>
      <c r="L15" s="33"/>
      <c r="M15" s="33"/>
      <c r="N15" s="33">
        <f>C37*'E Balans VL '!Y15/100/3.6*1000000</f>
        <v>338.74087238407657</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10954.109081000001</v>
      </c>
      <c r="C18" s="21">
        <f>C5+C16</f>
        <v>0</v>
      </c>
      <c r="D18" s="21">
        <f>MAX((D5+D16),0)</f>
        <v>11186.659519002</v>
      </c>
      <c r="E18" s="21">
        <f>MAX((E5+E16),0)</f>
        <v>905.2913912757374</v>
      </c>
      <c r="F18" s="21">
        <f>MAX((F5+F16),0)</f>
        <v>3047.6919949329513</v>
      </c>
      <c r="G18" s="21"/>
      <c r="H18" s="21"/>
      <c r="I18" s="21"/>
      <c r="J18" s="21">
        <f>MAX((J5+J16),0)</f>
        <v>71.903754776381788</v>
      </c>
      <c r="K18" s="21"/>
      <c r="L18" s="21">
        <f>MAX((L5+L16),0)</f>
        <v>0</v>
      </c>
      <c r="M18" s="21"/>
      <c r="N18" s="21">
        <f>MAX((N5+N16),0)</f>
        <v>495.26921008419265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0.21737335130131319</v>
      </c>
      <c r="C20" s="25">
        <f ca="1">'EF ele_warmte'!B22</f>
        <v>0.23764705882352949</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2381.131401457118</v>
      </c>
      <c r="C22" s="23">
        <f ca="1">C18*C20</f>
        <v>0</v>
      </c>
      <c r="D22" s="23">
        <f>D18*D20</f>
        <v>2259.7052228384041</v>
      </c>
      <c r="E22" s="23">
        <f>E18*E20</f>
        <v>205.50114581959241</v>
      </c>
      <c r="F22" s="23">
        <f>F18*F20</f>
        <v>813.73376264709805</v>
      </c>
      <c r="G22" s="23"/>
      <c r="H22" s="23"/>
      <c r="I22" s="23"/>
      <c r="J22" s="23">
        <f>J18*J20</f>
        <v>25.453929190839151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0</v>
      </c>
      <c r="C30" s="39">
        <f>IF(ISERROR(B30*3.6/1000000/'E Balans VL '!Z18*100),0,B30*3.6/1000000/'E Balans VL '!Z18*100)</f>
        <v>0</v>
      </c>
      <c r="D30" s="237" t="s">
        <v>716</v>
      </c>
    </row>
    <row r="31" spans="1:18">
      <c r="A31" s="6" t="s">
        <v>32</v>
      </c>
      <c r="B31" s="37">
        <f>IF( ISERROR(IND_ander_ele_kWh/1000),0,IND_ander_ele_kWh/1000)</f>
        <v>1779.4603789999999</v>
      </c>
      <c r="C31" s="39">
        <f>IF(ISERROR(B31*3.6/1000000/'E Balans VL '!Z19*100),0,B31*3.6/1000000/'E Balans VL '!Z19*100)</f>
        <v>8.9501089166220085E-2</v>
      </c>
      <c r="D31" s="237" t="s">
        <v>716</v>
      </c>
    </row>
    <row r="32" spans="1:18">
      <c r="A32" s="171" t="s">
        <v>40</v>
      </c>
      <c r="B32" s="37">
        <f>IF( ISERROR(IND_voed_ele_kWh/1000),0,IND_voed_ele_kWh/1000)</f>
        <v>470.872345</v>
      </c>
      <c r="C32" s="39">
        <f>IF(ISERROR(B32*3.6/1000000/'E Balans VL '!Z20*100),0,B32*3.6/1000000/'E Balans VL '!Z20*100)</f>
        <v>1.5682845245301148E-2</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0</v>
      </c>
      <c r="C35" s="39">
        <f>IF(ISERROR(B35*3.6/1000000/'E Balans VL '!Z22*100),0,B35*3.6/1000000/'E Balans VL '!Z22*100)</f>
        <v>0</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8703.7763570000006</v>
      </c>
      <c r="C37" s="39">
        <f>IF(ISERROR(B37*3.6/1000000/'E Balans VL '!Z15*100),0,B37*3.6/1000000/'E Balans VL '!Z15*100)</f>
        <v>6.791325720292371E-2</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461.44249600000001</v>
      </c>
      <c r="C5" s="17">
        <f>'Eigen informatie GS &amp; warmtenet'!B62</f>
        <v>0</v>
      </c>
      <c r="D5" s="30">
        <f>IF(ISERROR(SUM(LB_lb_gas_kWh,LB_rest_gas_kWh)/1000),0,SUM(LB_lb_gas_kWh,LB_rest_gas_kWh)/1000)*0.902</f>
        <v>302.72535598800005</v>
      </c>
      <c r="E5" s="17">
        <f>B17*'E Balans VL '!I25/3.6*1000000/100</f>
        <v>14.401468135197085</v>
      </c>
      <c r="F5" s="17">
        <f>B17*('E Balans VL '!L25/3.6*1000000+'E Balans VL '!N25/3.6*1000000)/100</f>
        <v>1630.7888980847688</v>
      </c>
      <c r="G5" s="18"/>
      <c r="H5" s="17"/>
      <c r="I5" s="17"/>
      <c r="J5" s="17">
        <f>('E Balans VL '!D25+'E Balans VL '!E25)/3.6*1000000*landbouw!B17/100</f>
        <v>127.13060772366447</v>
      </c>
      <c r="K5" s="17"/>
      <c r="L5" s="17">
        <f>L6*(-1)</f>
        <v>0</v>
      </c>
      <c r="M5" s="17"/>
      <c r="N5" s="17">
        <f>N6*(-1)</f>
        <v>0</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461.44249600000001</v>
      </c>
      <c r="C8" s="21">
        <f>C5+C6</f>
        <v>0</v>
      </c>
      <c r="D8" s="21">
        <f>MAX((D5+D6),0)</f>
        <v>302.72535598800005</v>
      </c>
      <c r="E8" s="21">
        <f>MAX((E5+E6),0)</f>
        <v>14.401468135197085</v>
      </c>
      <c r="F8" s="21">
        <f>MAX((F5+F6),0)</f>
        <v>1630.7888980847688</v>
      </c>
      <c r="G8" s="21"/>
      <c r="H8" s="21"/>
      <c r="I8" s="21"/>
      <c r="J8" s="21">
        <f>MAX((J5+J6),0)</f>
        <v>127.13060772366447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0.21737335130131319</v>
      </c>
      <c r="C10" s="31">
        <f ca="1">'EF ele_warmte'!B22</f>
        <v>0.23764705882352949</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100.30530178836281</v>
      </c>
      <c r="C12" s="23">
        <f ca="1">C8*C10</f>
        <v>0</v>
      </c>
      <c r="D12" s="23">
        <f>D8*D10</f>
        <v>61.150521909576014</v>
      </c>
      <c r="E12" s="23">
        <f>E8*E10</f>
        <v>3.2691332666897384</v>
      </c>
      <c r="F12" s="23">
        <f>F8*F10</f>
        <v>435.42063578863332</v>
      </c>
      <c r="G12" s="23"/>
      <c r="H12" s="23"/>
      <c r="I12" s="23"/>
      <c r="J12" s="23">
        <f>J8*J10</f>
        <v>45.004235134177222</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6.8596734963545944E-2</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18.059000876276329</v>
      </c>
      <c r="C26" s="247">
        <f>B26*'GWP N2O_CH4'!B5</f>
        <v>379.23901840180292</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3.4638418755013567</v>
      </c>
      <c r="C27" s="247">
        <f>B27*'GWP N2O_CH4'!B5</f>
        <v>72.740679385528495</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0.19548224627970223</v>
      </c>
      <c r="C28" s="247">
        <f>B28*'GWP N2O_CH4'!B4</f>
        <v>60.599496346707689</v>
      </c>
      <c r="D28" s="50"/>
    </row>
    <row r="29" spans="1:4">
      <c r="A29" s="41" t="s">
        <v>276</v>
      </c>
      <c r="B29" s="247">
        <f>B34*'ha_N2O bodem landbouw'!B4</f>
        <v>0.8278453866579244</v>
      </c>
      <c r="C29" s="247">
        <f>B29*'GWP N2O_CH4'!B4</f>
        <v>256.63206986395659</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1.8153158827303271E-4</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2.6098210135500001E-4</v>
      </c>
      <c r="C5" s="463" t="s">
        <v>210</v>
      </c>
      <c r="D5" s="448">
        <f>SUM(D6:D11)</f>
        <v>1.0740970351341161E-3</v>
      </c>
      <c r="E5" s="448">
        <f>SUM(E6:E11)</f>
        <v>9.3127218348247501E-4</v>
      </c>
      <c r="F5" s="461" t="s">
        <v>210</v>
      </c>
      <c r="G5" s="448">
        <f>SUM(G6:G11)</f>
        <v>0.33041662101907598</v>
      </c>
      <c r="H5" s="448">
        <f>SUM(H6:H11)</f>
        <v>8.1688811404281039E-2</v>
      </c>
      <c r="I5" s="463" t="s">
        <v>210</v>
      </c>
      <c r="J5" s="463" t="s">
        <v>210</v>
      </c>
      <c r="K5" s="463" t="s">
        <v>210</v>
      </c>
      <c r="L5" s="463" t="s">
        <v>210</v>
      </c>
      <c r="M5" s="448">
        <f>SUM(M6:M11)</f>
        <v>2.4421296791096114E-2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5.8919019729999992E-5</v>
      </c>
      <c r="C6" s="449"/>
      <c r="D6" s="917">
        <f>vkm_2011_GW_PW*SUMIFS(TableVerdeelsleutelVkm[CNG],TableVerdeelsleutelVkm[Voertuigtype],"Lichte voertuigen")*SUMIFS(TableECFTransport[EnergieConsumptieFactor (PJ per km)],TableECFTransport[Index],CONCATENATE($A6,"_CNG_CNG"))</f>
        <v>2.04871467424008E-4</v>
      </c>
      <c r="E6" s="917">
        <f>vkm_2011_GW_PW*SUMIFS(TableVerdeelsleutelVkm[LPG],TableVerdeelsleutelVkm[Voertuigtype],"Lichte voertuigen")*SUMIFS(TableECFTransport[EnergieConsumptieFactor (PJ per km)],TableECFTransport[Index],CONCATENATE($A6,"_LPG_LPG"))</f>
        <v>1.614049626936E-4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4.3936307571843497E-2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1.5374789469178312E-2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3.5442108390924673E-3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2.2651135143041377E-2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5.7065508721455696E-6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1.3061352194220217E-3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5.3623710639999996E-5</v>
      </c>
      <c r="C8" s="449"/>
      <c r="D8" s="451">
        <f>vkm_2011_NGW_PW*SUMIFS(TableVerdeelsleutelVkm[CNG],TableVerdeelsleutelVkm[Voertuigtype],"Lichte voertuigen")*SUMIFS(TableECFTransport[EnergieConsumptieFactor (PJ per km)],TableECFTransport[Index],CONCATENATE($A8,"_CNG_CNG"))</f>
        <v>3.2998413216384E-4</v>
      </c>
      <c r="E8" s="451">
        <f>vkm_2011_NGW_PW*SUMIFS(TableVerdeelsleutelVkm[LPG],TableVerdeelsleutelVkm[Voertuigtype],"Lichte voertuigen")*SUMIFS(TableECFTransport[EnergieConsumptieFactor (PJ per km)],TableECFTransport[Index],CONCATENATE($A8,"_LPG_LPG"))</f>
        <v>2.4101115031880001E-4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6.0880403082592689E-2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2.4130235209301881E-2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5.0969586224335678E-3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4.0320625660580375E-4</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9.5846900911501756E-8</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2.3249755263931274E-5</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1.4843937098500001E-4</v>
      </c>
      <c r="C10" s="449"/>
      <c r="D10" s="451">
        <f>vkm_2011_SW_PW*SUMIFS(TableVerdeelsleutelVkm[CNG],TableVerdeelsleutelVkm[Voertuigtype],"Lichte voertuigen")*SUMIFS(TableECFTransport[EnergieConsumptieFactor (PJ per km)],TableECFTransport[Index],CONCATENATE($A10,"_CNG_CNG"))</f>
        <v>5.3924143554626798E-4</v>
      </c>
      <c r="E10" s="451">
        <f>vkm_2011_SW_PW*SUMIFS(TableVerdeelsleutelVkm[LPG],TableVerdeelsleutelVkm[Voertuigtype],"Lichte voertuigen")*SUMIFS(TableECFTransport[EnergieConsumptieFactor (PJ per km)],TableECFTransport[Index],CONCATENATE($A10,"_LPG_LPG"))</f>
        <v>5.2885607047007495E-4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0.12788022043773795</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4.2157610943765994E-2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1.0145202280352889E-2</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7.4665348527254732E-2</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2.0373384261791775E-5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4.3055400745312371E-3</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72.495028154166675</v>
      </c>
      <c r="C14" s="21"/>
      <c r="D14" s="21">
        <f t="shared" ref="D14:M14" si="0">((D5)*10^9/3600)+D12</f>
        <v>298.36028753725452</v>
      </c>
      <c r="E14" s="21">
        <f t="shared" si="0"/>
        <v>258.68671763402085</v>
      </c>
      <c r="F14" s="21"/>
      <c r="G14" s="21">
        <f t="shared" si="0"/>
        <v>91782.39472752111</v>
      </c>
      <c r="H14" s="21">
        <f t="shared" si="0"/>
        <v>22691.336501189176</v>
      </c>
      <c r="I14" s="21"/>
      <c r="J14" s="21"/>
      <c r="K14" s="21"/>
      <c r="L14" s="21"/>
      <c r="M14" s="21">
        <f t="shared" si="0"/>
        <v>6783.6935530822539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0.21737335130131319</v>
      </c>
      <c r="C16" s="56">
        <f ca="1">'EF ele_warmte'!B22</f>
        <v>0.23764705882352949</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15.758487222554264</v>
      </c>
      <c r="C18" s="23"/>
      <c r="D18" s="23">
        <f t="shared" ref="D18:M18" si="1">D14*D16</f>
        <v>60.268778082525415</v>
      </c>
      <c r="E18" s="23">
        <f t="shared" si="1"/>
        <v>58.721884902922739</v>
      </c>
      <c r="F18" s="23"/>
      <c r="G18" s="23">
        <f t="shared" si="1"/>
        <v>24505.899392248139</v>
      </c>
      <c r="H18" s="23">
        <f t="shared" si="1"/>
        <v>5650.1427887961054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8.9923752589231576E-3</v>
      </c>
      <c r="H50" s="321">
        <f t="shared" si="2"/>
        <v>0</v>
      </c>
      <c r="I50" s="321">
        <f t="shared" si="2"/>
        <v>0</v>
      </c>
      <c r="J50" s="321">
        <f t="shared" si="2"/>
        <v>0</v>
      </c>
      <c r="K50" s="321">
        <f t="shared" si="2"/>
        <v>0</v>
      </c>
      <c r="L50" s="321">
        <f t="shared" si="2"/>
        <v>0</v>
      </c>
      <c r="M50" s="321">
        <f t="shared" si="2"/>
        <v>4.9979721184261372E-4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8.9923752589231576E-3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4.9979721184261372E-4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2497.8820163675441</v>
      </c>
      <c r="H54" s="21">
        <f t="shared" si="3"/>
        <v>0</v>
      </c>
      <c r="I54" s="21">
        <f t="shared" si="3"/>
        <v>0</v>
      </c>
      <c r="J54" s="21">
        <f t="shared" si="3"/>
        <v>0</v>
      </c>
      <c r="K54" s="21">
        <f t="shared" si="3"/>
        <v>0</v>
      </c>
      <c r="L54" s="21">
        <f t="shared" si="3"/>
        <v>0</v>
      </c>
      <c r="M54" s="21">
        <f t="shared" si="3"/>
        <v>138.83255884517047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0.21737335130131319</v>
      </c>
      <c r="C56" s="56">
        <f ca="1">'EF ele_warmte'!B22</f>
        <v>0.23764705882352949</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666.93449837013429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40651.519751000007</v>
      </c>
      <c r="D10" s="712">
        <f ca="1">tertiair!C16</f>
        <v>10028.571428571429</v>
      </c>
      <c r="E10" s="712">
        <f ca="1">tertiair!D16</f>
        <v>51180.308901847151</v>
      </c>
      <c r="F10" s="712">
        <f>tertiair!E16</f>
        <v>281.86005996116489</v>
      </c>
      <c r="G10" s="712">
        <f ca="1">tertiair!F16</f>
        <v>3384.338120106685</v>
      </c>
      <c r="H10" s="712">
        <f>tertiair!G16</f>
        <v>0</v>
      </c>
      <c r="I10" s="712">
        <f>tertiair!H16</f>
        <v>0</v>
      </c>
      <c r="J10" s="712">
        <f>tertiair!I16</f>
        <v>0</v>
      </c>
      <c r="K10" s="712">
        <f>tertiair!J16</f>
        <v>4.5451734859103907E-2</v>
      </c>
      <c r="L10" s="712">
        <f>tertiair!K16</f>
        <v>0</v>
      </c>
      <c r="M10" s="712">
        <f ca="1">tertiair!L16</f>
        <v>0</v>
      </c>
      <c r="N10" s="712">
        <f>tertiair!M16</f>
        <v>0</v>
      </c>
      <c r="O10" s="712">
        <f ca="1">tertiair!N16</f>
        <v>1886.3474348994193</v>
      </c>
      <c r="P10" s="712">
        <f>tertiair!O16</f>
        <v>14.691782297523464</v>
      </c>
      <c r="Q10" s="713">
        <f>tertiair!P16</f>
        <v>0</v>
      </c>
      <c r="R10" s="715">
        <f ca="1">SUM(C10:Q10)</f>
        <v>107427.68293041823</v>
      </c>
      <c r="S10" s="67"/>
    </row>
    <row r="11" spans="1:19" s="474" customFormat="1">
      <c r="A11" s="834" t="s">
        <v>224</v>
      </c>
      <c r="B11" s="839"/>
      <c r="C11" s="712">
        <f>huishoudens!B8</f>
        <v>32018.280369645865</v>
      </c>
      <c r="D11" s="712">
        <f>huishoudens!C8</f>
        <v>0</v>
      </c>
      <c r="E11" s="712">
        <f>huishoudens!D8</f>
        <v>110565.74793704</v>
      </c>
      <c r="F11" s="712">
        <f>huishoudens!E8</f>
        <v>492.81032996114067</v>
      </c>
      <c r="G11" s="712">
        <f>huishoudens!F8</f>
        <v>4534.7389686110046</v>
      </c>
      <c r="H11" s="712">
        <f>huishoudens!G8</f>
        <v>0</v>
      </c>
      <c r="I11" s="712">
        <f>huishoudens!H8</f>
        <v>0</v>
      </c>
      <c r="J11" s="712">
        <f>huishoudens!I8</f>
        <v>0</v>
      </c>
      <c r="K11" s="712">
        <f>huishoudens!J8</f>
        <v>0</v>
      </c>
      <c r="L11" s="712">
        <f>huishoudens!K8</f>
        <v>0</v>
      </c>
      <c r="M11" s="712">
        <f>huishoudens!L8</f>
        <v>0</v>
      </c>
      <c r="N11" s="712">
        <f>huishoudens!M8</f>
        <v>0</v>
      </c>
      <c r="O11" s="712">
        <f>huishoudens!N8</f>
        <v>1847.7894208681978</v>
      </c>
      <c r="P11" s="712">
        <f>huishoudens!O8</f>
        <v>218.23540413257348</v>
      </c>
      <c r="Q11" s="713">
        <f>huishoudens!P8</f>
        <v>474.02816884582603</v>
      </c>
      <c r="R11" s="715">
        <f>SUM(C11:Q11)</f>
        <v>150151.63059910462</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10954.109081000001</v>
      </c>
      <c r="D13" s="712">
        <f>industrie!C18</f>
        <v>0</v>
      </c>
      <c r="E13" s="712">
        <f>industrie!D18</f>
        <v>11186.659519002</v>
      </c>
      <c r="F13" s="712">
        <f>industrie!E18</f>
        <v>905.2913912757374</v>
      </c>
      <c r="G13" s="712">
        <f>industrie!F18</f>
        <v>3047.6919949329513</v>
      </c>
      <c r="H13" s="712">
        <f>industrie!G18</f>
        <v>0</v>
      </c>
      <c r="I13" s="712">
        <f>industrie!H18</f>
        <v>0</v>
      </c>
      <c r="J13" s="712">
        <f>industrie!I18</f>
        <v>0</v>
      </c>
      <c r="K13" s="712">
        <f>industrie!J18</f>
        <v>71.903754776381788</v>
      </c>
      <c r="L13" s="712">
        <f>industrie!K18</f>
        <v>0</v>
      </c>
      <c r="M13" s="712">
        <f>industrie!L18</f>
        <v>0</v>
      </c>
      <c r="N13" s="712">
        <f>industrie!M18</f>
        <v>0</v>
      </c>
      <c r="O13" s="712">
        <f>industrie!N18</f>
        <v>495.26921008419265</v>
      </c>
      <c r="P13" s="712">
        <f>industrie!O18</f>
        <v>0</v>
      </c>
      <c r="Q13" s="713">
        <f>industrie!P18</f>
        <v>0</v>
      </c>
      <c r="R13" s="715">
        <f>SUM(C13:Q13)</f>
        <v>26660.924951071258</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83623.909201645874</v>
      </c>
      <c r="D16" s="748">
        <f t="shared" ref="D16:R16" ca="1" si="0">SUM(D9:D15)</f>
        <v>10028.571428571429</v>
      </c>
      <c r="E16" s="748">
        <f t="shared" ca="1" si="0"/>
        <v>172932.71635788915</v>
      </c>
      <c r="F16" s="748">
        <f t="shared" si="0"/>
        <v>1679.9617811980429</v>
      </c>
      <c r="G16" s="748">
        <f t="shared" ca="1" si="0"/>
        <v>10966.769083650641</v>
      </c>
      <c r="H16" s="748">
        <f t="shared" si="0"/>
        <v>0</v>
      </c>
      <c r="I16" s="748">
        <f t="shared" si="0"/>
        <v>0</v>
      </c>
      <c r="J16" s="748">
        <f t="shared" si="0"/>
        <v>0</v>
      </c>
      <c r="K16" s="748">
        <f t="shared" si="0"/>
        <v>71.949206511240888</v>
      </c>
      <c r="L16" s="748">
        <f t="shared" si="0"/>
        <v>0</v>
      </c>
      <c r="M16" s="748">
        <f t="shared" ca="1" si="0"/>
        <v>0</v>
      </c>
      <c r="N16" s="748">
        <f t="shared" si="0"/>
        <v>0</v>
      </c>
      <c r="O16" s="748">
        <f t="shared" ca="1" si="0"/>
        <v>4229.4060658518092</v>
      </c>
      <c r="P16" s="748">
        <f t="shared" si="0"/>
        <v>232.92718643009695</v>
      </c>
      <c r="Q16" s="748">
        <f t="shared" si="0"/>
        <v>474.02816884582603</v>
      </c>
      <c r="R16" s="748">
        <f t="shared" ca="1" si="0"/>
        <v>284240.23848059413</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2497.8820163675441</v>
      </c>
      <c r="I19" s="712">
        <f>transport!H54</f>
        <v>0</v>
      </c>
      <c r="J19" s="712">
        <f>transport!I54</f>
        <v>0</v>
      </c>
      <c r="K19" s="712">
        <f>transport!J54</f>
        <v>0</v>
      </c>
      <c r="L19" s="712">
        <f>transport!K54</f>
        <v>0</v>
      </c>
      <c r="M19" s="712">
        <f>transport!L54</f>
        <v>0</v>
      </c>
      <c r="N19" s="712">
        <f>transport!M54</f>
        <v>138.83255884517047</v>
      </c>
      <c r="O19" s="712">
        <f>transport!N54</f>
        <v>0</v>
      </c>
      <c r="P19" s="712">
        <f>transport!O54</f>
        <v>0</v>
      </c>
      <c r="Q19" s="713">
        <f>transport!P54</f>
        <v>0</v>
      </c>
      <c r="R19" s="715">
        <f>SUM(C19:Q19)</f>
        <v>2636.7145752127144</v>
      </c>
      <c r="S19" s="67"/>
    </row>
    <row r="20" spans="1:19" s="474" customFormat="1">
      <c r="A20" s="834" t="s">
        <v>306</v>
      </c>
      <c r="B20" s="839"/>
      <c r="C20" s="712">
        <f>transport!B14</f>
        <v>72.495028154166675</v>
      </c>
      <c r="D20" s="712">
        <f>transport!C14</f>
        <v>0</v>
      </c>
      <c r="E20" s="712">
        <f>transport!D14</f>
        <v>298.36028753725452</v>
      </c>
      <c r="F20" s="712">
        <f>transport!E14</f>
        <v>258.68671763402085</v>
      </c>
      <c r="G20" s="712">
        <f>transport!F14</f>
        <v>0</v>
      </c>
      <c r="H20" s="712">
        <f>transport!G14</f>
        <v>91782.39472752111</v>
      </c>
      <c r="I20" s="712">
        <f>transport!H14</f>
        <v>22691.336501189176</v>
      </c>
      <c r="J20" s="712">
        <f>transport!I14</f>
        <v>0</v>
      </c>
      <c r="K20" s="712">
        <f>transport!J14</f>
        <v>0</v>
      </c>
      <c r="L20" s="712">
        <f>transport!K14</f>
        <v>0</v>
      </c>
      <c r="M20" s="712">
        <f>transport!L14</f>
        <v>0</v>
      </c>
      <c r="N20" s="712">
        <f>transport!M14</f>
        <v>6783.6935530822539</v>
      </c>
      <c r="O20" s="712">
        <f>transport!N14</f>
        <v>0</v>
      </c>
      <c r="P20" s="712">
        <f>transport!O14</f>
        <v>0</v>
      </c>
      <c r="Q20" s="713">
        <f>transport!P14</f>
        <v>0</v>
      </c>
      <c r="R20" s="715">
        <f>SUM(C20:Q20)</f>
        <v>121886.96681511798</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72.495028154166675</v>
      </c>
      <c r="D22" s="837">
        <f t="shared" ref="D22:R22" si="1">SUM(D18:D21)</f>
        <v>0</v>
      </c>
      <c r="E22" s="837">
        <f t="shared" si="1"/>
        <v>298.36028753725452</v>
      </c>
      <c r="F22" s="837">
        <f t="shared" si="1"/>
        <v>258.68671763402085</v>
      </c>
      <c r="G22" s="837">
        <f t="shared" si="1"/>
        <v>0</v>
      </c>
      <c r="H22" s="837">
        <f t="shared" si="1"/>
        <v>94280.276743888651</v>
      </c>
      <c r="I22" s="837">
        <f t="shared" si="1"/>
        <v>22691.336501189176</v>
      </c>
      <c r="J22" s="837">
        <f t="shared" si="1"/>
        <v>0</v>
      </c>
      <c r="K22" s="837">
        <f t="shared" si="1"/>
        <v>0</v>
      </c>
      <c r="L22" s="837">
        <f t="shared" si="1"/>
        <v>0</v>
      </c>
      <c r="M22" s="837">
        <f t="shared" si="1"/>
        <v>0</v>
      </c>
      <c r="N22" s="837">
        <f t="shared" si="1"/>
        <v>6922.5261119274246</v>
      </c>
      <c r="O22" s="837">
        <f t="shared" si="1"/>
        <v>0</v>
      </c>
      <c r="P22" s="837">
        <f t="shared" si="1"/>
        <v>0</v>
      </c>
      <c r="Q22" s="837">
        <f t="shared" si="1"/>
        <v>0</v>
      </c>
      <c r="R22" s="837">
        <f t="shared" si="1"/>
        <v>124523.68139033069</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461.44249600000001</v>
      </c>
      <c r="D24" s="712">
        <f>+landbouw!C8</f>
        <v>0</v>
      </c>
      <c r="E24" s="712">
        <f>+landbouw!D8</f>
        <v>302.72535598800005</v>
      </c>
      <c r="F24" s="712">
        <f>+landbouw!E8</f>
        <v>14.401468135197085</v>
      </c>
      <c r="G24" s="712">
        <f>+landbouw!F8</f>
        <v>1630.7888980847688</v>
      </c>
      <c r="H24" s="712">
        <f>+landbouw!G8</f>
        <v>0</v>
      </c>
      <c r="I24" s="712">
        <f>+landbouw!H8</f>
        <v>0</v>
      </c>
      <c r="J24" s="712">
        <f>+landbouw!I8</f>
        <v>0</v>
      </c>
      <c r="K24" s="712">
        <f>+landbouw!J8</f>
        <v>127.13060772366447</v>
      </c>
      <c r="L24" s="712">
        <f>+landbouw!K8</f>
        <v>0</v>
      </c>
      <c r="M24" s="712">
        <f>+landbouw!L8</f>
        <v>0</v>
      </c>
      <c r="N24" s="712">
        <f>+landbouw!M8</f>
        <v>0</v>
      </c>
      <c r="O24" s="712">
        <f>+landbouw!N8</f>
        <v>0</v>
      </c>
      <c r="P24" s="712">
        <f>+landbouw!O8</f>
        <v>0</v>
      </c>
      <c r="Q24" s="713">
        <f>+landbouw!P8</f>
        <v>0</v>
      </c>
      <c r="R24" s="715">
        <f>SUM(C24:Q24)</f>
        <v>2536.4888259316303</v>
      </c>
      <c r="S24" s="67"/>
    </row>
    <row r="25" spans="1:19" s="474" customFormat="1" ht="15" thickBot="1">
      <c r="A25" s="856" t="s">
        <v>734</v>
      </c>
      <c r="B25" s="982"/>
      <c r="C25" s="983">
        <f>IF(Onbekend_ele_kWh="---",0,Onbekend_ele_kWh)/1000+IF(REST_rest_ele_kWh="---",0,REST_rest_ele_kWh)/1000</f>
        <v>1070.444452</v>
      </c>
      <c r="D25" s="983"/>
      <c r="E25" s="983">
        <f>IF(onbekend_gas_kWh="---",0,onbekend_gas_kWh)/1000+IF(REST_rest_gas_kWh="---",0,REST_rest_gas_kWh)/1000</f>
        <v>3446.7519520000001</v>
      </c>
      <c r="F25" s="983"/>
      <c r="G25" s="983"/>
      <c r="H25" s="983"/>
      <c r="I25" s="983"/>
      <c r="J25" s="983"/>
      <c r="K25" s="983"/>
      <c r="L25" s="983"/>
      <c r="M25" s="983"/>
      <c r="N25" s="983"/>
      <c r="O25" s="983"/>
      <c r="P25" s="983"/>
      <c r="Q25" s="984"/>
      <c r="R25" s="715">
        <f>SUM(C25:Q25)</f>
        <v>4517.1964040000003</v>
      </c>
      <c r="S25" s="67"/>
    </row>
    <row r="26" spans="1:19" s="474" customFormat="1" ht="15.75" thickBot="1">
      <c r="A26" s="720" t="s">
        <v>735</v>
      </c>
      <c r="B26" s="842"/>
      <c r="C26" s="837">
        <f>SUM(C24:C25)</f>
        <v>1531.8869479999998</v>
      </c>
      <c r="D26" s="837">
        <f t="shared" ref="D26:R26" si="2">SUM(D24:D25)</f>
        <v>0</v>
      </c>
      <c r="E26" s="837">
        <f t="shared" si="2"/>
        <v>3749.4773079880001</v>
      </c>
      <c r="F26" s="837">
        <f t="shared" si="2"/>
        <v>14.401468135197085</v>
      </c>
      <c r="G26" s="837">
        <f t="shared" si="2"/>
        <v>1630.7888980847688</v>
      </c>
      <c r="H26" s="837">
        <f t="shared" si="2"/>
        <v>0</v>
      </c>
      <c r="I26" s="837">
        <f t="shared" si="2"/>
        <v>0</v>
      </c>
      <c r="J26" s="837">
        <f t="shared" si="2"/>
        <v>0</v>
      </c>
      <c r="K26" s="837">
        <f t="shared" si="2"/>
        <v>127.13060772366447</v>
      </c>
      <c r="L26" s="837">
        <f t="shared" si="2"/>
        <v>0</v>
      </c>
      <c r="M26" s="837">
        <f t="shared" si="2"/>
        <v>0</v>
      </c>
      <c r="N26" s="837">
        <f t="shared" si="2"/>
        <v>0</v>
      </c>
      <c r="O26" s="837">
        <f t="shared" si="2"/>
        <v>0</v>
      </c>
      <c r="P26" s="837">
        <f t="shared" si="2"/>
        <v>0</v>
      </c>
      <c r="Q26" s="837">
        <f t="shared" si="2"/>
        <v>0</v>
      </c>
      <c r="R26" s="837">
        <f t="shared" si="2"/>
        <v>7053.6852299316306</v>
      </c>
      <c r="S26" s="67"/>
    </row>
    <row r="27" spans="1:19" s="474" customFormat="1" ht="17.25" thickTop="1" thickBot="1">
      <c r="A27" s="721" t="s">
        <v>115</v>
      </c>
      <c r="B27" s="829"/>
      <c r="C27" s="722">
        <f ca="1">C22+C16+C26</f>
        <v>85228.291177800042</v>
      </c>
      <c r="D27" s="722">
        <f t="shared" ref="D27:R27" ca="1" si="3">D22+D16+D26</f>
        <v>10028.571428571429</v>
      </c>
      <c r="E27" s="722">
        <f t="shared" ca="1" si="3"/>
        <v>176980.5539534144</v>
      </c>
      <c r="F27" s="722">
        <f t="shared" si="3"/>
        <v>1953.0499669672608</v>
      </c>
      <c r="G27" s="722">
        <f t="shared" ca="1" si="3"/>
        <v>12597.55798173541</v>
      </c>
      <c r="H27" s="722">
        <f t="shared" si="3"/>
        <v>94280.276743888651</v>
      </c>
      <c r="I27" s="722">
        <f t="shared" si="3"/>
        <v>22691.336501189176</v>
      </c>
      <c r="J27" s="722">
        <f t="shared" si="3"/>
        <v>0</v>
      </c>
      <c r="K27" s="722">
        <f t="shared" si="3"/>
        <v>199.07981423490537</v>
      </c>
      <c r="L27" s="722">
        <f t="shared" si="3"/>
        <v>0</v>
      </c>
      <c r="M27" s="722">
        <f t="shared" ca="1" si="3"/>
        <v>0</v>
      </c>
      <c r="N27" s="722">
        <f t="shared" si="3"/>
        <v>6922.5261119274246</v>
      </c>
      <c r="O27" s="722">
        <f t="shared" ca="1" si="3"/>
        <v>4229.4060658518092</v>
      </c>
      <c r="P27" s="722">
        <f t="shared" si="3"/>
        <v>232.92718643009695</v>
      </c>
      <c r="Q27" s="722">
        <f t="shared" si="3"/>
        <v>474.02816884582603</v>
      </c>
      <c r="R27" s="722">
        <f t="shared" ca="1" si="3"/>
        <v>415817.6051008564</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8836.5570837663963</v>
      </c>
      <c r="D40" s="712">
        <f ca="1">tertiair!C20</f>
        <v>2383.2605042016817</v>
      </c>
      <c r="E40" s="712">
        <f ca="1">tertiair!D20</f>
        <v>10338.422398173125</v>
      </c>
      <c r="F40" s="712">
        <f>tertiair!E20</f>
        <v>63.982233611184434</v>
      </c>
      <c r="G40" s="712">
        <f ca="1">tertiair!F20</f>
        <v>903.61827806848498</v>
      </c>
      <c r="H40" s="712">
        <f>tertiair!G20</f>
        <v>0</v>
      </c>
      <c r="I40" s="712">
        <f>tertiair!H20</f>
        <v>0</v>
      </c>
      <c r="J40" s="712">
        <f>tertiair!I20</f>
        <v>0</v>
      </c>
      <c r="K40" s="712">
        <f>tertiair!J20</f>
        <v>1.6089914140122782E-2</v>
      </c>
      <c r="L40" s="712">
        <f>tertiair!K20</f>
        <v>0</v>
      </c>
      <c r="M40" s="712">
        <f ca="1">tertiair!L20</f>
        <v>0</v>
      </c>
      <c r="N40" s="712">
        <f>tertiair!M20</f>
        <v>0</v>
      </c>
      <c r="O40" s="712">
        <f ca="1">tertiair!N20</f>
        <v>0</v>
      </c>
      <c r="P40" s="712">
        <f>tertiair!O20</f>
        <v>0</v>
      </c>
      <c r="Q40" s="795">
        <f>tertiair!P20</f>
        <v>0</v>
      </c>
      <c r="R40" s="875">
        <f t="shared" ca="1" si="4"/>
        <v>22525.856587735016</v>
      </c>
    </row>
    <row r="41" spans="1:18">
      <c r="A41" s="847" t="s">
        <v>224</v>
      </c>
      <c r="B41" s="854"/>
      <c r="C41" s="712">
        <f ca="1">huishoudens!B12</f>
        <v>6959.9209068549708</v>
      </c>
      <c r="D41" s="712">
        <f ca="1">huishoudens!C12</f>
        <v>0</v>
      </c>
      <c r="E41" s="712">
        <f>huishoudens!D12</f>
        <v>22334.28108328208</v>
      </c>
      <c r="F41" s="712">
        <f>huishoudens!E12</f>
        <v>111.86794490117893</v>
      </c>
      <c r="G41" s="712">
        <f>huishoudens!F12</f>
        <v>1210.7753046191383</v>
      </c>
      <c r="H41" s="712">
        <f>huishoudens!G12</f>
        <v>0</v>
      </c>
      <c r="I41" s="712">
        <f>huishoudens!H12</f>
        <v>0</v>
      </c>
      <c r="J41" s="712">
        <f>huishoudens!I12</f>
        <v>0</v>
      </c>
      <c r="K41" s="712">
        <f>huishoudens!J12</f>
        <v>0</v>
      </c>
      <c r="L41" s="712">
        <f>huishoudens!K12</f>
        <v>0</v>
      </c>
      <c r="M41" s="712">
        <f>huishoudens!L12</f>
        <v>0</v>
      </c>
      <c r="N41" s="712">
        <f>huishoudens!M12</f>
        <v>0</v>
      </c>
      <c r="O41" s="712">
        <f>huishoudens!N12</f>
        <v>0</v>
      </c>
      <c r="P41" s="712">
        <f>huishoudens!O12</f>
        <v>0</v>
      </c>
      <c r="Q41" s="795">
        <f>huishoudens!P12</f>
        <v>0</v>
      </c>
      <c r="R41" s="875">
        <f t="shared" ca="1" si="4"/>
        <v>30616.84523965737</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2381.131401457118</v>
      </c>
      <c r="D43" s="712">
        <f ca="1">industrie!C22</f>
        <v>0</v>
      </c>
      <c r="E43" s="712">
        <f>industrie!D22</f>
        <v>2259.7052228384041</v>
      </c>
      <c r="F43" s="712">
        <f>industrie!E22</f>
        <v>205.50114581959241</v>
      </c>
      <c r="G43" s="712">
        <f>industrie!F22</f>
        <v>813.73376264709805</v>
      </c>
      <c r="H43" s="712">
        <f>industrie!G22</f>
        <v>0</v>
      </c>
      <c r="I43" s="712">
        <f>industrie!H22</f>
        <v>0</v>
      </c>
      <c r="J43" s="712">
        <f>industrie!I22</f>
        <v>0</v>
      </c>
      <c r="K43" s="712">
        <f>industrie!J22</f>
        <v>25.453929190839151</v>
      </c>
      <c r="L43" s="712">
        <f>industrie!K22</f>
        <v>0</v>
      </c>
      <c r="M43" s="712">
        <f>industrie!L22</f>
        <v>0</v>
      </c>
      <c r="N43" s="712">
        <f>industrie!M22</f>
        <v>0</v>
      </c>
      <c r="O43" s="712">
        <f>industrie!N22</f>
        <v>0</v>
      </c>
      <c r="P43" s="712">
        <f>industrie!O22</f>
        <v>0</v>
      </c>
      <c r="Q43" s="795">
        <f>industrie!P22</f>
        <v>0</v>
      </c>
      <c r="R43" s="874">
        <f t="shared" ca="1" si="4"/>
        <v>5685.5254619530515</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18177.609392078484</v>
      </c>
      <c r="D46" s="748">
        <f t="shared" ref="D46:Q46" ca="1" si="5">SUM(D39:D45)</f>
        <v>2383.2605042016817</v>
      </c>
      <c r="E46" s="748">
        <f t="shared" ca="1" si="5"/>
        <v>34932.408704293608</v>
      </c>
      <c r="F46" s="748">
        <f t="shared" si="5"/>
        <v>381.35132433195577</v>
      </c>
      <c r="G46" s="748">
        <f t="shared" ca="1" si="5"/>
        <v>2928.1273453347212</v>
      </c>
      <c r="H46" s="748">
        <f t="shared" si="5"/>
        <v>0</v>
      </c>
      <c r="I46" s="748">
        <f t="shared" si="5"/>
        <v>0</v>
      </c>
      <c r="J46" s="748">
        <f t="shared" si="5"/>
        <v>0</v>
      </c>
      <c r="K46" s="748">
        <f t="shared" si="5"/>
        <v>25.470019104979276</v>
      </c>
      <c r="L46" s="748">
        <f t="shared" si="5"/>
        <v>0</v>
      </c>
      <c r="M46" s="748">
        <f t="shared" ca="1" si="5"/>
        <v>0</v>
      </c>
      <c r="N46" s="748">
        <f t="shared" si="5"/>
        <v>0</v>
      </c>
      <c r="O46" s="748">
        <f t="shared" ca="1" si="5"/>
        <v>0</v>
      </c>
      <c r="P46" s="748">
        <f t="shared" si="5"/>
        <v>0</v>
      </c>
      <c r="Q46" s="748">
        <f t="shared" si="5"/>
        <v>0</v>
      </c>
      <c r="R46" s="748">
        <f ca="1">SUM(R39:R45)</f>
        <v>58828.227289345443</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666.93449837013429</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666.93449837013429</v>
      </c>
    </row>
    <row r="50" spans="1:18">
      <c r="A50" s="850" t="s">
        <v>306</v>
      </c>
      <c r="B50" s="860"/>
      <c r="C50" s="718">
        <f ca="1">transport!B18</f>
        <v>15.758487222554264</v>
      </c>
      <c r="D50" s="718">
        <f>transport!C18</f>
        <v>0</v>
      </c>
      <c r="E50" s="718">
        <f>transport!D18</f>
        <v>60.268778082525415</v>
      </c>
      <c r="F50" s="718">
        <f>transport!E18</f>
        <v>58.721884902922739</v>
      </c>
      <c r="G50" s="718">
        <f>transport!F18</f>
        <v>0</v>
      </c>
      <c r="H50" s="718">
        <f>transport!G18</f>
        <v>24505.899392248139</v>
      </c>
      <c r="I50" s="718">
        <f>transport!H18</f>
        <v>5650.1427887961054</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30290.791331252243</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15.758487222554264</v>
      </c>
      <c r="D52" s="748">
        <f t="shared" ref="D52:Q52" ca="1" si="6">SUM(D48:D51)</f>
        <v>0</v>
      </c>
      <c r="E52" s="748">
        <f t="shared" si="6"/>
        <v>60.268778082525415</v>
      </c>
      <c r="F52" s="748">
        <f t="shared" si="6"/>
        <v>58.721884902922739</v>
      </c>
      <c r="G52" s="748">
        <f t="shared" si="6"/>
        <v>0</v>
      </c>
      <c r="H52" s="748">
        <f t="shared" si="6"/>
        <v>25172.833890618273</v>
      </c>
      <c r="I52" s="748">
        <f t="shared" si="6"/>
        <v>5650.1427887961054</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30957.725829622377</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100.30530178836281</v>
      </c>
      <c r="D54" s="718">
        <f ca="1">+landbouw!C12</f>
        <v>0</v>
      </c>
      <c r="E54" s="718">
        <f>+landbouw!D12</f>
        <v>61.150521909576014</v>
      </c>
      <c r="F54" s="718">
        <f>+landbouw!E12</f>
        <v>3.2691332666897384</v>
      </c>
      <c r="G54" s="718">
        <f>+landbouw!F12</f>
        <v>435.42063578863332</v>
      </c>
      <c r="H54" s="718">
        <f>+landbouw!G12</f>
        <v>0</v>
      </c>
      <c r="I54" s="718">
        <f>+landbouw!H12</f>
        <v>0</v>
      </c>
      <c r="J54" s="718">
        <f>+landbouw!I12</f>
        <v>0</v>
      </c>
      <c r="K54" s="718">
        <f>+landbouw!J12</f>
        <v>45.004235134177222</v>
      </c>
      <c r="L54" s="718">
        <f>+landbouw!K12</f>
        <v>0</v>
      </c>
      <c r="M54" s="718">
        <f>+landbouw!L12</f>
        <v>0</v>
      </c>
      <c r="N54" s="718">
        <f>+landbouw!M12</f>
        <v>0</v>
      </c>
      <c r="O54" s="718">
        <f>+landbouw!N12</f>
        <v>0</v>
      </c>
      <c r="P54" s="718">
        <f>+landbouw!O12</f>
        <v>0</v>
      </c>
      <c r="Q54" s="719">
        <f>+landbouw!P12</f>
        <v>0</v>
      </c>
      <c r="R54" s="747">
        <f ca="1">SUM(C54:Q54)</f>
        <v>645.14982788743907</v>
      </c>
    </row>
    <row r="55" spans="1:18" ht="15" thickBot="1">
      <c r="A55" s="850" t="s">
        <v>734</v>
      </c>
      <c r="B55" s="860"/>
      <c r="C55" s="718">
        <f ca="1">C25*'EF ele_warmte'!B12</f>
        <v>232.68609791313767</v>
      </c>
      <c r="D55" s="718"/>
      <c r="E55" s="718">
        <f>E25*EF_CO2_aardgas</f>
        <v>696.24389430400004</v>
      </c>
      <c r="F55" s="718"/>
      <c r="G55" s="718"/>
      <c r="H55" s="718"/>
      <c r="I55" s="718"/>
      <c r="J55" s="718"/>
      <c r="K55" s="718"/>
      <c r="L55" s="718"/>
      <c r="M55" s="718"/>
      <c r="N55" s="718"/>
      <c r="O55" s="718"/>
      <c r="P55" s="718"/>
      <c r="Q55" s="719"/>
      <c r="R55" s="747">
        <f ca="1">SUM(C55:Q55)</f>
        <v>928.92999221713774</v>
      </c>
    </row>
    <row r="56" spans="1:18" ht="15.75" thickBot="1">
      <c r="A56" s="848" t="s">
        <v>735</v>
      </c>
      <c r="B56" s="861"/>
      <c r="C56" s="748">
        <f ca="1">SUM(C54:C55)</f>
        <v>332.99139970150048</v>
      </c>
      <c r="D56" s="748">
        <f t="shared" ref="D56:Q56" ca="1" si="7">SUM(D54:D55)</f>
        <v>0</v>
      </c>
      <c r="E56" s="748">
        <f t="shared" si="7"/>
        <v>757.39441621357605</v>
      </c>
      <c r="F56" s="748">
        <f t="shared" si="7"/>
        <v>3.2691332666897384</v>
      </c>
      <c r="G56" s="748">
        <f t="shared" si="7"/>
        <v>435.42063578863332</v>
      </c>
      <c r="H56" s="748">
        <f t="shared" si="7"/>
        <v>0</v>
      </c>
      <c r="I56" s="748">
        <f t="shared" si="7"/>
        <v>0</v>
      </c>
      <c r="J56" s="748">
        <f t="shared" si="7"/>
        <v>0</v>
      </c>
      <c r="K56" s="748">
        <f t="shared" si="7"/>
        <v>45.004235134177222</v>
      </c>
      <c r="L56" s="748">
        <f t="shared" si="7"/>
        <v>0</v>
      </c>
      <c r="M56" s="748">
        <f t="shared" si="7"/>
        <v>0</v>
      </c>
      <c r="N56" s="748">
        <f t="shared" si="7"/>
        <v>0</v>
      </c>
      <c r="O56" s="748">
        <f t="shared" si="7"/>
        <v>0</v>
      </c>
      <c r="P56" s="748">
        <f t="shared" si="7"/>
        <v>0</v>
      </c>
      <c r="Q56" s="749">
        <f t="shared" si="7"/>
        <v>0</v>
      </c>
      <c r="R56" s="750">
        <f ca="1">SUM(R54:R55)</f>
        <v>1574.0798201045768</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18526.359279002536</v>
      </c>
      <c r="D61" s="756">
        <f t="shared" ref="D61:Q61" ca="1" si="8">D46+D52+D56</f>
        <v>2383.2605042016817</v>
      </c>
      <c r="E61" s="756">
        <f t="shared" ca="1" si="8"/>
        <v>35750.071898589711</v>
      </c>
      <c r="F61" s="756">
        <f t="shared" si="8"/>
        <v>443.34234250156823</v>
      </c>
      <c r="G61" s="756">
        <f t="shared" ca="1" si="8"/>
        <v>3363.5479811233545</v>
      </c>
      <c r="H61" s="756">
        <f t="shared" si="8"/>
        <v>25172.833890618273</v>
      </c>
      <c r="I61" s="756">
        <f t="shared" si="8"/>
        <v>5650.1427887961054</v>
      </c>
      <c r="J61" s="756">
        <f t="shared" si="8"/>
        <v>0</v>
      </c>
      <c r="K61" s="756">
        <f t="shared" si="8"/>
        <v>70.474254239156494</v>
      </c>
      <c r="L61" s="756">
        <f t="shared" si="8"/>
        <v>0</v>
      </c>
      <c r="M61" s="756">
        <f t="shared" ca="1" si="8"/>
        <v>0</v>
      </c>
      <c r="N61" s="756">
        <f t="shared" si="8"/>
        <v>0</v>
      </c>
      <c r="O61" s="756">
        <f t="shared" ca="1" si="8"/>
        <v>0</v>
      </c>
      <c r="P61" s="756">
        <f t="shared" si="8"/>
        <v>0</v>
      </c>
      <c r="Q61" s="756">
        <f t="shared" si="8"/>
        <v>0</v>
      </c>
      <c r="R61" s="756">
        <f ca="1">R46+R52+R56</f>
        <v>91360.032939072407</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0.21737335130131313</v>
      </c>
      <c r="D63" s="802">
        <f t="shared" ca="1" si="9"/>
        <v>0.23764705882352949</v>
      </c>
      <c r="E63" s="1008">
        <f t="shared" ca="1" si="9"/>
        <v>0.20200000000000001</v>
      </c>
      <c r="F63" s="802">
        <f t="shared" si="9"/>
        <v>0.22700000000000001</v>
      </c>
      <c r="G63" s="802">
        <f t="shared" ca="1" si="9"/>
        <v>0.26700000000000002</v>
      </c>
      <c r="H63" s="802">
        <f t="shared" si="9"/>
        <v>0.26700000000000002</v>
      </c>
      <c r="I63" s="802">
        <f t="shared" si="9"/>
        <v>0.24900000000000003</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0</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1927.4001096490781</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0</v>
      </c>
      <c r="C76" s="769">
        <f>'lokale energieproductie'!B8*IFERROR(SUM(D76:H76)/SUM(D76:O76),0)</f>
        <v>7020</v>
      </c>
      <c r="D76" s="991">
        <f>'lokale energieproductie'!C8</f>
        <v>8258.8235294117658</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1668.2823529411769</v>
      </c>
      <c r="R76" s="877">
        <v>0</v>
      </c>
    </row>
    <row r="77" spans="1:18" ht="15.75" thickBot="1">
      <c r="A77" s="772" t="s">
        <v>801</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1927.4001096490781</v>
      </c>
      <c r="C78" s="774">
        <f>SUM(C72:C77)</f>
        <v>7020</v>
      </c>
      <c r="D78" s="775">
        <f t="shared" ref="D78:H78" si="10">SUM(D76:D77)</f>
        <v>8258.8235294117658</v>
      </c>
      <c r="E78" s="775">
        <f t="shared" si="10"/>
        <v>0</v>
      </c>
      <c r="F78" s="775">
        <f t="shared" si="10"/>
        <v>0</v>
      </c>
      <c r="G78" s="775">
        <f t="shared" si="10"/>
        <v>0</v>
      </c>
      <c r="H78" s="775">
        <f t="shared" si="10"/>
        <v>0</v>
      </c>
      <c r="I78" s="775">
        <f>SUM(I76:I77)</f>
        <v>0</v>
      </c>
      <c r="J78" s="775">
        <f>SUM(J76:J77)</f>
        <v>0</v>
      </c>
      <c r="K78" s="775">
        <f t="shared" ref="K78:L78" si="11">SUM(K76:K77)</f>
        <v>0</v>
      </c>
      <c r="L78" s="775">
        <f t="shared" si="11"/>
        <v>0</v>
      </c>
      <c r="M78" s="775">
        <f>SUM(M76:M77)</f>
        <v>0</v>
      </c>
      <c r="N78" s="775">
        <f>SUM(N76:N77)</f>
        <v>0</v>
      </c>
      <c r="O78" s="885">
        <f>SUM(O76:O77)</f>
        <v>0</v>
      </c>
      <c r="P78" s="776">
        <v>0</v>
      </c>
      <c r="Q78" s="776">
        <f>SUM(Q76:Q77)</f>
        <v>1668.2823529411769</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0</v>
      </c>
      <c r="C87" s="787">
        <f>'lokale energieproductie'!B17*IFERROR(SUM(D87:H87)/SUM(D87:O87),0)</f>
        <v>10028.571428571429</v>
      </c>
      <c r="D87" s="798">
        <f>'lokale energieproductie'!C17</f>
        <v>11798.319327731097</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2383.2605042016817</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10028.571428571429</v>
      </c>
      <c r="D90" s="774">
        <f t="shared" ref="D90:H90" si="12">SUM(D87:D89)</f>
        <v>11798.319327731097</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2383.2605042016817</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0</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0</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1927.4001096490781</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7020</v>
      </c>
      <c r="C8" s="574">
        <f>B101</f>
        <v>8258.8235294117658</v>
      </c>
      <c r="D8" s="575"/>
      <c r="E8" s="575">
        <f>E101</f>
        <v>0</v>
      </c>
      <c r="F8" s="576"/>
      <c r="G8" s="577"/>
      <c r="H8" s="575">
        <f>I101</f>
        <v>0</v>
      </c>
      <c r="I8" s="575">
        <f>G101+F101</f>
        <v>0</v>
      </c>
      <c r="J8" s="575">
        <f>H101+D101+C101</f>
        <v>0</v>
      </c>
      <c r="K8" s="575"/>
      <c r="L8" s="575"/>
      <c r="M8" s="575"/>
      <c r="N8" s="578"/>
      <c r="O8" s="579">
        <f>C8*$C$12+D8*$D$12+E8*$E$12+F8*$F$12+G8*$G$12+H8*$H$12+I8*$I$12+J8*$J$12</f>
        <v>1668.2823529411769</v>
      </c>
      <c r="P8" s="1291"/>
      <c r="Q8" s="1292"/>
      <c r="S8" s="569"/>
      <c r="T8" s="1288"/>
      <c r="U8" s="1288"/>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8947.4001096490774</v>
      </c>
      <c r="C10" s="589">
        <f t="shared" ref="C10:L10" si="0">SUM(C8:C9)</f>
        <v>8258.8235294117658</v>
      </c>
      <c r="D10" s="589">
        <f t="shared" si="0"/>
        <v>0</v>
      </c>
      <c r="E10" s="589">
        <f t="shared" si="0"/>
        <v>0</v>
      </c>
      <c r="F10" s="589">
        <f t="shared" si="0"/>
        <v>0</v>
      </c>
      <c r="G10" s="589">
        <f t="shared" si="0"/>
        <v>0</v>
      </c>
      <c r="H10" s="589">
        <f t="shared" si="0"/>
        <v>0</v>
      </c>
      <c r="I10" s="589">
        <f t="shared" si="0"/>
        <v>0</v>
      </c>
      <c r="J10" s="589">
        <f t="shared" si="0"/>
        <v>0</v>
      </c>
      <c r="K10" s="589">
        <f t="shared" si="0"/>
        <v>0</v>
      </c>
      <c r="L10" s="589">
        <f t="shared" si="0"/>
        <v>0</v>
      </c>
      <c r="M10" s="1004"/>
      <c r="N10" s="1004"/>
      <c r="O10" s="590">
        <f>SUM(O4:O9)</f>
        <v>1668.2823529411769</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10028.571428571429</v>
      </c>
      <c r="C17" s="605">
        <f>B102</f>
        <v>11798.319327731097</v>
      </c>
      <c r="D17" s="606"/>
      <c r="E17" s="606">
        <f>E102</f>
        <v>0</v>
      </c>
      <c r="F17" s="607"/>
      <c r="G17" s="608"/>
      <c r="H17" s="605">
        <f>I102</f>
        <v>0</v>
      </c>
      <c r="I17" s="606">
        <f>G102+F102</f>
        <v>0</v>
      </c>
      <c r="J17" s="606">
        <f>H102+D102+C102</f>
        <v>0</v>
      </c>
      <c r="K17" s="606"/>
      <c r="L17" s="606"/>
      <c r="M17" s="606"/>
      <c r="N17" s="1005"/>
      <c r="O17" s="609">
        <f>C17*$C$22+E17*$E$22+H17*$H$22+I17*$I$22+J17*$J$22+D17*$D$22+F17*$F$22+G17*$G$22+K17*$K$22+L17*$L$22</f>
        <v>2383.2605042016817</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10028.571428571429</v>
      </c>
      <c r="C20" s="588">
        <f>SUM(C17:C19)</f>
        <v>11798.319327731097</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2383.2605042016817</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51">
      <c r="A28" s="618"/>
      <c r="B28" s="817">
        <v>11013</v>
      </c>
      <c r="C28" s="817">
        <v>2650</v>
      </c>
      <c r="D28" s="666" t="s">
        <v>886</v>
      </c>
      <c r="E28" s="665" t="s">
        <v>887</v>
      </c>
      <c r="F28" s="665" t="s">
        <v>888</v>
      </c>
      <c r="G28" s="665" t="s">
        <v>889</v>
      </c>
      <c r="H28" s="665" t="s">
        <v>890</v>
      </c>
      <c r="I28" s="665" t="s">
        <v>887</v>
      </c>
      <c r="J28" s="816">
        <v>41473</v>
      </c>
      <c r="K28" s="816">
        <v>41473</v>
      </c>
      <c r="L28" s="665" t="s">
        <v>891</v>
      </c>
      <c r="M28" s="665">
        <v>1560</v>
      </c>
      <c r="N28" s="665">
        <v>7020</v>
      </c>
      <c r="O28" s="665">
        <v>10028.571428571429</v>
      </c>
      <c r="P28" s="665">
        <v>20057.142857142859</v>
      </c>
      <c r="Q28" s="665">
        <v>0</v>
      </c>
      <c r="R28" s="665">
        <v>0</v>
      </c>
      <c r="S28" s="665">
        <v>0</v>
      </c>
      <c r="T28" s="665">
        <v>0</v>
      </c>
      <c r="U28" s="665">
        <v>0</v>
      </c>
      <c r="V28" s="665">
        <v>0</v>
      </c>
      <c r="W28" s="665">
        <v>0</v>
      </c>
      <c r="X28" s="665">
        <v>1500</v>
      </c>
      <c r="Y28" s="665" t="s">
        <v>50</v>
      </c>
      <c r="Z28" s="667" t="s">
        <v>155</v>
      </c>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1560</v>
      </c>
      <c r="N58" s="623">
        <f>SUM(N28:N57)</f>
        <v>7020</v>
      </c>
      <c r="O58" s="623">
        <f t="shared" ref="O58:W58" si="2">SUM(O28:O57)</f>
        <v>10028.571428571429</v>
      </c>
      <c r="P58" s="623">
        <f t="shared" si="2"/>
        <v>20057.142857142859</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1560</v>
      </c>
      <c r="N60" s="623">
        <f ca="1">SUMIF($Z$28:AD57,"tertiair",N28:N57)</f>
        <v>7020</v>
      </c>
      <c r="O60" s="623">
        <f ca="1">SUMIF($Z$28:AE57,"tertiair",O28:O57)</f>
        <v>10028.571428571429</v>
      </c>
      <c r="P60" s="623">
        <f ca="1">SUMIF($Z$28:AF57,"tertiair",P28:P57)</f>
        <v>20057.142857142859</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0.58823529411764719</v>
      </c>
      <c r="C98" s="648">
        <f>IF(ISERROR(N58/(O58+N58)),0,N58/(N58+O58))</f>
        <v>0.41176470588235298</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8258.8235294117658</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11798.319327731097</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32018.280369645865</v>
      </c>
      <c r="C4" s="478">
        <f>huishoudens!C8</f>
        <v>0</v>
      </c>
      <c r="D4" s="478">
        <f>huishoudens!D8</f>
        <v>110565.74793704</v>
      </c>
      <c r="E4" s="478">
        <f>huishoudens!E8</f>
        <v>492.81032996114067</v>
      </c>
      <c r="F4" s="478">
        <f>huishoudens!F8</f>
        <v>4534.7389686110046</v>
      </c>
      <c r="G4" s="478">
        <f>huishoudens!G8</f>
        <v>0</v>
      </c>
      <c r="H4" s="478">
        <f>huishoudens!H8</f>
        <v>0</v>
      </c>
      <c r="I4" s="478">
        <f>huishoudens!I8</f>
        <v>0</v>
      </c>
      <c r="J4" s="478">
        <f>huishoudens!J8</f>
        <v>0</v>
      </c>
      <c r="K4" s="478">
        <f>huishoudens!K8</f>
        <v>0</v>
      </c>
      <c r="L4" s="478">
        <f>huishoudens!L8</f>
        <v>0</v>
      </c>
      <c r="M4" s="478">
        <f>huishoudens!M8</f>
        <v>0</v>
      </c>
      <c r="N4" s="478">
        <f>huishoudens!N8</f>
        <v>1847.7894208681978</v>
      </c>
      <c r="O4" s="478">
        <f>huishoudens!O8</f>
        <v>218.23540413257348</v>
      </c>
      <c r="P4" s="479">
        <f>huishoudens!P8</f>
        <v>474.02816884582603</v>
      </c>
      <c r="Q4" s="480">
        <f>SUM(B4:P4)</f>
        <v>150151.63059910462</v>
      </c>
    </row>
    <row r="5" spans="1:17">
      <c r="A5" s="477" t="s">
        <v>155</v>
      </c>
      <c r="B5" s="478">
        <f ca="1">tertiair!B16</f>
        <v>39757.736751000004</v>
      </c>
      <c r="C5" s="478">
        <f ca="1">tertiair!C16</f>
        <v>10028.571428571429</v>
      </c>
      <c r="D5" s="478">
        <f ca="1">tertiair!D16</f>
        <v>51180.308901847151</v>
      </c>
      <c r="E5" s="478">
        <f>tertiair!E16</f>
        <v>281.86005996116489</v>
      </c>
      <c r="F5" s="478">
        <f ca="1">tertiair!F16</f>
        <v>3384.338120106685</v>
      </c>
      <c r="G5" s="478">
        <f>tertiair!G16</f>
        <v>0</v>
      </c>
      <c r="H5" s="478">
        <f>tertiair!H16</f>
        <v>0</v>
      </c>
      <c r="I5" s="478">
        <f>tertiair!I16</f>
        <v>0</v>
      </c>
      <c r="J5" s="478">
        <f>tertiair!J16</f>
        <v>4.5451734859103907E-2</v>
      </c>
      <c r="K5" s="478">
        <f>tertiair!K16</f>
        <v>0</v>
      </c>
      <c r="L5" s="478">
        <f ca="1">tertiair!L16</f>
        <v>0</v>
      </c>
      <c r="M5" s="478">
        <f>tertiair!M16</f>
        <v>0</v>
      </c>
      <c r="N5" s="478">
        <f ca="1">tertiair!N16</f>
        <v>1886.3474348994193</v>
      </c>
      <c r="O5" s="478">
        <f>tertiair!O16</f>
        <v>14.691782297523464</v>
      </c>
      <c r="P5" s="479">
        <f>tertiair!P16</f>
        <v>0</v>
      </c>
      <c r="Q5" s="477">
        <f t="shared" ref="Q5:Q14" ca="1" si="0">SUM(B5:P5)</f>
        <v>106533.89993041822</v>
      </c>
    </row>
    <row r="6" spans="1:17">
      <c r="A6" s="477" t="s">
        <v>193</v>
      </c>
      <c r="B6" s="478">
        <f>'openbare verlichting'!B8</f>
        <v>893.78300000000002</v>
      </c>
      <c r="C6" s="478"/>
      <c r="D6" s="478"/>
      <c r="E6" s="478"/>
      <c r="F6" s="478"/>
      <c r="G6" s="478"/>
      <c r="H6" s="478"/>
      <c r="I6" s="478"/>
      <c r="J6" s="478"/>
      <c r="K6" s="478"/>
      <c r="L6" s="478"/>
      <c r="M6" s="478"/>
      <c r="N6" s="478"/>
      <c r="O6" s="478"/>
      <c r="P6" s="479"/>
      <c r="Q6" s="477">
        <f t="shared" si="0"/>
        <v>893.78300000000002</v>
      </c>
    </row>
    <row r="7" spans="1:17">
      <c r="A7" s="477" t="s">
        <v>111</v>
      </c>
      <c r="B7" s="478">
        <f>landbouw!B8</f>
        <v>461.44249600000001</v>
      </c>
      <c r="C7" s="478">
        <f>landbouw!C8</f>
        <v>0</v>
      </c>
      <c r="D7" s="478">
        <f>landbouw!D8</f>
        <v>302.72535598800005</v>
      </c>
      <c r="E7" s="478">
        <f>landbouw!E8</f>
        <v>14.401468135197085</v>
      </c>
      <c r="F7" s="478">
        <f>landbouw!F8</f>
        <v>1630.7888980847688</v>
      </c>
      <c r="G7" s="478">
        <f>landbouw!G8</f>
        <v>0</v>
      </c>
      <c r="H7" s="478">
        <f>landbouw!H8</f>
        <v>0</v>
      </c>
      <c r="I7" s="478">
        <f>landbouw!I8</f>
        <v>0</v>
      </c>
      <c r="J7" s="478">
        <f>landbouw!J8</f>
        <v>127.13060772366447</v>
      </c>
      <c r="K7" s="478">
        <f>landbouw!K8</f>
        <v>0</v>
      </c>
      <c r="L7" s="478">
        <f>landbouw!L8</f>
        <v>0</v>
      </c>
      <c r="M7" s="478">
        <f>landbouw!M8</f>
        <v>0</v>
      </c>
      <c r="N7" s="478">
        <f>landbouw!N8</f>
        <v>0</v>
      </c>
      <c r="O7" s="478">
        <f>landbouw!O8</f>
        <v>0</v>
      </c>
      <c r="P7" s="479">
        <f>landbouw!P8</f>
        <v>0</v>
      </c>
      <c r="Q7" s="477">
        <f t="shared" si="0"/>
        <v>2536.4888259316303</v>
      </c>
    </row>
    <row r="8" spans="1:17">
      <c r="A8" s="477" t="s">
        <v>629</v>
      </c>
      <c r="B8" s="478">
        <f>industrie!B18</f>
        <v>10954.109081000001</v>
      </c>
      <c r="C8" s="478">
        <f>industrie!C18</f>
        <v>0</v>
      </c>
      <c r="D8" s="478">
        <f>industrie!D18</f>
        <v>11186.659519002</v>
      </c>
      <c r="E8" s="478">
        <f>industrie!E18</f>
        <v>905.2913912757374</v>
      </c>
      <c r="F8" s="478">
        <f>industrie!F18</f>
        <v>3047.6919949329513</v>
      </c>
      <c r="G8" s="478">
        <f>industrie!G18</f>
        <v>0</v>
      </c>
      <c r="H8" s="478">
        <f>industrie!H18</f>
        <v>0</v>
      </c>
      <c r="I8" s="478">
        <f>industrie!I18</f>
        <v>0</v>
      </c>
      <c r="J8" s="478">
        <f>industrie!J18</f>
        <v>71.903754776381788</v>
      </c>
      <c r="K8" s="478">
        <f>industrie!K18</f>
        <v>0</v>
      </c>
      <c r="L8" s="478">
        <f>industrie!L18</f>
        <v>0</v>
      </c>
      <c r="M8" s="478">
        <f>industrie!M18</f>
        <v>0</v>
      </c>
      <c r="N8" s="478">
        <f>industrie!N18</f>
        <v>495.26921008419265</v>
      </c>
      <c r="O8" s="478">
        <f>industrie!O18</f>
        <v>0</v>
      </c>
      <c r="P8" s="479">
        <f>industrie!P18</f>
        <v>0</v>
      </c>
      <c r="Q8" s="477">
        <f t="shared" si="0"/>
        <v>26660.924951071258</v>
      </c>
    </row>
    <row r="9" spans="1:17" s="483" customFormat="1">
      <c r="A9" s="481" t="s">
        <v>555</v>
      </c>
      <c r="B9" s="482">
        <f>transport!B14</f>
        <v>72.495028154166675</v>
      </c>
      <c r="C9" s="482">
        <f>transport!C14</f>
        <v>0</v>
      </c>
      <c r="D9" s="482">
        <f>transport!D14</f>
        <v>298.36028753725452</v>
      </c>
      <c r="E9" s="482">
        <f>transport!E14</f>
        <v>258.68671763402085</v>
      </c>
      <c r="F9" s="482">
        <f>transport!F14</f>
        <v>0</v>
      </c>
      <c r="G9" s="482">
        <f>transport!G14</f>
        <v>91782.39472752111</v>
      </c>
      <c r="H9" s="482">
        <f>transport!H14</f>
        <v>22691.336501189176</v>
      </c>
      <c r="I9" s="482">
        <f>transport!I14</f>
        <v>0</v>
      </c>
      <c r="J9" s="482">
        <f>transport!J14</f>
        <v>0</v>
      </c>
      <c r="K9" s="482">
        <f>transport!K14</f>
        <v>0</v>
      </c>
      <c r="L9" s="482">
        <f>transport!L14</f>
        <v>0</v>
      </c>
      <c r="M9" s="482">
        <f>transport!M14</f>
        <v>6783.6935530822539</v>
      </c>
      <c r="N9" s="482">
        <f>transport!N14</f>
        <v>0</v>
      </c>
      <c r="O9" s="482">
        <f>transport!O14</f>
        <v>0</v>
      </c>
      <c r="P9" s="482">
        <f>transport!P14</f>
        <v>0</v>
      </c>
      <c r="Q9" s="481">
        <f>SUM(B9:P9)</f>
        <v>121886.96681511798</v>
      </c>
    </row>
    <row r="10" spans="1:17">
      <c r="A10" s="477" t="s">
        <v>545</v>
      </c>
      <c r="B10" s="478">
        <f>transport!B54</f>
        <v>0</v>
      </c>
      <c r="C10" s="478">
        <f>transport!C54</f>
        <v>0</v>
      </c>
      <c r="D10" s="478">
        <f>transport!D54</f>
        <v>0</v>
      </c>
      <c r="E10" s="478">
        <f>transport!E54</f>
        <v>0</v>
      </c>
      <c r="F10" s="478">
        <f>transport!F54</f>
        <v>0</v>
      </c>
      <c r="G10" s="478">
        <f>transport!G54</f>
        <v>2497.8820163675441</v>
      </c>
      <c r="H10" s="478">
        <f>transport!H54</f>
        <v>0</v>
      </c>
      <c r="I10" s="478">
        <f>transport!I54</f>
        <v>0</v>
      </c>
      <c r="J10" s="478">
        <f>transport!J54</f>
        <v>0</v>
      </c>
      <c r="K10" s="478">
        <f>transport!K54</f>
        <v>0</v>
      </c>
      <c r="L10" s="478">
        <f>transport!L54</f>
        <v>0</v>
      </c>
      <c r="M10" s="478">
        <f>transport!M54</f>
        <v>138.83255884517047</v>
      </c>
      <c r="N10" s="478">
        <f>transport!N54</f>
        <v>0</v>
      </c>
      <c r="O10" s="478">
        <f>transport!O54</f>
        <v>0</v>
      </c>
      <c r="P10" s="479">
        <f>transport!P54</f>
        <v>0</v>
      </c>
      <c r="Q10" s="477">
        <f t="shared" si="0"/>
        <v>2636.7145752127144</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1070.444452</v>
      </c>
      <c r="C14" s="485"/>
      <c r="D14" s="485">
        <f>'SEAP template'!E25</f>
        <v>3446.7519520000001</v>
      </c>
      <c r="E14" s="485"/>
      <c r="F14" s="485"/>
      <c r="G14" s="485"/>
      <c r="H14" s="485"/>
      <c r="I14" s="485"/>
      <c r="J14" s="485"/>
      <c r="K14" s="485"/>
      <c r="L14" s="485"/>
      <c r="M14" s="485"/>
      <c r="N14" s="485"/>
      <c r="O14" s="485"/>
      <c r="P14" s="486"/>
      <c r="Q14" s="477">
        <f t="shared" si="0"/>
        <v>4517.1964040000003</v>
      </c>
    </row>
    <row r="15" spans="1:17" s="489" customFormat="1">
      <c r="A15" s="487" t="s">
        <v>549</v>
      </c>
      <c r="B15" s="488">
        <f ca="1">SUM(B4:B14)</f>
        <v>85228.291177800042</v>
      </c>
      <c r="C15" s="488">
        <f t="shared" ref="C15:Q15" ca="1" si="1">SUM(C4:C14)</f>
        <v>10028.571428571429</v>
      </c>
      <c r="D15" s="488">
        <f t="shared" ca="1" si="1"/>
        <v>176980.55395341438</v>
      </c>
      <c r="E15" s="488">
        <f t="shared" si="1"/>
        <v>1953.0499669672608</v>
      </c>
      <c r="F15" s="488">
        <f t="shared" ca="1" si="1"/>
        <v>12597.55798173541</v>
      </c>
      <c r="G15" s="488">
        <f t="shared" si="1"/>
        <v>94280.276743888651</v>
      </c>
      <c r="H15" s="488">
        <f t="shared" si="1"/>
        <v>22691.336501189176</v>
      </c>
      <c r="I15" s="488">
        <f t="shared" si="1"/>
        <v>0</v>
      </c>
      <c r="J15" s="488">
        <f t="shared" si="1"/>
        <v>199.07981423490537</v>
      </c>
      <c r="K15" s="488">
        <f t="shared" si="1"/>
        <v>0</v>
      </c>
      <c r="L15" s="488">
        <f t="shared" ca="1" si="1"/>
        <v>0</v>
      </c>
      <c r="M15" s="488">
        <f t="shared" si="1"/>
        <v>6922.5261119274246</v>
      </c>
      <c r="N15" s="488">
        <f t="shared" ca="1" si="1"/>
        <v>4229.4060658518092</v>
      </c>
      <c r="O15" s="488">
        <f t="shared" si="1"/>
        <v>232.92718643009695</v>
      </c>
      <c r="P15" s="488">
        <f t="shared" si="1"/>
        <v>474.02816884582603</v>
      </c>
      <c r="Q15" s="488">
        <f t="shared" ca="1" si="1"/>
        <v>415817.60510085645</v>
      </c>
    </row>
    <row r="17" spans="1:17">
      <c r="A17" s="490" t="s">
        <v>550</v>
      </c>
      <c r="B17" s="807">
        <f ca="1">huishoudens!B10</f>
        <v>0.21737335130131319</v>
      </c>
      <c r="C17" s="807">
        <f ca="1">huishoudens!C10</f>
        <v>0.23764705882352949</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6959.9209068549708</v>
      </c>
      <c r="C22" s="478">
        <f t="shared" ref="C22:C32" ca="1" si="3">C4*$C$17</f>
        <v>0</v>
      </c>
      <c r="D22" s="478">
        <f t="shared" ref="D22:D32" si="4">D4*$D$17</f>
        <v>22334.28108328208</v>
      </c>
      <c r="E22" s="478">
        <f t="shared" ref="E22:E32" si="5">E4*$E$17</f>
        <v>111.86794490117893</v>
      </c>
      <c r="F22" s="478">
        <f t="shared" ref="F22:F32" si="6">F4*$F$17</f>
        <v>1210.7753046191383</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30616.84523965737</v>
      </c>
    </row>
    <row r="23" spans="1:17">
      <c r="A23" s="477" t="s">
        <v>155</v>
      </c>
      <c r="B23" s="478">
        <f t="shared" ca="1" si="2"/>
        <v>8642.2724777202548</v>
      </c>
      <c r="C23" s="478">
        <f t="shared" ca="1" si="3"/>
        <v>2383.2605042016817</v>
      </c>
      <c r="D23" s="478">
        <f t="shared" ca="1" si="4"/>
        <v>10338.422398173125</v>
      </c>
      <c r="E23" s="478">
        <f t="shared" si="5"/>
        <v>63.982233611184434</v>
      </c>
      <c r="F23" s="478">
        <f t="shared" ca="1" si="6"/>
        <v>903.61827806848498</v>
      </c>
      <c r="G23" s="478">
        <f t="shared" si="7"/>
        <v>0</v>
      </c>
      <c r="H23" s="478">
        <f t="shared" si="8"/>
        <v>0</v>
      </c>
      <c r="I23" s="478">
        <f t="shared" si="9"/>
        <v>0</v>
      </c>
      <c r="J23" s="478">
        <f t="shared" si="10"/>
        <v>1.6089914140122782E-2</v>
      </c>
      <c r="K23" s="478">
        <f t="shared" si="11"/>
        <v>0</v>
      </c>
      <c r="L23" s="478">
        <f t="shared" ca="1" si="12"/>
        <v>0</v>
      </c>
      <c r="M23" s="478">
        <f t="shared" si="13"/>
        <v>0</v>
      </c>
      <c r="N23" s="478">
        <f t="shared" ca="1" si="14"/>
        <v>0</v>
      </c>
      <c r="O23" s="478">
        <f t="shared" si="15"/>
        <v>0</v>
      </c>
      <c r="P23" s="479">
        <f t="shared" si="16"/>
        <v>0</v>
      </c>
      <c r="Q23" s="477">
        <f t="shared" ref="Q23:Q31" ca="1" si="17">SUM(B23:P23)</f>
        <v>22331.57198168887</v>
      </c>
    </row>
    <row r="24" spans="1:17">
      <c r="A24" s="477" t="s">
        <v>193</v>
      </c>
      <c r="B24" s="478">
        <f t="shared" ca="1" si="2"/>
        <v>194.28460604614162</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194.28460604614162</v>
      </c>
    </row>
    <row r="25" spans="1:17">
      <c r="A25" s="477" t="s">
        <v>111</v>
      </c>
      <c r="B25" s="478">
        <f t="shared" ca="1" si="2"/>
        <v>100.30530178836281</v>
      </c>
      <c r="C25" s="478">
        <f t="shared" ca="1" si="3"/>
        <v>0</v>
      </c>
      <c r="D25" s="478">
        <f t="shared" si="4"/>
        <v>61.150521909576014</v>
      </c>
      <c r="E25" s="478">
        <f t="shared" si="5"/>
        <v>3.2691332666897384</v>
      </c>
      <c r="F25" s="478">
        <f t="shared" si="6"/>
        <v>435.42063578863332</v>
      </c>
      <c r="G25" s="478">
        <f t="shared" si="7"/>
        <v>0</v>
      </c>
      <c r="H25" s="478">
        <f t="shared" si="8"/>
        <v>0</v>
      </c>
      <c r="I25" s="478">
        <f t="shared" si="9"/>
        <v>0</v>
      </c>
      <c r="J25" s="478">
        <f t="shared" si="10"/>
        <v>45.004235134177222</v>
      </c>
      <c r="K25" s="478">
        <f t="shared" si="11"/>
        <v>0</v>
      </c>
      <c r="L25" s="478">
        <f t="shared" si="12"/>
        <v>0</v>
      </c>
      <c r="M25" s="478">
        <f t="shared" si="13"/>
        <v>0</v>
      </c>
      <c r="N25" s="478">
        <f t="shared" si="14"/>
        <v>0</v>
      </c>
      <c r="O25" s="478">
        <f t="shared" si="15"/>
        <v>0</v>
      </c>
      <c r="P25" s="479">
        <f t="shared" si="16"/>
        <v>0</v>
      </c>
      <c r="Q25" s="477">
        <f t="shared" ca="1" si="17"/>
        <v>645.14982788743907</v>
      </c>
    </row>
    <row r="26" spans="1:17">
      <c r="A26" s="477" t="s">
        <v>629</v>
      </c>
      <c r="B26" s="478">
        <f t="shared" ca="1" si="2"/>
        <v>2381.131401457118</v>
      </c>
      <c r="C26" s="478">
        <f t="shared" ca="1" si="3"/>
        <v>0</v>
      </c>
      <c r="D26" s="478">
        <f t="shared" si="4"/>
        <v>2259.7052228384041</v>
      </c>
      <c r="E26" s="478">
        <f t="shared" si="5"/>
        <v>205.50114581959241</v>
      </c>
      <c r="F26" s="478">
        <f t="shared" si="6"/>
        <v>813.73376264709805</v>
      </c>
      <c r="G26" s="478">
        <f t="shared" si="7"/>
        <v>0</v>
      </c>
      <c r="H26" s="478">
        <f t="shared" si="8"/>
        <v>0</v>
      </c>
      <c r="I26" s="478">
        <f t="shared" si="9"/>
        <v>0</v>
      </c>
      <c r="J26" s="478">
        <f t="shared" si="10"/>
        <v>25.453929190839151</v>
      </c>
      <c r="K26" s="478">
        <f t="shared" si="11"/>
        <v>0</v>
      </c>
      <c r="L26" s="478">
        <f t="shared" si="12"/>
        <v>0</v>
      </c>
      <c r="M26" s="478">
        <f t="shared" si="13"/>
        <v>0</v>
      </c>
      <c r="N26" s="478">
        <f t="shared" si="14"/>
        <v>0</v>
      </c>
      <c r="O26" s="478">
        <f t="shared" si="15"/>
        <v>0</v>
      </c>
      <c r="P26" s="479">
        <f t="shared" si="16"/>
        <v>0</v>
      </c>
      <c r="Q26" s="477">
        <f t="shared" ca="1" si="17"/>
        <v>5685.5254619530515</v>
      </c>
    </row>
    <row r="27" spans="1:17" s="483" customFormat="1">
      <c r="A27" s="481" t="s">
        <v>555</v>
      </c>
      <c r="B27" s="801">
        <f t="shared" ca="1" si="2"/>
        <v>15.758487222554264</v>
      </c>
      <c r="C27" s="482">
        <f t="shared" ca="1" si="3"/>
        <v>0</v>
      </c>
      <c r="D27" s="482">
        <f t="shared" si="4"/>
        <v>60.268778082525415</v>
      </c>
      <c r="E27" s="482">
        <f t="shared" si="5"/>
        <v>58.721884902922739</v>
      </c>
      <c r="F27" s="482">
        <f t="shared" si="6"/>
        <v>0</v>
      </c>
      <c r="G27" s="482">
        <f t="shared" si="7"/>
        <v>24505.899392248139</v>
      </c>
      <c r="H27" s="482">
        <f t="shared" si="8"/>
        <v>5650.1427887961054</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30290.791331252243</v>
      </c>
    </row>
    <row r="28" spans="1:17" ht="16.5" customHeight="1">
      <c r="A28" s="477" t="s">
        <v>545</v>
      </c>
      <c r="B28" s="478">
        <f t="shared" ca="1" si="2"/>
        <v>0</v>
      </c>
      <c r="C28" s="478">
        <f t="shared" ca="1" si="3"/>
        <v>0</v>
      </c>
      <c r="D28" s="478">
        <f t="shared" si="4"/>
        <v>0</v>
      </c>
      <c r="E28" s="478">
        <f t="shared" si="5"/>
        <v>0</v>
      </c>
      <c r="F28" s="478">
        <f t="shared" si="6"/>
        <v>0</v>
      </c>
      <c r="G28" s="478">
        <f t="shared" si="7"/>
        <v>666.93449837013429</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666.93449837013429</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232.68609791313767</v>
      </c>
      <c r="C32" s="478">
        <f t="shared" ca="1" si="3"/>
        <v>0</v>
      </c>
      <c r="D32" s="478">
        <f t="shared" si="4"/>
        <v>696.24389430400004</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928.92999221713774</v>
      </c>
    </row>
    <row r="33" spans="1:17" s="489" customFormat="1">
      <c r="A33" s="487" t="s">
        <v>549</v>
      </c>
      <c r="B33" s="488">
        <f ca="1">SUM(B22:B32)</f>
        <v>18526.35927900254</v>
      </c>
      <c r="C33" s="488">
        <f t="shared" ref="C33:Q33" ca="1" si="19">SUM(C22:C32)</f>
        <v>2383.2605042016817</v>
      </c>
      <c r="D33" s="488">
        <f t="shared" ca="1" si="19"/>
        <v>35750.071898589711</v>
      </c>
      <c r="E33" s="488">
        <f t="shared" si="19"/>
        <v>443.34234250156828</v>
      </c>
      <c r="F33" s="488">
        <f t="shared" ca="1" si="19"/>
        <v>3363.5479811233545</v>
      </c>
      <c r="G33" s="488">
        <f t="shared" si="19"/>
        <v>25172.833890618273</v>
      </c>
      <c r="H33" s="488">
        <f t="shared" si="19"/>
        <v>5650.1427887961054</v>
      </c>
      <c r="I33" s="488">
        <f t="shared" si="19"/>
        <v>0</v>
      </c>
      <c r="J33" s="488">
        <f t="shared" si="19"/>
        <v>70.474254239156494</v>
      </c>
      <c r="K33" s="488">
        <f t="shared" si="19"/>
        <v>0</v>
      </c>
      <c r="L33" s="488">
        <f t="shared" ca="1" si="19"/>
        <v>0</v>
      </c>
      <c r="M33" s="488">
        <f t="shared" si="19"/>
        <v>0</v>
      </c>
      <c r="N33" s="488">
        <f t="shared" ca="1" si="19"/>
        <v>0</v>
      </c>
      <c r="O33" s="488">
        <f t="shared" si="19"/>
        <v>0</v>
      </c>
      <c r="P33" s="488">
        <f t="shared" si="19"/>
        <v>0</v>
      </c>
      <c r="Q33" s="488">
        <f t="shared" ca="1" si="19"/>
        <v>91360.032939072393</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1927.4001096490781</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7020</v>
      </c>
      <c r="D8" s="1062">
        <f>'SEAP template'!D76</f>
        <v>8258.8235294117658</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1668.2823529411769</v>
      </c>
    </row>
    <row r="9" spans="1:16">
      <c r="A9" s="1068" t="s">
        <v>802</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1927.4001096490781</v>
      </c>
      <c r="C10" s="1064">
        <f>SUM(C4:C9)</f>
        <v>7020</v>
      </c>
      <c r="D10" s="1064">
        <f t="shared" ref="D10:H10" si="0">SUM(D8:D9)</f>
        <v>8258.8235294117658</v>
      </c>
      <c r="E10" s="1064">
        <f t="shared" si="0"/>
        <v>0</v>
      </c>
      <c r="F10" s="1064">
        <f t="shared" si="0"/>
        <v>0</v>
      </c>
      <c r="G10" s="1064">
        <f t="shared" si="0"/>
        <v>0</v>
      </c>
      <c r="H10" s="1064">
        <f t="shared" si="0"/>
        <v>0</v>
      </c>
      <c r="I10" s="1064">
        <f>SUM(I8:I9)</f>
        <v>0</v>
      </c>
      <c r="J10" s="1064">
        <f>SUM(J8:J9)</f>
        <v>0</v>
      </c>
      <c r="K10" s="1064">
        <f t="shared" ref="K10:L10" si="1">SUM(K8:K9)</f>
        <v>0</v>
      </c>
      <c r="L10" s="1064">
        <f t="shared" si="1"/>
        <v>0</v>
      </c>
      <c r="M10" s="1064">
        <f>SUM(M8:M9)</f>
        <v>0</v>
      </c>
      <c r="N10" s="1064">
        <f>SUM(N8:N9)</f>
        <v>0</v>
      </c>
      <c r="O10" s="1064">
        <f>SUM(O8:O9)</f>
        <v>0</v>
      </c>
      <c r="P10" s="1064">
        <f>SUM(P8:P9)</f>
        <v>1668.2823529411769</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0.21737335130131319</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10028.571428571429</v>
      </c>
      <c r="D17" s="1063">
        <f>'SEAP template'!D87</f>
        <v>11798.319327731097</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2383.2605042016817</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10028.571428571429</v>
      </c>
      <c r="D20" s="1064">
        <f t="shared" ref="D20:H20" si="2">SUM(D17:D19)</f>
        <v>11798.319327731097</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2383.2605042016817</v>
      </c>
    </row>
    <row r="21" spans="1:16">
      <c r="B21" s="913"/>
    </row>
    <row r="22" spans="1:16">
      <c r="A22" s="490" t="s">
        <v>814</v>
      </c>
      <c r="B22" s="807" t="s">
        <v>812</v>
      </c>
      <c r="C22" s="807">
        <f ca="1">'EF ele_warmte'!B22</f>
        <v>0.23764705882352949</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0.21737335130131319</v>
      </c>
      <c r="C17" s="527">
        <f ca="1">'EF ele_warmte'!B22</f>
        <v>0.23764705882352949</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2019-08-12T08:37:38Z</dcterms:modified>
</cp:coreProperties>
</file>