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<sst xmlns="http://schemas.openxmlformats.org/spreadsheetml/2006/main" count="2438" uniqueCount="915">
  <si>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</si>
  <si>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</si>
  <si>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</si>
  <si>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</si>
  <si>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</si>
  <si>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</si>
  <si>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</si>
  <si>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</si>
  <si>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</si>
  <si>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</si>
  <si>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</si>
  <si>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</si>
  <si>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</si>
  <si>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</si>
  <si>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</si>
  <si>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</si>
  <si>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</si>
  <si>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</si>
  <si>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</si>
  <si>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</si>
  <si>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</si>
  <si>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</si>
  <si>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</si>
  <si>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</si>
  <si>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</si>
  <si>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</si>
  <si>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</si>
  <si>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</si>
  <si>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</si>
  <si>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</si>
  <si>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</si>
  <si>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</si>
  <si>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</si>
  <si>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</si>
  <si>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</si>
  <si>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</si>
  <si>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</si>
  <si>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</si>
  <si>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</si>
  <si>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</si>
  <si>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</si>
  <si>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</si>
  <si>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</si>
  <si>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</si>
  <si>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</si>
  <si>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</si>
  <si>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</si>
  <si>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</si>
  <si>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</si>
  <si>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</si>
  <si>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</si>
  <si>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</si>
  <si>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</si>
  <si>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</si>
  <si>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</si>
  <si>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</si>
  <si>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</si>
  <si>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</si>
  <si>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</si>
  <si>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</si>
  <si>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</si>
  <si>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</si>
  <si>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</si>
  <si>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</si>
  <si>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</si>
  <si>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</si>
  <si>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</si>
  <si>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</si>
  <si>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</si>
  <si>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</si>
  <si>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</si>
  <si>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</si>
  <si>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</si>
  <si>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</si>
  <si>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</si>
  <si>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</si>
  <si>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</si>
  <si>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</si>
  <si>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</si>
  <si>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</si>
  <si>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</si>
  <si>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</si>
  <si>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</si>
  <si>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</si>
  <si>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</si>
  <si>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</si>
  <si>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</si>
  <si>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</si>
  <si>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</si>
  <si>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</si>
  <si>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</si>
  <si>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</si>
  <si>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</si>
  <si>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</si>
  <si>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</si>
  <si>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</si>
  <si>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</si>
  <si>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</si>
  <si>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</si>
  <si>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</si>
  <si>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</si>
  <si>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</si>
  <si>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</si>
  <si>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</si>
  <si>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</si>
  <si>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</si>
  <si>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</si>
  <si>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</si>
  <si>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</si>
  <si>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</si>
  <si>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</si>
  <si>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</si>
  <si>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</si>
  <si>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</si>
  <si>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</si>
  <si>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</si>
  <si>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</si>
  <si>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</si>
  <si>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</si>
  <si>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</si>
  <si>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</si>
  <si>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</si>
  <si>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</si>
  <si>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</si>
  <si>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</si>
  <si>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</si>
  <si>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</si>
  <si>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</si>
  <si>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</si>
  <si>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</si>
  <si>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</si>
  <si>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</si>
  <si>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</si>
  <si>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</si>
  <si>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</si>
  <si>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</si>
  <si>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</si>
  <si>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</si>
  <si>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</si>
  <si>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</si>
  <si>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</si>
  <si>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</si>
  <si>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</si>
  <si>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</si>
  <si>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</si>
  <si>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</si>
  <si>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</si>
  <si>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</si>
  <si>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</si>
  <si>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</si>
  <si>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</si>
  <si>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</si>
  <si>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</si>
  <si>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</si>
  <si>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</si>
  <si>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</si>
  <si>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</si>
  <si>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</si>
  <si>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</si>
  <si>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</si>
  <si>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</si>
  <si>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</si>
  <si>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</si>
  <si>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</si>
  <si>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</si>
  <si>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</si>
  <si>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</si>
  <si>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</si>
  <si>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</si>
  <si>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</si>
  <si>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</si>
  <si>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</si>
  <si>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</si>
  <si>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</si>
  <si>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</si>
  <si>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</si>
  <si>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</si>
  <si>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</si>
  <si>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</si>
  <si>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</si>
  <si>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</si>
  <si>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</si>
  <si>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</si>
  <si>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</si>
  <si>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</si>
  <si>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</si>
  <si>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</si>
  <si>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</si>
  <si>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</si>
  <si>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</si>
  <si>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</si>
  <si>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</si>
  <si>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</si>
  <si>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</si>
  <si>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</si>
  <si>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</si>
  <si>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</si>
  <si>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</si>
  <si>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</si>
  <si>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</si>
  <si>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</si>
  <si>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</si>
  <si>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</si>
  <si>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</si>
  <si>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</si>
  <si>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</si>
  <si>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</si>
  <si>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</si>
  <si>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</si>
  <si>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</si>
  <si>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</si>
  <si>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</si>
  <si>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</si>
  <si>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</si>
  <si>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</si>
  <si>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</si>
  <si>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</si>
  <si>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</si>
  <si>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</si>
  <si>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</si>
  <si>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</si>
  <si>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</si>
  <si>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</si>
  <si>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</si>
  <si>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</si>
  <si>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</si>
  <si>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</si>
  <si>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</si>
  <si>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</si>
  <si>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</si>
  <si>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</si>
  <si>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</si>
  <si>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</si>
  <si>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</si>
  <si>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</si>
  <si>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</si>
  <si>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</si>
  <si>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</si>
  <si>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</si>
  <si>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</si>
  <si>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</si>
  <si>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</si>
  <si>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</si>
  <si>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</si>
  <si>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</si>
  <si>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</si>
  <si>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</si>
  <si>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</si>
  <si>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</si>
  <si>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</si>
  <si>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</si>
  <si>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</si>
  <si>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</si>
  <si>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</si>
  <si>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</si>
  <si>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</si>
  <si>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</si>
  <si>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</si>
  <si>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</si>
  <si>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</si>
  <si>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</si>
  <si>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</si>
  <si>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</si>
  <si>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</si>
  <si>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</si>
  <si>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</si>
  <si>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</si>
  <si>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</si>
  <si>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</si>
  <si>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</si>
  <si>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</si>
  <si>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</si>
  <si>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</si>
  <si>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</si>
  <si>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</si>
  <si>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</si>
  <si>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</si>
  <si>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</si>
  <si>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</si>
  <si>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</si>
  <si>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</si>
  <si>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</si>
  <si>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</si>
  <si>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</si>
  <si>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</si>
  <si>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</si>
  <si>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</si>
  <si>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</si>
  <si>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</si>
  <si>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</si>
  <si>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</si>
  <si>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</si>
  <si>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</si>
  <si>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</si>
  <si>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</si>
  <si>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</si>
  <si>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</si>
  <si>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</si>
  <si>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</si>
  <si>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</si>
  <si>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</si>
  <si>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</si>
  <si>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</si>
  <si>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</si>
  <si>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</si>
  <si>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</si>
  <si>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</si>
  <si>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</si>
  <si>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</si>
  <si>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</si>
  <si>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</si>
  <si>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</si>
  <si>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</si>
  <si>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</si>
  <si>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</si>
  <si>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</si>
  <si>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</si>
  <si>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</si>
  <si>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</si>
  <si>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</si>
  <si>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</si>
  <si>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</si>
  <si>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</si>
  <si>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</si>
  <si>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</si>
  <si>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</si>
  <si>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</si>
  <si>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</si>
  <si>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</si>
  <si>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</si>
  <si>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</si>
  <si>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</si>
  <si>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</si>
  <si>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</si>
  <si>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</si>
  <si>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</si>
  <si>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</si>
  <si>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</si>
  <si>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</si>
  <si>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</si>
  <si>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</si>
  <si>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</si>
  <si>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</si>
  <si>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</si>
  <si>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</si>
  <si>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</si>
  <si>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</si>
  <si>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</si>
  <si>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</si>
  <si>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</si>
  <si>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</si>
  <si>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</si>
  <si>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</si>
  <si>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</si>
  <si>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</si>
  <si>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</si>
  <si>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</si>
  <si>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</si>
  <si>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</si>
  <si>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</si>
  <si>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</si>
  <si>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</si>
  <si>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</si>
  <si>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</si>
  <si>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</si>
  <si>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</si>
  <si>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</si>
  <si>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</si>
  <si>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</si>
  <si>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</si>
  <si>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</si>
  <si>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</si>
  <si>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</si>
  <si>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</si>
  <si>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</si>
  <si>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</si>
  <si>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</si>
  <si>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</si>
  <si>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</si>
  <si>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</si>
  <si>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</si>
  <si>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</si>
  <si>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</si>
  <si>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</si>
  <si>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</si>
  <si>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</si>
  <si>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</si>
  <si>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</si>
  <si>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</si>
  <si>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</si>
  <si>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</si>
  <si>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</si>
  <si>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</si>
  <si>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</si>
  <si>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</si>
  <si>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</si>
  <si>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</si>
  <si>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</si>
  <si>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</si>
  <si>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</si>
  <si>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</si>
  <si>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</si>
  <si>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</si>
  <si>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</si>
  <si>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</si>
  <si>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</si>
  <si>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</si>
  <si>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</si>
  <si>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</si>
  <si>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</si>
  <si>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</si>
  <si>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</si>
  <si>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</si>
  <si>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</si>
  <si>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</si>
  <si>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</si>
  <si>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</si>
  <si>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</si>
  <si>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</si>
  <si>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</si>
  <si>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</si>
  <si>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</si>
  <si>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</si>
  <si>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</si>
  <si>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</si>
  <si>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</si>
  <si>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</si>
  <si>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</si>
  <si>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</si>
  <si>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</si>
  <si>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</si>
  <si>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</si>
  <si>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</si>
  <si>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</si>
  <si>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</si>
  <si>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</si>
  <si>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</si>
  <si>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</si>
  <si>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</si>
  <si>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</si>
  <si>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</si>
  <si>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</si>
  <si>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</si>
  <si>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</si>
  <si>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</si>
  <si>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</si>
  <si>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</si>
  <si>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</si>
  <si>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</si>
  <si>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</si>
  <si>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</si>
  <si>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</si>
  <si>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</si>
  <si>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</si>
  <si>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</si>
  <si>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</si>
  <si>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</si>
  <si>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</si>
  <si>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</si>
  <si>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</si>
  <si>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</si>
  <si>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</si>
  <si>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</si>
  <si>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</si>
  <si>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</si>
  <si>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</si>
  <si>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</si>
  <si>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</si>
  <si>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</si>
  <si>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</si>
  <si>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</si>
  <si>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</si>
  <si>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</si>
  <si>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</si>
  <si>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</si>
  <si>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</si>
  <si>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</si>
  <si>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</si>
  <si>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</si>
  <si>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</si>
  <si>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</si>
  <si>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</si>
  <si>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</si>
  <si>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</si>
  <si>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</si>
  <si>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</si>
  <si>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</si>
  <si>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</si>
  <si>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</si>
  <si>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</si>
  <si>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</si>
  <si>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</si>
  <si>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</si>
  <si>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</si>
  <si>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</si>
  <si>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</si>
  <si>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</si>
  <si>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</si>
  <si>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</si>
  <si>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</si>
  <si>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</si>
  <si>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</si>
  <si>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</si>
  <si>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</si>
  <si>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</si>
  <si>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</si>
  <si>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</si>
  <si>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</si>
  <si>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</si>
  <si>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</si>
  <si>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</si>
  <si>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</si>
  <si>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</si>
  <si>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</si>
  <si>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</si>
  <si>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</si>
  <si>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</si>
  <si>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</si>
  <si>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</si>
  <si>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</si>
  <si>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</si>
  <si>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</si>
  <si>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</si>
  <si>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</si>
  <si>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</si>
  <si>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</si>
  <si>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</si>
  <si>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</si>
  <si>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</si>
  <si>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</si>
  <si>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</si>
  <si>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</si>
  <si>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</si>
  <si>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</si>
  <si>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</si>
  <si>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</si>
  <si>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</si>
  <si>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</si>
  <si>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</si>
  <si>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</si>
  <si>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</si>
  <si>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</si>
  <si>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</si>
  <si>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</si>
  <si>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</si>
  <si>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</si>
  <si>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</si>
  <si>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</si>
  <si>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</si>
  <si>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</si>
  <si>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</si>
  <si>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</si>
  <si>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</si>
  <si>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</si>
  <si>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</si>
  <si>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</si>
  <si>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</si>
  <si>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</si>
  <si>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</si>
  <si>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</si>
  <si>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</si>
  <si>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</si>
  <si>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</si>
  <si>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</si>
  <si>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</si>
  <si>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</si>
  <si>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</si>
  <si>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</si>
  <si>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</si>
  <si>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</si>
  <si>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</si>
  <si>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</si>
  <si>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</si>
  <si>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</si>
  <si>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</si>
  <si>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</si>
  <si>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</si>
  <si>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</si>
  <si>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</si>
  <si>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</si>
  <si>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</si>
  <si>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</si>
  <si>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</si>
  <si>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</si>
  <si>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</si>
  <si>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</si>
  <si>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</si>
  <si>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</si>
  <si>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</si>
  <si>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</si>
  <si>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</si>
  <si>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</si>
  <si>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</si>
  <si>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</si>
  <si>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</si>
  <si>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</si>
  <si>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</si>
  <si>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</si>
  <si>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</si>
  <si>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</si>
  <si>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</si>
  <si>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</si>
  <si>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</si>
  <si>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</si>
  <si>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</si>
  <si>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</si>
  <si>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</si>
  <si>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</si>
  <si>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</si>
  <si>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</si>
  <si>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</si>
  <si>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</si>
  <si>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</si>
  <si>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</si>
  <si>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</si>
  <si>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</si>
  <si>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</si>
  <si>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</si>
  <si>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</si>
  <si>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</si>
  <si>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</si>
  <si>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</si>
  <si>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</si>
  <si>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</si>
  <si>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</si>
  <si>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</si>
  <si>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</si>
  <si>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</si>
  <si>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</si>
  <si>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</si>
  <si>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</si>
  <si>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</si>
  <si>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</si>
  <si>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</si>
  <si>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</si>
  <si>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</si>
  <si>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</si>
  <si>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</si>
  <si>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</si>
  <si>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</si>
  <si>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</si>
  <si>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</si>
  <si>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</si>
  <si>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</si>
  <si>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</si>
  <si>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</si>
  <si>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</si>
  <si>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</si>
  <si>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</si>
  <si>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</si>
  <si>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</si>
  <si>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</si>
  <si>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</si>
  <si>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</si>
  <si>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</si>
  <si>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</si>
  <si>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</si>
  <si>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</si>
  <si>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</si>
  <si>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</si>
  <si>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</si>
  <si>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</si>
  <si>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</si>
  <si>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</si>
  <si>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</si>
  <si>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</si>
  <si>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</si>
  <si>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</si>
  <si>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</si>
  <si>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</si>
  <si>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</si>
  <si>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</si>
  <si>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</si>
  <si>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</si>
  <si>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</si>
  <si>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</si>
  <si>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</si>
  <si>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</si>
  <si>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</si>
  <si>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</si>
  <si>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</si>
  <si>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</si>
  <si>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</si>
  <si>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</si>
  <si>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</si>
  <si>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</si>
  <si>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</si>
  <si>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</si>
  <si>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</si>
  <si>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</si>
  <si>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</si>
  <si>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</si>
  <si>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</si>
  <si>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</si>
  <si>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</si>
  <si>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</si>
  <si>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</si>
  <si>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</si>
  <si>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</si>
  <si>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</si>
  <si>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</si>
  <si>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</si>
  <si>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</si>
  <si>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</si>
  <si>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</si>
  <si>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</si>
  <si>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</si>
  <si>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</si>
  <si>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</si>
  <si>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</si>
  <si>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</si>
  <si>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</si>
  <si>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</si>
  <si>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</si>
  <si>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</si>
  <si>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</si>
  <si>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</si>
  <si>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</si>
  <si>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</si>
  <si>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</si>
  <si>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</si>
  <si>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</si>
  <si>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</si>
  <si>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</si>
  <si>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</si>
  <si>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</si>
  <si>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</si>
  <si>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</si>
  <si>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</si>
  <si>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</si>
  <si>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</si>
  <si>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</si>
  <si>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</si>
  <si>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</si>
  <si>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</si>
  <si>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</si>
  <si>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</si>
  <si>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</si>
  <si>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</si>
  <si>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</si>
  <si>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</si>
  <si>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</si>
  <si>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</si>
  <si>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</si>
  <si>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</si>
  <si>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</si>
  <si>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</si>
  <si>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</si>
  <si>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</si>
  <si>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</si>
  <si>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</si>
  <si>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</si>
  <si>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</si>
  <si>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</si>
  <si>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</si>
  <si>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</si>
  <si>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</si>
  <si>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</si>
  <si>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</si>
  <si>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</si>
  <si>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</si>
  <si>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</si>
  <si>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</si>
  <si>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</si>
  <si>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</si>
  <si>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</si>
  <si>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</si>
  <si>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</si>
  <si>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</si>
  <si>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</si>
  <si>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</si>
  <si>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</si>
  <si>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</si>
  <si>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</si>
  <si>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</si>
  <si>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</si>
  <si>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</si>
  <si>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</si>
  <si>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</si>
  <si>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</si>
  <si>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</si>
  <si>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</si>
  <si>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</si>
  <si>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</si>
  <si>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</si>
  <si>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</si>
  <si>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</si>
  <si>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</si>
  <si>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</si>
  <si>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</si>
  <si>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</si>
  <si>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</si>
  <si>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</si>
  <si>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</si>
  <si>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</si>
  <si>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</si>
  <si>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</si>
  <si>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</si>
  <si>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</si>
  <si>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</si>
  <si>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</si>
  <si>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</si>
  <si>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</si>
  <si>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</si>
  <si>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</si>
  <si>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</si>
  <si>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</si>
  <si>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</si>
  <si>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</si>
  <si>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</si>
  <si>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</si>
  <si>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</si>
  <si>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</si>
  <si>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</si>
  <si>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</si>
  <si>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</si>
  <si>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</si>
  <si>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</si>
  <si>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</si>
  <si>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</si>
  <si>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</si>
  <si>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</si>
  <si>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</si>
  <si>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</si>
  <si>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</si>
  <si>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</si>
  <si>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</si>
  <si>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</si>
  <si>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</si>
  <si>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</si>
  <si>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</si>
  <si>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</si>
  <si>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</si>
  <si>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</si>
  <si>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</si>
  <si>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</si>
  <si>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</si>
  <si>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</si>
  <si>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</si>
  <si>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</si>
  <si>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</si>
  <si>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</si>
  <si>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</si>
  <si>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</si>
  <si>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</si>
  <si>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</si>
  <si>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</si>
  <si>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</si>
  <si>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</si>
  <si>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</si>
  <si>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</si>
  <si>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</si>
  <si>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</si>
  <si>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</si>
  <si>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</si>
  <si>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</si>
  <si>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</si>
  <si>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</si>
  <si>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</si>
  <si>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</si>
  <si>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</si>
  <si>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</si>
  <si>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</si>
  <si>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</si>
  <si>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</si>
  <si>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</si>
  <si>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</si>
  <si>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</si>
  <si>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</si>
  <si>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</si>
  <si>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</si>
  <si>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</si>
  <si>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</si>
  <si>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</si>
  <si>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</si>
  <si>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</si>
  <si>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</si>
  <si>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</si>
  <si>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11009</t>
  </si>
  <si>
    <t>BRECHT</t>
  </si>
  <si>
    <t>Mestbank (maart 2019)</t>
  </si>
  <si>
    <t>Fluvius (februari 2019)</t>
  </si>
  <si>
    <t>referentietaak LNE (2017); Jaarverslag De Lijn (2018)</t>
  </si>
  <si>
    <t>VEA (30 april 2019)</t>
  </si>
  <si>
    <t>VEA (mei 2018)</t>
  </si>
  <si>
    <t>VEA (mei 2019)</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</si>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</sst>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230595.90048494344</c:v>
                </c:pt>
                <c:pt idx="1">
                  <c:v>82513.008000441798</c:v>
                </c:pt>
                <c:pt idx="2">
                  <c:v>1334.529</c:v>
                </c:pt>
                <c:pt idx="3">
                  <c:v>31071.271198658033</c:v>
                </c:pt>
                <c:pt idx="4">
                  <c:v>57834.106017012811</c:v>
                </c:pt>
                <c:pt idx="5">
                  <c:v>367958.65956662531</c:v>
                </c:pt>
                <c:pt idx="6">
                  <c:v>3325.3654055343545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176"/>
        <c:axId val="182163712"/>
      </c:barChart>
      <c:catAx>
        <c:axId val="182162176"/>
        <c:scaling>
          <c:orientation val="minMax"/>
        </c:scaling>
        <c:axPos val="b"/>
        <c:numFmt formatCode="General" sourceLinked="0"/>
        <c:tickLblPos val="nextTo"/>
        <c:crossAx val="182163712"/>
        <c:crosses val="autoZero"/>
        <c:auto val="1"/>
        <c:lblAlgn val="ctr"/>
        <c:lblOffset val="100"/>
      </c:catAx>
      <c:valAx>
        <c:axId val="182163712"/>
        <c:scaling>
          <c:orientation val="minMax"/>
        </c:scaling>
        <c:axPos val="l"/>
        <c:majorGridlines/>
        <c:numFmt formatCode="#,##0" sourceLinked="1"/>
        <c:tickLblPos val="nextTo"/>
        <c:crossAx val="182162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230595.90048494344</c:v>
                </c:pt>
                <c:pt idx="1">
                  <c:v>82513.008000441798</c:v>
                </c:pt>
                <c:pt idx="2">
                  <c:v>1334.529</c:v>
                </c:pt>
                <c:pt idx="3">
                  <c:v>31071.271198658033</c:v>
                </c:pt>
                <c:pt idx="4">
                  <c:v>57834.106017012811</c:v>
                </c:pt>
                <c:pt idx="5">
                  <c:v>367958.65956662531</c:v>
                </c:pt>
                <c:pt idx="6">
                  <c:v>3325.3654055343545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37338.244731564613</c:v>
                </c:pt>
                <c:pt idx="1">
                  <c:v>14773.603518563445</c:v>
                </c:pt>
                <c:pt idx="2">
                  <c:v>209.20533460256729</c:v>
                </c:pt>
                <c:pt idx="3">
                  <c:v>7618.5312832976233</c:v>
                </c:pt>
                <c:pt idx="4">
                  <c:v>10777.606438568848</c:v>
                </c:pt>
                <c:pt idx="5">
                  <c:v>91825.498112338872</c:v>
                </c:pt>
                <c:pt idx="6">
                  <c:v>841.12286156666528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90848"/>
        <c:axId val="182629504"/>
      </c:barChart>
      <c:catAx>
        <c:axId val="182590848"/>
        <c:scaling>
          <c:orientation val="minMax"/>
        </c:scaling>
        <c:axPos val="b"/>
        <c:numFmt formatCode="General" sourceLinked="0"/>
        <c:tickLblPos val="nextTo"/>
        <c:crossAx val="182629504"/>
        <c:crosses val="autoZero"/>
        <c:auto val="1"/>
        <c:lblAlgn val="ctr"/>
        <c:lblOffset val="100"/>
      </c:catAx>
      <c:valAx>
        <c:axId val="182629504"/>
        <c:scaling>
          <c:orientation val="minMax"/>
        </c:scaling>
        <c:axPos val="l"/>
        <c:majorGridlines/>
        <c:numFmt formatCode="#,##0" sourceLinked="1"/>
        <c:tickLblPos val="nextTo"/>
        <c:crossAx val="1825908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37338.244731564613</c:v>
                </c:pt>
                <c:pt idx="1">
                  <c:v>14773.603518563445</c:v>
                </c:pt>
                <c:pt idx="2">
                  <c:v>209.20533460256729</c:v>
                </c:pt>
                <c:pt idx="3">
                  <c:v>7618.5312832976233</c:v>
                </c:pt>
                <c:pt idx="4">
                  <c:v>10777.606438568848</c:v>
                </c:pt>
                <c:pt idx="5">
                  <c:v>91825.498112338872</c:v>
                </c:pt>
                <c:pt idx="6">
                  <c:v>841.12286156666528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11009</v>
      </c>
      <c r="B6" s="415"/>
      <c r="C6" s="416"/>
    </row>
    <row r="7" spans="1:7" s="413" customFormat="1" ht="15.75" customHeight="1">
      <c r="A7" s="417" t="str">
        <f>txtMunicipality</f>
        <v>BRECHT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0.15676342335203453</v>
      </c>
      <c r="C17" s="527">
        <f ca="1">'EF ele_warmte'!B22</f>
        <v>0.2337675965707724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0.15676342335203453</v>
      </c>
      <c r="C29" s="528">
        <f ca="1">'EF ele_warmte'!B22</f>
        <v>0.2337675965707724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11506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4472.2</v>
      </c>
    </row>
    <row r="15" spans="1:6">
      <c r="A15" s="348" t="s">
        <v>183</v>
      </c>
      <c r="B15" s="334">
        <v>6936</v>
      </c>
    </row>
    <row r="16" spans="1:6">
      <c r="A16" s="348" t="s">
        <v>6</v>
      </c>
      <c r="B16" s="334">
        <v>4829</v>
      </c>
    </row>
    <row r="17" spans="1:6">
      <c r="A17" s="348" t="s">
        <v>7</v>
      </c>
      <c r="B17" s="334">
        <v>828</v>
      </c>
    </row>
    <row r="18" spans="1:6">
      <c r="A18" s="348" t="s">
        <v>8</v>
      </c>
      <c r="B18" s="334">
        <v>2768</v>
      </c>
    </row>
    <row r="19" spans="1:6">
      <c r="A19" s="348" t="s">
        <v>9</v>
      </c>
      <c r="B19" s="334">
        <v>2726</v>
      </c>
    </row>
    <row r="20" spans="1:6">
      <c r="A20" s="348" t="s">
        <v>10</v>
      </c>
      <c r="B20" s="334">
        <v>1650</v>
      </c>
    </row>
    <row r="21" spans="1:6">
      <c r="A21" s="348" t="s">
        <v>11</v>
      </c>
      <c r="B21" s="334">
        <v>9127</v>
      </c>
    </row>
    <row r="22" spans="1:6">
      <c r="A22" s="348" t="s">
        <v>12</v>
      </c>
      <c r="B22" s="334">
        <v>37480</v>
      </c>
    </row>
    <row r="23" spans="1:6">
      <c r="A23" s="348" t="s">
        <v>13</v>
      </c>
      <c r="B23" s="334">
        <v>820</v>
      </c>
    </row>
    <row r="24" spans="1:6">
      <c r="A24" s="348" t="s">
        <v>14</v>
      </c>
      <c r="B24" s="334">
        <v>28</v>
      </c>
    </row>
    <row r="25" spans="1:6">
      <c r="A25" s="348" t="s">
        <v>15</v>
      </c>
      <c r="B25" s="334">
        <v>2720</v>
      </c>
    </row>
    <row r="26" spans="1:6">
      <c r="A26" s="348" t="s">
        <v>16</v>
      </c>
      <c r="B26" s="334">
        <v>139</v>
      </c>
    </row>
    <row r="27" spans="1:6">
      <c r="A27" s="348" t="s">
        <v>17</v>
      </c>
      <c r="B27" s="334">
        <v>2682</v>
      </c>
    </row>
    <row r="28" spans="1:6" s="356" customFormat="1">
      <c r="A28" s="355" t="s">
        <v>18</v>
      </c>
      <c r="B28" s="355">
        <v>702399</v>
      </c>
    </row>
    <row r="29" spans="1:6">
      <c r="A29" s="355" t="s">
        <v>713</v>
      </c>
      <c r="B29" s="355">
        <v>626</v>
      </c>
      <c r="C29" s="356"/>
      <c r="D29" s="356"/>
      <c r="E29" s="356"/>
      <c r="F29" s="356"/>
    </row>
    <row r="30" spans="1:6">
      <c r="A30" s="341" t="s">
        <v>714</v>
      </c>
      <c r="B30" s="341">
        <v>179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6</v>
      </c>
      <c r="F35" s="334">
        <v>50149.101000000002</v>
      </c>
    </row>
    <row r="36" spans="1:6">
      <c r="A36" s="348" t="s">
        <v>24</v>
      </c>
      <c r="B36" s="348" t="s">
        <v>26</v>
      </c>
      <c r="C36" s="334">
        <v>0</v>
      </c>
      <c r="D36" s="334">
        <v>0</v>
      </c>
      <c r="E36" s="334">
        <v>7</v>
      </c>
      <c r="F36" s="334">
        <v>108520.31299999999</v>
      </c>
    </row>
    <row r="37" spans="1:6">
      <c r="A37" s="348" t="s">
        <v>24</v>
      </c>
      <c r="B37" s="348" t="s">
        <v>27</v>
      </c>
      <c r="C37" s="334">
        <v>0</v>
      </c>
      <c r="D37" s="334">
        <v>0</v>
      </c>
      <c r="E37" s="334">
        <v>0</v>
      </c>
      <c r="F37" s="334">
        <v>0</v>
      </c>
    </row>
    <row r="38" spans="1:6">
      <c r="A38" s="348" t="s">
        <v>24</v>
      </c>
      <c r="B38" s="348" t="s">
        <v>28</v>
      </c>
      <c r="C38" s="334">
        <v>2</v>
      </c>
      <c r="D38" s="334">
        <v>46578.998</v>
      </c>
      <c r="E38" s="334">
        <v>2</v>
      </c>
      <c r="F38" s="334">
        <v>135.227</v>
      </c>
    </row>
    <row r="39" spans="1:6">
      <c r="A39" s="348" t="s">
        <v>29</v>
      </c>
      <c r="B39" s="348" t="s">
        <v>30</v>
      </c>
      <c r="C39" s="334">
        <v>7842</v>
      </c>
      <c r="D39" s="334">
        <v>137978036.59999999</v>
      </c>
      <c r="E39" s="334">
        <v>11114</v>
      </c>
      <c r="F39" s="334">
        <v>50834138.219999999</v>
      </c>
    </row>
    <row r="40" spans="1:6">
      <c r="A40" s="348" t="s">
        <v>29</v>
      </c>
      <c r="B40" s="348" t="s">
        <v>28</v>
      </c>
      <c r="C40" s="334">
        <v>0</v>
      </c>
      <c r="D40" s="334">
        <v>0</v>
      </c>
      <c r="E40" s="334">
        <v>0</v>
      </c>
      <c r="F40" s="334">
        <v>0</v>
      </c>
    </row>
    <row r="41" spans="1:6">
      <c r="A41" s="348" t="s">
        <v>31</v>
      </c>
      <c r="B41" s="348" t="s">
        <v>32</v>
      </c>
      <c r="C41" s="334">
        <v>143</v>
      </c>
      <c r="D41" s="334">
        <v>3337168.9049999998</v>
      </c>
      <c r="E41" s="334">
        <v>297</v>
      </c>
      <c r="F41" s="334">
        <v>3336878.05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244971.995</v>
      </c>
      <c r="E44" s="334">
        <v>30</v>
      </c>
      <c r="F44" s="334">
        <v>1435452.1429999999</v>
      </c>
    </row>
    <row r="45" spans="1:6">
      <c r="A45" s="348" t="s">
        <v>31</v>
      </c>
      <c r="B45" s="348" t="s">
        <v>36</v>
      </c>
      <c r="C45" s="334">
        <v>0</v>
      </c>
      <c r="D45" s="334">
        <v>0</v>
      </c>
      <c r="E45" s="334">
        <v>8</v>
      </c>
      <c r="F45" s="334">
        <v>768594.15</v>
      </c>
    </row>
    <row r="46" spans="1:6">
      <c r="A46" s="348" t="s">
        <v>31</v>
      </c>
      <c r="B46" s="348" t="s">
        <v>37</v>
      </c>
      <c r="C46" s="334">
        <v>0</v>
      </c>
      <c r="D46" s="334">
        <v>0</v>
      </c>
      <c r="E46" s="334">
        <v>0</v>
      </c>
      <c r="F46" s="334">
        <v>0</v>
      </c>
    </row>
    <row r="47" spans="1:6">
      <c r="A47" s="348" t="s">
        <v>31</v>
      </c>
      <c r="B47" s="348" t="s">
        <v>38</v>
      </c>
      <c r="C47" s="334">
        <v>0</v>
      </c>
      <c r="D47" s="334">
        <v>0</v>
      </c>
      <c r="E47" s="334">
        <v>3</v>
      </c>
      <c r="F47" s="334">
        <v>8195.2970000000005</v>
      </c>
    </row>
    <row r="48" spans="1:6">
      <c r="A48" s="348" t="s">
        <v>31</v>
      </c>
      <c r="B48" s="348" t="s">
        <v>28</v>
      </c>
      <c r="C48" s="334">
        <v>28</v>
      </c>
      <c r="D48" s="334">
        <v>19976533.32</v>
      </c>
      <c r="E48" s="334">
        <v>45</v>
      </c>
      <c r="F48" s="334">
        <v>19965399.91</v>
      </c>
    </row>
    <row r="49" spans="1:6">
      <c r="A49" s="348" t="s">
        <v>31</v>
      </c>
      <c r="B49" s="348" t="s">
        <v>39</v>
      </c>
      <c r="C49" s="334">
        <v>0</v>
      </c>
      <c r="D49" s="334">
        <v>0</v>
      </c>
      <c r="E49" s="334">
        <v>0</v>
      </c>
      <c r="F49" s="334">
        <v>0</v>
      </c>
    </row>
    <row r="50" spans="1:6">
      <c r="A50" s="348" t="s">
        <v>31</v>
      </c>
      <c r="B50" s="348" t="s">
        <v>40</v>
      </c>
      <c r="C50" s="334">
        <v>9</v>
      </c>
      <c r="D50" s="334">
        <v>776356.31499999994</v>
      </c>
      <c r="E50" s="334">
        <v>9</v>
      </c>
      <c r="F50" s="334">
        <v>278564.00699999998</v>
      </c>
    </row>
    <row r="51" spans="1:6">
      <c r="A51" s="348" t="s">
        <v>41</v>
      </c>
      <c r="B51" s="348" t="s">
        <v>42</v>
      </c>
      <c r="C51" s="334">
        <v>15</v>
      </c>
      <c r="D51" s="334">
        <v>231817.15900000001</v>
      </c>
      <c r="E51" s="334">
        <v>196</v>
      </c>
      <c r="F51" s="334">
        <v>4610685.4840000002</v>
      </c>
    </row>
    <row r="52" spans="1:6">
      <c r="A52" s="348" t="s">
        <v>41</v>
      </c>
      <c r="B52" s="348" t="s">
        <v>28</v>
      </c>
      <c r="C52" s="334">
        <v>8</v>
      </c>
      <c r="D52" s="334">
        <v>11366670.98</v>
      </c>
      <c r="E52" s="334">
        <v>10</v>
      </c>
      <c r="F52" s="334">
        <v>229717.83199999999</v>
      </c>
    </row>
    <row r="53" spans="1:6">
      <c r="A53" s="348" t="s">
        <v>43</v>
      </c>
      <c r="B53" s="348" t="s">
        <v>44</v>
      </c>
      <c r="C53" s="334">
        <v>182</v>
      </c>
      <c r="D53" s="334">
        <v>3085620.5619999999</v>
      </c>
      <c r="E53" s="334">
        <v>397</v>
      </c>
      <c r="F53" s="334">
        <v>1424531.9979999999</v>
      </c>
    </row>
    <row r="54" spans="1:6">
      <c r="A54" s="348" t="s">
        <v>45</v>
      </c>
      <c r="B54" s="348" t="s">
        <v>46</v>
      </c>
      <c r="C54" s="334">
        <v>0</v>
      </c>
      <c r="D54" s="334">
        <v>0</v>
      </c>
      <c r="E54" s="334">
        <v>1</v>
      </c>
      <c r="F54" s="334">
        <v>1334529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64</v>
      </c>
      <c r="D57" s="334">
        <v>2566169.273</v>
      </c>
      <c r="E57" s="334">
        <v>159</v>
      </c>
      <c r="F57" s="334">
        <v>2686274.0320000001</v>
      </c>
    </row>
    <row r="58" spans="1:6">
      <c r="A58" s="348" t="s">
        <v>48</v>
      </c>
      <c r="B58" s="348" t="s">
        <v>50</v>
      </c>
      <c r="C58" s="334">
        <v>38</v>
      </c>
      <c r="D58" s="334">
        <v>1937292.757</v>
      </c>
      <c r="E58" s="334">
        <v>100</v>
      </c>
      <c r="F58" s="334">
        <v>737584.84600000002</v>
      </c>
    </row>
    <row r="59" spans="1:6">
      <c r="A59" s="348" t="s">
        <v>48</v>
      </c>
      <c r="B59" s="348" t="s">
        <v>51</v>
      </c>
      <c r="C59" s="334">
        <v>154</v>
      </c>
      <c r="D59" s="334">
        <v>6083270.4139999999</v>
      </c>
      <c r="E59" s="334">
        <v>301</v>
      </c>
      <c r="F59" s="334">
        <v>9428396.2609999999</v>
      </c>
    </row>
    <row r="60" spans="1:6">
      <c r="A60" s="348" t="s">
        <v>48</v>
      </c>
      <c r="B60" s="348" t="s">
        <v>52</v>
      </c>
      <c r="C60" s="334">
        <v>79</v>
      </c>
      <c r="D60" s="334">
        <v>9932480.6119999997</v>
      </c>
      <c r="E60" s="334">
        <v>118</v>
      </c>
      <c r="F60" s="334">
        <v>4064625.6669999999</v>
      </c>
    </row>
    <row r="61" spans="1:6">
      <c r="A61" s="348" t="s">
        <v>48</v>
      </c>
      <c r="B61" s="348" t="s">
        <v>53</v>
      </c>
      <c r="C61" s="334">
        <v>258</v>
      </c>
      <c r="D61" s="334">
        <v>11474741.789999999</v>
      </c>
      <c r="E61" s="334">
        <v>609</v>
      </c>
      <c r="F61" s="334">
        <v>8917842.4480000008</v>
      </c>
    </row>
    <row r="62" spans="1:6">
      <c r="A62" s="348" t="s">
        <v>48</v>
      </c>
      <c r="B62" s="348" t="s">
        <v>54</v>
      </c>
      <c r="C62" s="334">
        <v>4</v>
      </c>
      <c r="D62" s="334">
        <v>729164.46200000006</v>
      </c>
      <c r="E62" s="334">
        <v>12</v>
      </c>
      <c r="F62" s="334">
        <v>124427.916</v>
      </c>
    </row>
    <row r="63" spans="1:6">
      <c r="A63" s="348" t="s">
        <v>48</v>
      </c>
      <c r="B63" s="348" t="s">
        <v>28</v>
      </c>
      <c r="C63" s="334">
        <v>95</v>
      </c>
      <c r="D63" s="334">
        <v>4290277.3119999999</v>
      </c>
      <c r="E63" s="334">
        <v>83</v>
      </c>
      <c r="F63" s="334">
        <v>2251919.8590000002</v>
      </c>
    </row>
    <row r="64" spans="1:6">
      <c r="A64" s="348" t="s">
        <v>55</v>
      </c>
      <c r="B64" s="348" t="s">
        <v>56</v>
      </c>
      <c r="C64" s="334">
        <v>0</v>
      </c>
      <c r="D64" s="334">
        <v>0</v>
      </c>
      <c r="E64" s="334">
        <v>0</v>
      </c>
      <c r="F64" s="334">
        <v>0</v>
      </c>
    </row>
    <row r="65" spans="1:6">
      <c r="A65" s="348" t="s">
        <v>55</v>
      </c>
      <c r="B65" s="348" t="s">
        <v>28</v>
      </c>
      <c r="C65" s="334">
        <v>1</v>
      </c>
      <c r="D65" s="334">
        <v>46762.627</v>
      </c>
      <c r="E65" s="334">
        <v>3</v>
      </c>
      <c r="F65" s="334">
        <v>34918.205999999998</v>
      </c>
    </row>
    <row r="66" spans="1:6">
      <c r="A66" s="348" t="s">
        <v>55</v>
      </c>
      <c r="B66" s="348" t="s">
        <v>57</v>
      </c>
      <c r="C66" s="334">
        <v>3</v>
      </c>
      <c r="D66" s="334">
        <v>79076.413</v>
      </c>
      <c r="E66" s="334">
        <v>22</v>
      </c>
      <c r="F66" s="334">
        <v>443078.93400000001</v>
      </c>
    </row>
    <row r="67" spans="1:6">
      <c r="A67" s="355" t="s">
        <v>55</v>
      </c>
      <c r="B67" s="355" t="s">
        <v>58</v>
      </c>
      <c r="C67" s="334">
        <v>0</v>
      </c>
      <c r="D67" s="334">
        <v>0</v>
      </c>
      <c r="E67" s="334">
        <v>0</v>
      </c>
      <c r="F67" s="334">
        <v>0</v>
      </c>
    </row>
    <row r="68" spans="1:6">
      <c r="A68" s="341" t="s">
        <v>55</v>
      </c>
      <c r="B68" s="341" t="s">
        <v>59</v>
      </c>
      <c r="C68" s="334">
        <v>11</v>
      </c>
      <c r="D68" s="334">
        <v>354895.29</v>
      </c>
      <c r="E68" s="334">
        <v>39</v>
      </c>
      <c r="F68" s="334">
        <v>306705.59499999997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120112099</v>
      </c>
      <c r="E73" s="476"/>
    </row>
    <row r="74" spans="1:6">
      <c r="A74" s="348" t="s">
        <v>63</v>
      </c>
      <c r="B74" s="348" t="s">
        <v>651</v>
      </c>
      <c r="C74" s="1307" t="s">
        <v>653</v>
      </c>
      <c r="D74" s="476">
        <v>9856930.5</v>
      </c>
      <c r="E74" s="476"/>
    </row>
    <row r="75" spans="1:6">
      <c r="A75" s="348" t="s">
        <v>64</v>
      </c>
      <c r="B75" s="348" t="s">
        <v>650</v>
      </c>
      <c r="C75" s="1307" t="s">
        <v>654</v>
      </c>
      <c r="D75" s="476">
        <v>16962251</v>
      </c>
      <c r="E75" s="476"/>
    </row>
    <row r="76" spans="1:6">
      <c r="A76" s="348" t="s">
        <v>64</v>
      </c>
      <c r="B76" s="348" t="s">
        <v>651</v>
      </c>
      <c r="C76" s="1307" t="s">
        <v>655</v>
      </c>
      <c r="D76" s="476">
        <v>319205.5</v>
      </c>
      <c r="E76" s="476"/>
    </row>
    <row r="77" spans="1:6">
      <c r="A77" s="348" t="s">
        <v>65</v>
      </c>
      <c r="B77" s="348" t="s">
        <v>650</v>
      </c>
      <c r="C77" s="1307" t="s">
        <v>656</v>
      </c>
      <c r="D77" s="476">
        <v>185913905</v>
      </c>
      <c r="E77" s="476"/>
    </row>
    <row r="78" spans="1:6">
      <c r="A78" s="341" t="s">
        <v>65</v>
      </c>
      <c r="B78" s="341" t="s">
        <v>651</v>
      </c>
      <c r="C78" s="341" t="s">
        <v>657</v>
      </c>
      <c r="D78" s="1308">
        <v>49361559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923829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10529.094829936768</v>
      </c>
    </row>
    <row r="91" spans="1:6">
      <c r="A91" s="348" t="s">
        <v>67</v>
      </c>
      <c r="B91" s="334">
        <v>7893.4795024467676</v>
      </c>
    </row>
    <row r="92" spans="1:6">
      <c r="A92" s="341" t="s">
        <v>68</v>
      </c>
      <c r="B92" s="342">
        <v>4911.2504014874339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4748</v>
      </c>
    </row>
    <row r="98" spans="1:6">
      <c r="A98" s="348" t="s">
        <v>71</v>
      </c>
      <c r="B98" s="334">
        <v>10</v>
      </c>
    </row>
    <row r="99" spans="1:6">
      <c r="A99" s="348" t="s">
        <v>72</v>
      </c>
      <c r="B99" s="334">
        <v>189</v>
      </c>
    </row>
    <row r="100" spans="1:6">
      <c r="A100" s="348" t="s">
        <v>73</v>
      </c>
      <c r="B100" s="334">
        <v>1489</v>
      </c>
    </row>
    <row r="101" spans="1:6">
      <c r="A101" s="348" t="s">
        <v>74</v>
      </c>
      <c r="B101" s="334">
        <v>259</v>
      </c>
    </row>
    <row r="102" spans="1:6">
      <c r="A102" s="348" t="s">
        <v>75</v>
      </c>
      <c r="B102" s="334">
        <v>107</v>
      </c>
    </row>
    <row r="103" spans="1:6">
      <c r="A103" s="348" t="s">
        <v>76</v>
      </c>
      <c r="B103" s="334">
        <v>243</v>
      </c>
    </row>
    <row r="104" spans="1:6">
      <c r="A104" s="348" t="s">
        <v>77</v>
      </c>
      <c r="B104" s="334">
        <v>2196</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150</v>
      </c>
      <c r="C123" s="334">
        <v>106</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248</v>
      </c>
    </row>
    <row r="130" spans="1:6">
      <c r="A130" s="348" t="s">
        <v>294</v>
      </c>
      <c r="B130" s="334">
        <v>9</v>
      </c>
    </row>
    <row r="131" spans="1:6">
      <c r="A131" s="348" t="s">
        <v>295</v>
      </c>
      <c r="B131" s="334">
        <v>3</v>
      </c>
    </row>
    <row r="132" spans="1:6">
      <c r="A132" s="341" t="s">
        <v>296</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137426.63718870372</v>
      </c>
      <c r="C3" s="43" t="s">
        <v>169</v>
      </c>
      <c r="D3" s="43"/>
      <c r="E3" s="154"/>
      <c r="F3" s="43"/>
      <c r="G3" s="43"/>
      <c r="H3" s="43"/>
      <c r="I3" s="43"/>
      <c r="J3" s="43"/>
      <c r="K3" s="96"/>
    </row>
    <row r="4" spans="1:11">
      <c r="A4" s="383" t="s">
        <v>170</v>
      </c>
      <c r="B4" s="49">
        <f>IF(ISERROR('SEAP template'!B78+'SEAP template'!C78),0,'SEAP template'!B78+'SEAP template'!C78)</f>
        <v>45601.624733870965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1250.1423529411763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0.15676342335203453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1785.9176470588238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7639.7142857142862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0.2337675965707724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1334.529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1334.529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0.15676342335203453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209.20533460256729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50834.138220000001</v>
      </c>
      <c r="C5" s="17">
        <f>IF(ISERROR('Eigen informatie GS &amp; warmtenet'!B59),0,'Eigen informatie GS &amp; warmtenet'!B59)</f>
        <v>0</v>
      </c>
      <c r="D5" s="30">
        <f>(SUM(HH_hh_gas_kWh,HH_rest_gas_kWh)/1000)*0.902</f>
        <v>124456.1890132</v>
      </c>
      <c r="E5" s="17">
        <f>B46*B57</f>
        <v>13179.524896113842</v>
      </c>
      <c r="F5" s="17">
        <f>B51*B62</f>
        <v>0</v>
      </c>
      <c r="G5" s="18"/>
      <c r="H5" s="17"/>
      <c r="I5" s="17"/>
      <c r="J5" s="17">
        <f>B50*B61+C50*C61</f>
        <v>0</v>
      </c>
      <c r="K5" s="17"/>
      <c r="L5" s="17"/>
      <c r="M5" s="17"/>
      <c r="N5" s="17">
        <f>B48*B59+C48*C59</f>
        <v>31254.912433059861</v>
      </c>
      <c r="O5" s="17">
        <f>B69*B70*B71</f>
        <v>702.3212096630092</v>
      </c>
      <c r="P5" s="17">
        <f>B77*B78*B79/1000-B77*B78*B79/1000/B80</f>
        <v>2275.3352104599649</v>
      </c>
    </row>
    <row r="6" spans="1:16">
      <c r="A6" s="16" t="s">
        <v>615</v>
      </c>
      <c r="B6" s="809">
        <f>kWh_PV_kleiner_dan_10kW</f>
        <v>7893.4795024467676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58727.617722446768</v>
      </c>
      <c r="C8" s="21">
        <f>C5</f>
        <v>0</v>
      </c>
      <c r="D8" s="21">
        <f>D5</f>
        <v>124456.1890132</v>
      </c>
      <c r="E8" s="21">
        <f>E5</f>
        <v>13179.524896113842</v>
      </c>
      <c r="F8" s="21">
        <f>F5</f>
        <v>0</v>
      </c>
      <c r="G8" s="21"/>
      <c r="H8" s="21"/>
      <c r="I8" s="21"/>
      <c r="J8" s="21">
        <f>J5</f>
        <v>0</v>
      </c>
      <c r="K8" s="21"/>
      <c r="L8" s="21">
        <f>L5</f>
        <v>0</v>
      </c>
      <c r="M8" s="21">
        <f>M5</f>
        <v>0</v>
      </c>
      <c r="N8" s="21">
        <f>N5</f>
        <v>31254.912433059861</v>
      </c>
      <c r="O8" s="21">
        <f>O5</f>
        <v>702.3212096630092</v>
      </c>
      <c r="P8" s="21">
        <f>P5</f>
        <v>2275.3352104599649</v>
      </c>
    </row>
    <row r="9" spans="1:16">
      <c r="B9" s="19"/>
      <c r="C9" s="19"/>
      <c r="D9" s="258"/>
      <c r="E9" s="19"/>
      <c r="F9" s="19"/>
      <c r="G9" s="19"/>
      <c r="H9" s="19"/>
      <c r="I9" s="19"/>
      <c r="J9" s="19"/>
      <c r="K9" s="19"/>
      <c r="L9" s="19"/>
      <c r="M9" s="19"/>
      <c r="N9" s="19"/>
      <c r="O9" s="19"/>
      <c r="P9" s="19"/>
    </row>
    <row r="10" spans="1:16">
      <c r="A10" s="24" t="s">
        <v>213</v>
      </c>
      <c r="B10" s="25">
        <f ca="1">'EF ele_warmte'!B12</f>
        <v>0.15676342335203453</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9206.3423994803688</v>
      </c>
      <c r="C12" s="23">
        <f ca="1">C10*C8</f>
        <v>0</v>
      </c>
      <c r="D12" s="23">
        <f>D8*D10</f>
        <v>25140.150180666402</v>
      </c>
      <c r="E12" s="23">
        <f>E10*E8</f>
        <v>2991.7521514178425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4748</v>
      </c>
      <c r="C18" s="166" t="s">
        <v>110</v>
      </c>
      <c r="D18" s="228"/>
      <c r="E18" s="15"/>
    </row>
    <row r="19" spans="1:7">
      <c r="A19" s="171" t="s">
        <v>71</v>
      </c>
      <c r="B19" s="37">
        <f>aantalw2001_ander</f>
        <v>10</v>
      </c>
      <c r="C19" s="166" t="s">
        <v>110</v>
      </c>
      <c r="D19" s="229"/>
      <c r="E19" s="15"/>
    </row>
    <row r="20" spans="1:7">
      <c r="A20" s="171" t="s">
        <v>72</v>
      </c>
      <c r="B20" s="37">
        <f>aantalw2001_propaan</f>
        <v>189</v>
      </c>
      <c r="C20" s="167">
        <f>IF(ISERROR(B20/SUM($B$20,$B$21,$B$22)*100),0,B20/SUM($B$20,$B$21,$B$22)*100)</f>
        <v>9.7573567372225085</v>
      </c>
      <c r="D20" s="229"/>
      <c r="E20" s="15"/>
    </row>
    <row r="21" spans="1:7">
      <c r="A21" s="171" t="s">
        <v>73</v>
      </c>
      <c r="B21" s="37">
        <f>aantalw2001_elektriciteit</f>
        <v>1489</v>
      </c>
      <c r="C21" s="167">
        <f>IF(ISERROR(B21/SUM($B$20,$B$21,$B$22)*100),0,B21/SUM($B$20,$B$21,$B$22)*100)</f>
        <v>76.871450696954057</v>
      </c>
      <c r="D21" s="229"/>
      <c r="E21" s="15"/>
    </row>
    <row r="22" spans="1:7">
      <c r="A22" s="171" t="s">
        <v>74</v>
      </c>
      <c r="B22" s="37">
        <f>aantalw2001_hout</f>
        <v>259</v>
      </c>
      <c r="C22" s="167">
        <f>IF(ISERROR(B22/SUM($B$20,$B$21,$B$22)*100),0,B22/SUM($B$20,$B$21,$B$22)*100)</f>
        <v>13.371192565823439</v>
      </c>
      <c r="D22" s="229"/>
      <c r="E22" s="15"/>
    </row>
    <row r="23" spans="1:7">
      <c r="A23" s="171" t="s">
        <v>75</v>
      </c>
      <c r="B23" s="37">
        <f>aantalw2001_niet_gespec</f>
        <v>107</v>
      </c>
      <c r="C23" s="166" t="s">
        <v>110</v>
      </c>
      <c r="D23" s="228"/>
      <c r="E23" s="15"/>
    </row>
    <row r="24" spans="1:7">
      <c r="A24" s="171" t="s">
        <v>76</v>
      </c>
      <c r="B24" s="37">
        <f>aantalw2001_steenkool</f>
        <v>243</v>
      </c>
      <c r="C24" s="166" t="s">
        <v>110</v>
      </c>
      <c r="D24" s="229"/>
      <c r="E24" s="15"/>
    </row>
    <row r="25" spans="1:7">
      <c r="A25" s="171" t="s">
        <v>77</v>
      </c>
      <c r="B25" s="37">
        <f>aantalw2001_stookolie</f>
        <v>2196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11506</v>
      </c>
      <c r="C28" s="36"/>
      <c r="D28" s="228"/>
    </row>
    <row r="29" spans="1:7" s="15" customFormat="1">
      <c r="A29" s="230" t="s">
        <v>837</v>
      </c>
      <c r="B29" s="37">
        <f>SUM(HH_hh_gas_aantal,HH_rest_gas_aantal)</f>
        <v>7842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7842</v>
      </c>
      <c r="C32" s="167">
        <f>IF(ISERROR(B32/SUM($B$32,$B$34,$B$35,$B$36,$B$38,$B$39)*100),0,B32/SUM($B$32,$B$34,$B$35,$B$36,$B$38,$B$39)*100)</f>
        <v>69.459698848538537</v>
      </c>
      <c r="D32" s="233"/>
      <c r="G32" s="15"/>
    </row>
    <row r="33" spans="1:7">
      <c r="A33" s="171" t="s">
        <v>71</v>
      </c>
      <c r="B33" s="34" t="s">
        <v>110</v>
      </c>
      <c r="C33" s="167"/>
      <c r="D33" s="233"/>
      <c r="G33" s="15"/>
    </row>
    <row r="34" spans="1:7">
      <c r="A34" s="171" t="s">
        <v>72</v>
      </c>
      <c r="B34" s="33">
        <f>IF((($B$28-$B$32-$B$39-$B$77-$B$38)*C20/100)&lt;0,0,($B$28-$B$32-$B$39-$B$77-$B$38)*C20/100)</f>
        <v>336.43366029943206</v>
      </c>
      <c r="C34" s="167">
        <f>IF(ISERROR(B34/SUM($B$32,$B$34,$B$35,$B$36,$B$38,$B$39)*100),0,B34/SUM($B$32,$B$34,$B$35,$B$36,$B$38,$B$39)*100)</f>
        <v>2.9799261319701689</v>
      </c>
      <c r="D34" s="233"/>
      <c r="G34" s="15"/>
    </row>
    <row r="35" spans="1:7">
      <c r="A35" s="171" t="s">
        <v>73</v>
      </c>
      <c r="B35" s="33">
        <f>IF((($B$28-$B$32-$B$39-$B$77-$B$38)*C21/100)&lt;0,0,($B$28-$B$32-$B$39-$B$77-$B$38)*C21/100)</f>
        <v>2650.5276200309759</v>
      </c>
      <c r="C35" s="167">
        <f>IF(ISERROR(B35/SUM($B$32,$B$34,$B$35,$B$36,$B$38,$B$39)*100),0,B35/SUM($B$32,$B$34,$B$35,$B$36,$B$38,$B$39)*100)</f>
        <v>23.476772542346996</v>
      </c>
      <c r="D35" s="233"/>
      <c r="G35" s="15"/>
    </row>
    <row r="36" spans="1:7">
      <c r="A36" s="171" t="s">
        <v>74</v>
      </c>
      <c r="B36" s="33">
        <f>IF((($B$28-$B$32-$B$39-$B$77-$B$38)*C22/100)&lt;0,0,($B$28-$B$32-$B$39-$B$77-$B$38)*C22/100)</f>
        <v>461.03871966959218</v>
      </c>
      <c r="C36" s="167">
        <f>IF(ISERROR(B36/SUM($B$32,$B$34,$B$35,$B$36,$B$38,$B$39)*100),0,B36/SUM($B$32,$B$34,$B$35,$B$36,$B$38,$B$39)*100)</f>
        <v>4.0836024771443062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7842</v>
      </c>
      <c r="C44" s="34" t="s">
        <v>110</v>
      </c>
      <c r="D44" s="174"/>
    </row>
    <row r="45" spans="1:7">
      <c r="A45" s="171" t="s">
        <v>71</v>
      </c>
      <c r="B45" s="33" t="str">
        <f t="shared" si="0"/>
        <v>-</v>
      </c>
      <c r="C45" s="34" t="s">
        <v>110</v>
      </c>
      <c r="D45" s="174"/>
    </row>
    <row r="46" spans="1:7">
      <c r="A46" s="171" t="s">
        <v>72</v>
      </c>
      <c r="B46" s="33">
        <f t="shared" si="0"/>
        <v>336.43366029943206</v>
      </c>
      <c r="C46" s="34" t="s">
        <v>110</v>
      </c>
      <c r="D46" s="174"/>
    </row>
    <row r="47" spans="1:7">
      <c r="A47" s="171" t="s">
        <v>73</v>
      </c>
      <c r="B47" s="33">
        <f t="shared" si="0"/>
        <v>2650.5276200309759</v>
      </c>
      <c r="C47" s="34" t="s">
        <v>110</v>
      </c>
      <c r="D47" s="174"/>
    </row>
    <row r="48" spans="1:7">
      <c r="A48" s="171" t="s">
        <v>74</v>
      </c>
      <c r="B48" s="33">
        <f t="shared" si="0"/>
        <v>461.03871966959218</v>
      </c>
      <c r="C48" s="33">
        <f>B48*10</f>
        <v>4610.3871966959214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354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28211.071029000006</v>
      </c>
      <c r="C5" s="17">
        <f>IF(ISERROR('Eigen informatie GS &amp; warmtenet'!B60),0,'Eigen informatie GS &amp; warmtenet'!B60)</f>
        <v>0</v>
      </c>
      <c r="D5" s="30">
        <f>SUM(D6:D12)</f>
        <v>33386.083751240003</v>
      </c>
      <c r="E5" s="17">
        <f>SUM(E6:E12)</f>
        <v>406.19821778002949</v>
      </c>
      <c r="F5" s="17">
        <f>SUM(F6:F12)</f>
        <v>3230.2949076702671</v>
      </c>
      <c r="G5" s="18"/>
      <c r="H5" s="17"/>
      <c r="I5" s="17"/>
      <c r="J5" s="17">
        <f>SUM(J6:J12)</f>
        <v>4.9918019968653346E-2</v>
      </c>
      <c r="K5" s="17"/>
      <c r="L5" s="17"/>
      <c r="M5" s="17"/>
      <c r="N5" s="17">
        <f>SUM(N6:N12)</f>
        <v>1962.8165243748863</v>
      </c>
      <c r="O5" s="17">
        <f>B38*B39*B40</f>
        <v>44.075346892570387</v>
      </c>
      <c r="P5" s="17">
        <f>B46*B47*B48/1000-B46*B47*B48/1000/B49</f>
        <v>315.23482983897009</v>
      </c>
      <c r="R5" s="32"/>
    </row>
    <row r="6" spans="1:18">
      <c r="A6" s="32" t="s">
        <v>53</v>
      </c>
      <c r="B6" s="37">
        <f>B26</f>
        <v>8917.8424480000012</v>
      </c>
      <c r="C6" s="33"/>
      <c r="D6" s="37">
        <f>IF(ISERROR(TER_kantoor_gas_kWh/1000),0,TER_kantoor_gas_kWh/1000)*0.902</f>
        <v>10350.217094579999</v>
      </c>
      <c r="E6" s="33">
        <f>$C$26*'E Balans VL '!I12/100/3.6*1000000</f>
        <v>71.759018893505825</v>
      </c>
      <c r="F6" s="33">
        <f>$C$26*('E Balans VL '!L12+'E Balans VL '!N12)/100/3.6*1000000</f>
        <v>1090.3000519670779</v>
      </c>
      <c r="G6" s="34"/>
      <c r="H6" s="33"/>
      <c r="I6" s="33"/>
      <c r="J6" s="33">
        <f>$C$26*('E Balans VL '!D12+'E Balans VL '!E12)/100/3.6*1000000</f>
        <v>0</v>
      </c>
      <c r="K6" s="33"/>
      <c r="L6" s="33"/>
      <c r="M6" s="33"/>
      <c r="N6" s="33">
        <f>$C$26*'E Balans VL '!Y12/100/3.6*1000000</f>
        <v>4.7929011595912883</v>
      </c>
      <c r="O6" s="33"/>
      <c r="P6" s="33"/>
      <c r="R6" s="32"/>
    </row>
    <row r="7" spans="1:18">
      <c r="A7" s="32" t="s">
        <v>52</v>
      </c>
      <c r="B7" s="37">
        <f t="shared" ref="B7:B12" si="0">B27</f>
        <v>4064.6256669999998</v>
      </c>
      <c r="C7" s="33"/>
      <c r="D7" s="37">
        <f>IF(ISERROR(TER_horeca_gas_kWh/1000),0,TER_horeca_gas_kWh/1000)*0.902</f>
        <v>8959.097512024</v>
      </c>
      <c r="E7" s="33">
        <f>$C$27*'E Balans VL '!I9/100/3.6*1000000</f>
        <v>43.644098687898541</v>
      </c>
      <c r="F7" s="33">
        <f>$C$27*('E Balans VL '!L9+'E Balans VL '!N9)/100/3.6*1000000</f>
        <v>488.87590588133833</v>
      </c>
      <c r="G7" s="34"/>
      <c r="H7" s="33"/>
      <c r="I7" s="33"/>
      <c r="J7" s="33">
        <f>$C$27*('E Balans VL '!D9+'E Balans VL '!E9)/100/3.6*1000000</f>
        <v>0</v>
      </c>
      <c r="K7" s="33"/>
      <c r="L7" s="33"/>
      <c r="M7" s="33"/>
      <c r="N7" s="33">
        <f>$C$27*'E Balans VL '!Y9/100/3.6*1000000</f>
        <v>0.60936976788132646</v>
      </c>
      <c r="O7" s="33"/>
      <c r="P7" s="33"/>
      <c r="R7" s="32"/>
    </row>
    <row r="8" spans="1:18">
      <c r="A8" s="6" t="s">
        <v>51</v>
      </c>
      <c r="B8" s="37">
        <f t="shared" si="0"/>
        <v>9428.3962609999999</v>
      </c>
      <c r="C8" s="33"/>
      <c r="D8" s="37">
        <f>IF(ISERROR(TER_handel_gas_kWh/1000),0,TER_handel_gas_kWh/1000)*0.902</f>
        <v>5487.1099134280003</v>
      </c>
      <c r="E8" s="33">
        <f>$C$28*'E Balans VL '!I13/100/3.6*1000000</f>
        <v>253.02929089009797</v>
      </c>
      <c r="F8" s="33">
        <f>$C$28*('E Balans VL '!L13+'E Balans VL '!N13)/100/3.6*1000000</f>
        <v>899.75959396497285</v>
      </c>
      <c r="G8" s="34"/>
      <c r="H8" s="33"/>
      <c r="I8" s="33"/>
      <c r="J8" s="33">
        <f>$C$28*('E Balans VL '!D13+'E Balans VL '!E13)/100/3.6*1000000</f>
        <v>0</v>
      </c>
      <c r="K8" s="33"/>
      <c r="L8" s="33"/>
      <c r="M8" s="33"/>
      <c r="N8" s="33">
        <f>$C$28*'E Balans VL '!Y13/100/3.6*1000000</f>
        <v>3.7375234823603525</v>
      </c>
      <c r="O8" s="33"/>
      <c r="P8" s="33"/>
      <c r="R8" s="32"/>
    </row>
    <row r="9" spans="1:18">
      <c r="A9" s="32" t="s">
        <v>50</v>
      </c>
      <c r="B9" s="37">
        <f t="shared" si="0"/>
        <v>737.58484599999997</v>
      </c>
      <c r="C9" s="33"/>
      <c r="D9" s="37">
        <f>IF(ISERROR(TER_gezond_gas_kWh/1000),0,TER_gezond_gas_kWh/1000)*0.902</f>
        <v>1747.438066814</v>
      </c>
      <c r="E9" s="33">
        <f>$C$29*'E Balans VL '!I10/100/3.6*1000000</f>
        <v>1.3824741694588665</v>
      </c>
      <c r="F9" s="33">
        <f>$C$29*('E Balans VL '!L10+'E Balans VL '!N10)/100/3.6*1000000</f>
        <v>60.636204284355308</v>
      </c>
      <c r="G9" s="34"/>
      <c r="H9" s="33"/>
      <c r="I9" s="33"/>
      <c r="J9" s="33">
        <f>$C$29*('E Balans VL '!D10+'E Balans VL '!E10)/100/3.6*1000000</f>
        <v>0</v>
      </c>
      <c r="K9" s="33"/>
      <c r="L9" s="33"/>
      <c r="M9" s="33"/>
      <c r="N9" s="33">
        <f>$C$29*'E Balans VL '!Y10/100/3.6*1000000</f>
        <v>5.7389604192485413</v>
      </c>
      <c r="O9" s="33"/>
      <c r="P9" s="33"/>
      <c r="R9" s="32"/>
    </row>
    <row r="10" spans="1:18">
      <c r="A10" s="32" t="s">
        <v>49</v>
      </c>
      <c r="B10" s="37">
        <f t="shared" si="0"/>
        <v>2686.2740320000003</v>
      </c>
      <c r="C10" s="33"/>
      <c r="D10" s="37">
        <f>IF(ISERROR(TER_ander_gas_kWh/1000),0,TER_ander_gas_kWh/1000)*0.902</f>
        <v>2314.684684246</v>
      </c>
      <c r="E10" s="33">
        <f>$C$30*'E Balans VL '!I14/100/3.6*1000000</f>
        <v>4.1409186399221882</v>
      </c>
      <c r="F10" s="33">
        <f>$C$30*('E Balans VL '!L14+'E Balans VL '!N14)/100/3.6*1000000</f>
        <v>417.04478505471809</v>
      </c>
      <c r="G10" s="34"/>
      <c r="H10" s="33"/>
      <c r="I10" s="33"/>
      <c r="J10" s="33">
        <f>$C$30*('E Balans VL '!D14+'E Balans VL '!E14)/100/3.6*1000000</f>
        <v>4.5602334704413293E-2</v>
      </c>
      <c r="K10" s="33"/>
      <c r="L10" s="33"/>
      <c r="M10" s="33"/>
      <c r="N10" s="33">
        <f>$C$30*'E Balans VL '!Y14/100/3.6*1000000</f>
        <v>1777.1528051347311</v>
      </c>
      <c r="O10" s="33"/>
      <c r="P10" s="33"/>
      <c r="R10" s="32"/>
    </row>
    <row r="11" spans="1:18">
      <c r="A11" s="32" t="s">
        <v>54</v>
      </c>
      <c r="B11" s="37">
        <f t="shared" si="0"/>
        <v>124.427916</v>
      </c>
      <c r="C11" s="33"/>
      <c r="D11" s="37">
        <f>IF(ISERROR(TER_onderwijs_gas_kWh/1000),0,TER_onderwijs_gas_kWh/1000)*0.902</f>
        <v>657.70634472400013</v>
      </c>
      <c r="E11" s="33">
        <f>$C$31*'E Balans VL '!I11/100/3.6*1000000</f>
        <v>3.1737617076881643</v>
      </c>
      <c r="F11" s="33">
        <f>$C$31*('E Balans VL '!L11+'E Balans VL '!N11)/100/3.6*1000000</f>
        <v>14.963628059144733</v>
      </c>
      <c r="G11" s="34"/>
      <c r="H11" s="33"/>
      <c r="I11" s="33"/>
      <c r="J11" s="33">
        <f>$C$31*('E Balans VL '!D11+'E Balans VL '!E11)/100/3.6*1000000</f>
        <v>0</v>
      </c>
      <c r="K11" s="33"/>
      <c r="L11" s="33"/>
      <c r="M11" s="33"/>
      <c r="N11" s="33">
        <f>$C$31*'E Balans VL '!Y11/100/3.6*1000000</f>
        <v>0.27672464911668881</v>
      </c>
      <c r="O11" s="33"/>
      <c r="P11" s="33"/>
      <c r="R11" s="32"/>
    </row>
    <row r="12" spans="1:18">
      <c r="A12" s="32" t="s">
        <v>259</v>
      </c>
      <c r="B12" s="37">
        <f t="shared" si="0"/>
        <v>2251.9198590000001</v>
      </c>
      <c r="C12" s="33"/>
      <c r="D12" s="37">
        <f>IF(ISERROR(TER_rest_gas_kWh/1000),0,TER_rest_gas_kWh/1000)*0.902</f>
        <v>3869.8301354240002</v>
      </c>
      <c r="E12" s="33">
        <f>$C$32*'E Balans VL '!I8/100/3.6*1000000</f>
        <v>29.068654791457988</v>
      </c>
      <c r="F12" s="33">
        <f>$C$32*('E Balans VL '!L8+'E Balans VL '!N8)/100/3.6*1000000</f>
        <v>258.71473845866007</v>
      </c>
      <c r="G12" s="34"/>
      <c r="H12" s="33"/>
      <c r="I12" s="33"/>
      <c r="J12" s="33">
        <f>$C$32*('E Balans VL '!D8+'E Balans VL '!E8)/100/3.6*1000000</f>
        <v>4.315685264240054E-3</v>
      </c>
      <c r="K12" s="33"/>
      <c r="L12" s="33"/>
      <c r="M12" s="33"/>
      <c r="N12" s="33">
        <f>$C$32*'E Balans VL '!Y8/100/3.6*1000000</f>
        <v>170.50823976195704</v>
      </c>
      <c r="O12" s="33"/>
      <c r="P12" s="33"/>
      <c r="R12" s="32"/>
    </row>
    <row r="13" spans="1:18">
      <c r="A13" s="16" t="s">
        <v>482</v>
      </c>
      <c r="B13" s="247">
        <f ca="1">'lokale energieproductie'!N91+'lokale energieproductie'!N60</f>
        <v>16920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-48342.857142857152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45131.071029000006</v>
      </c>
      <c r="C16" s="21">
        <f t="shared" ca="1" si="1"/>
        <v>0</v>
      </c>
      <c r="D16" s="21">
        <f t="shared" ca="1" si="1"/>
        <v>33386.083751240003</v>
      </c>
      <c r="E16" s="21">
        <f t="shared" si="1"/>
        <v>406.19821778002949</v>
      </c>
      <c r="F16" s="21">
        <f t="shared" ca="1" si="1"/>
        <v>3230.2949076702671</v>
      </c>
      <c r="G16" s="21">
        <f t="shared" si="1"/>
        <v>0</v>
      </c>
      <c r="H16" s="21">
        <f t="shared" si="1"/>
        <v>0</v>
      </c>
      <c r="I16" s="21">
        <f t="shared" si="1"/>
        <v>0</v>
      </c>
      <c r="J16" s="21">
        <f t="shared" si="1"/>
        <v>4.9918019968653346E-2</v>
      </c>
      <c r="K16" s="21">
        <f t="shared" si="1"/>
        <v>0</v>
      </c>
      <c r="L16" s="21">
        <f t="shared" ca="1" si="1"/>
        <v>0</v>
      </c>
      <c r="M16" s="21">
        <f t="shared" si="1"/>
        <v>0</v>
      </c>
      <c r="N16" s="21">
        <f t="shared" ca="1" si="1"/>
        <v>0</v>
      </c>
      <c r="O16" s="21">
        <f>O5</f>
        <v>44.075346892570387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0.15676342335203453</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7074.9011940498685</v>
      </c>
      <c r="C20" s="23">
        <f t="shared" ref="C20:P20" ca="1" si="2">C16*C18</f>
        <v>0</v>
      </c>
      <c r="D20" s="23">
        <f t="shared" ca="1" si="2"/>
        <v>6743.9889177504811</v>
      </c>
      <c r="E20" s="23">
        <f t="shared" si="2"/>
        <v>92.206995436066691</v>
      </c>
      <c r="F20" s="23">
        <f t="shared" ca="1" si="2"/>
        <v>862.48874034796131</v>
      </c>
      <c r="G20" s="23">
        <f t="shared" si="2"/>
        <v>0</v>
      </c>
      <c r="H20" s="23">
        <f t="shared" si="2"/>
        <v>0</v>
      </c>
      <c r="I20" s="23">
        <f t="shared" si="2"/>
        <v>0</v>
      </c>
      <c r="J20" s="23">
        <f t="shared" si="2"/>
        <v>1.7670979068903282E-2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8917.8424480000012</v>
      </c>
      <c r="C26" s="39">
        <f>IF(ISERROR(B26*3.6/1000000/'E Balans VL '!Z12*100),0,B26*3.6/1000000/'E Balans VL '!Z12*100)</f>
        <v>0.18918386864539524</v>
      </c>
      <c r="D26" s="237" t="s">
        <v>716</v>
      </c>
      <c r="F26" s="6"/>
    </row>
    <row r="27" spans="1:18">
      <c r="A27" s="231" t="s">
        <v>52</v>
      </c>
      <c r="B27" s="33">
        <f>IF(ISERROR(TER_horeca_ele_kWh/1000),0,TER_horeca_ele_kWh/1000)</f>
        <v>4064.6256669999998</v>
      </c>
      <c r="C27" s="39">
        <f>IF(ISERROR(B27*3.6/1000000/'E Balans VL '!Z9*100),0,B27*3.6/1000000/'E Balans VL '!Z9*100)</f>
        <v>0.30610231923822523</v>
      </c>
      <c r="D27" s="237" t="s">
        <v>716</v>
      </c>
      <c r="F27" s="6"/>
    </row>
    <row r="28" spans="1:18">
      <c r="A28" s="171" t="s">
        <v>51</v>
      </c>
      <c r="B28" s="33">
        <f>IF(ISERROR(TER_handel_ele_kWh/1000),0,TER_handel_ele_kWh/1000)</f>
        <v>9428.3962609999999</v>
      </c>
      <c r="C28" s="39">
        <f>IF(ISERROR(B28*3.6/1000000/'E Balans VL '!Z13*100),0,B28*3.6/1000000/'E Balans VL '!Z13*100)</f>
        <v>0.27367293604237058</v>
      </c>
      <c r="D28" s="237" t="s">
        <v>716</v>
      </c>
      <c r="F28" s="6"/>
    </row>
    <row r="29" spans="1:18">
      <c r="A29" s="231" t="s">
        <v>50</v>
      </c>
      <c r="B29" s="33">
        <f>IF(ISERROR(TER_gezond_ele_kWh/1000),0,TER_gezond_ele_kWh/1000)</f>
        <v>737.58484599999997</v>
      </c>
      <c r="C29" s="39">
        <f>IF(ISERROR(B29*3.6/1000000/'E Balans VL '!Z10*100),0,B29*3.6/1000000/'E Balans VL '!Z10*100)</f>
        <v>7.4386311324854404E-2</v>
      </c>
      <c r="D29" s="237" t="s">
        <v>716</v>
      </c>
      <c r="F29" s="6"/>
    </row>
    <row r="30" spans="1:18">
      <c r="A30" s="231" t="s">
        <v>49</v>
      </c>
      <c r="B30" s="33">
        <f>IF(ISERROR(TER_ander_ele_kWh/1000),0,TER_ander_ele_kWh/1000)</f>
        <v>2686.2740320000003</v>
      </c>
      <c r="C30" s="39">
        <f>IF(ISERROR(B30*3.6/1000000/'E Balans VL '!Z14*100),0,B30*3.6/1000000/'E Balans VL '!Z14*100)</f>
        <v>0.19492582851890142</v>
      </c>
      <c r="D30" s="237" t="s">
        <v>716</v>
      </c>
      <c r="F30" s="6"/>
    </row>
    <row r="31" spans="1:18">
      <c r="A31" s="231" t="s">
        <v>54</v>
      </c>
      <c r="B31" s="33">
        <f>IF(ISERROR(TER_onderwijs_ele_kWh/1000),0,TER_onderwijs_ele_kWh/1000)</f>
        <v>124.427916</v>
      </c>
      <c r="C31" s="39">
        <f>IF(ISERROR(B31*3.6/1000000/'E Balans VL '!Z11*100),0,B31*3.6/1000000/'E Balans VL '!Z11*100)</f>
        <v>3.5467023000674655E-2</v>
      </c>
      <c r="D31" s="237" t="s">
        <v>716</v>
      </c>
    </row>
    <row r="32" spans="1:18">
      <c r="A32" s="231" t="s">
        <v>259</v>
      </c>
      <c r="B32" s="33">
        <f>IF(ISERROR(TER_rest_ele_kWh/1000),0,TER_rest_ele_kWh/1000)</f>
        <v>2251.9198590000001</v>
      </c>
      <c r="C32" s="39">
        <f>IF(ISERROR(B32*3.6/1000000/'E Balans VL '!Z8*100),0,B32*3.6/1000000/'E Balans VL '!Z8*100)</f>
        <v>1.844726879032782E-2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9</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25793.083556999998</v>
      </c>
      <c r="C5" s="17">
        <f>IF(ISERROR('Eigen informatie GS &amp; warmtenet'!B61),0,'Eigen informatie GS &amp; warmtenet'!B61)</f>
        <v>0</v>
      </c>
      <c r="D5" s="30">
        <f>SUM(D6:D15)</f>
        <v>21950.19754257</v>
      </c>
      <c r="E5" s="17">
        <f>SUM(E6:E15)</f>
        <v>1912.9770502860038</v>
      </c>
      <c r="F5" s="17">
        <f>SUM(F6:F15)</f>
        <v>6766.7016781201855</v>
      </c>
      <c r="G5" s="18"/>
      <c r="H5" s="17"/>
      <c r="I5" s="17"/>
      <c r="J5" s="17">
        <f>SUM(J6:J15)</f>
        <v>167.51220140198635</v>
      </c>
      <c r="K5" s="17"/>
      <c r="L5" s="17"/>
      <c r="M5" s="17"/>
      <c r="N5" s="17">
        <f>SUM(N6:N15)</f>
        <v>1243.6339876346406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1435.452143</v>
      </c>
      <c r="C8" s="33"/>
      <c r="D8" s="37">
        <f>IF( ISERROR(IND_metaal_Gas_kWH/1000),0,IND_metaal_Gas_kWH/1000)*0.902</f>
        <v>220.96473949</v>
      </c>
      <c r="E8" s="33">
        <f>C30*'E Balans VL '!I18/100/3.6*1000000</f>
        <v>10.355779717271048</v>
      </c>
      <c r="F8" s="33">
        <f>C30*'E Balans VL '!L18/100/3.6*1000000+C30*'E Balans VL '!N18/100/3.6*1000000</f>
        <v>135.76730484436393</v>
      </c>
      <c r="G8" s="34"/>
      <c r="H8" s="33"/>
      <c r="I8" s="33"/>
      <c r="J8" s="40">
        <f>C30*'E Balans VL '!D18/100/3.6*1000000+C30*'E Balans VL '!E18/100/3.6*1000000</f>
        <v>1.4437861071261906</v>
      </c>
      <c r="K8" s="33"/>
      <c r="L8" s="33"/>
      <c r="M8" s="33"/>
      <c r="N8" s="33">
        <f>C30*'E Balans VL '!Y18/100/3.6*1000000</f>
        <v>18.147912918943955</v>
      </c>
      <c r="O8" s="33"/>
      <c r="P8" s="33"/>
      <c r="R8" s="32"/>
    </row>
    <row r="9" spans="1:18">
      <c r="A9" s="6" t="s">
        <v>32</v>
      </c>
      <c r="B9" s="37">
        <f t="shared" si="0"/>
        <v>3336.8780499999998</v>
      </c>
      <c r="C9" s="33"/>
      <c r="D9" s="37">
        <f>IF( ISERROR(IND_andere_gas_kWh/1000),0,IND_andere_gas_kWh/1000)*0.902</f>
        <v>3010.1263523100001</v>
      </c>
      <c r="E9" s="33">
        <f>C31*'E Balans VL '!I19/100/3.6*1000000</f>
        <v>924.69352730457763</v>
      </c>
      <c r="F9" s="33">
        <f>C31*'E Balans VL '!L19/100/3.6*1000000+C31*'E Balans VL '!N19/100/3.6*1000000</f>
        <v>2765.6117388890402</v>
      </c>
      <c r="G9" s="34"/>
      <c r="H9" s="33"/>
      <c r="I9" s="33"/>
      <c r="J9" s="40">
        <f>C31*'E Balans VL '!D19/100/3.6*1000000+C31*'E Balans VL '!E19/100/3.6*1000000</f>
        <v>0</v>
      </c>
      <c r="K9" s="33"/>
      <c r="L9" s="33"/>
      <c r="M9" s="33"/>
      <c r="N9" s="33">
        <f>C31*'E Balans VL '!Y19/100/3.6*1000000</f>
        <v>242.21653199294838</v>
      </c>
      <c r="O9" s="33"/>
      <c r="P9" s="33"/>
      <c r="R9" s="32"/>
    </row>
    <row r="10" spans="1:18">
      <c r="A10" s="6" t="s">
        <v>40</v>
      </c>
      <c r="B10" s="37">
        <f t="shared" si="0"/>
        <v>278.564007</v>
      </c>
      <c r="C10" s="33"/>
      <c r="D10" s="37">
        <f>IF( ISERROR(IND_voed_gas_kWh/1000),0,IND_voed_gas_kWh/1000)*0.902</f>
        <v>700.27339613000004</v>
      </c>
      <c r="E10" s="33">
        <f>C32*'E Balans VL '!I20/100/3.6*1000000</f>
        <v>0.49315264806858367</v>
      </c>
      <c r="F10" s="33">
        <f>C32*'E Balans VL '!L20/100/3.6*1000000+C32*'E Balans VL '!N20/100/3.6*1000000</f>
        <v>15.044925268647731</v>
      </c>
      <c r="G10" s="34"/>
      <c r="H10" s="33"/>
      <c r="I10" s="33"/>
      <c r="J10" s="40">
        <f>C32*'E Balans VL '!D20/100/3.6*1000000+C32*'E Balans VL '!E20/100/3.6*1000000</f>
        <v>0</v>
      </c>
      <c r="K10" s="33"/>
      <c r="L10" s="33"/>
      <c r="M10" s="33"/>
      <c r="N10" s="33">
        <f>C32*'E Balans VL '!Y20/100/3.6*1000000</f>
        <v>16.186696226531005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768.59415000000001</v>
      </c>
      <c r="C12" s="33"/>
      <c r="D12" s="37">
        <f>IF( ISERROR(IND_min_gas_kWh/1000),0,IND_min_gas_kWh/1000)*0.902</f>
        <v>0</v>
      </c>
      <c r="E12" s="33">
        <f>C34*'E Balans VL '!I22/100/3.6*1000000</f>
        <v>33.846144764545947</v>
      </c>
      <c r="F12" s="33">
        <f>C34*'E Balans VL '!L22/100/3.6*1000000+C34*'E Balans VL '!N22/100/3.6*1000000</f>
        <v>300.55135275483883</v>
      </c>
      <c r="G12" s="34"/>
      <c r="H12" s="33"/>
      <c r="I12" s="33"/>
      <c r="J12" s="40">
        <f>C34*'E Balans VL '!D22/100/3.6*1000000+C34*'E Balans VL '!E22/100/3.6*1000000</f>
        <v>0.23337249667172588</v>
      </c>
      <c r="K12" s="33"/>
      <c r="L12" s="33"/>
      <c r="M12" s="33"/>
      <c r="N12" s="33">
        <f>C34*'E Balans VL '!Y22/100/3.6*1000000</f>
        <v>190.12690040280339</v>
      </c>
      <c r="O12" s="33"/>
      <c r="P12" s="33"/>
      <c r="R12" s="32"/>
    </row>
    <row r="13" spans="1:18">
      <c r="A13" s="6" t="s">
        <v>38</v>
      </c>
      <c r="B13" s="37">
        <f t="shared" si="0"/>
        <v>8.1952970000000001</v>
      </c>
      <c r="C13" s="33"/>
      <c r="D13" s="37">
        <f>IF( ISERROR(IND_papier_gas_kWh/1000),0,IND_papier_gas_kWh/1000)*0.902</f>
        <v>0</v>
      </c>
      <c r="E13" s="33">
        <f>C35*'E Balans VL '!I23/100/3.6*1000000</f>
        <v>1.2058095989526924E-2</v>
      </c>
      <c r="F13" s="33">
        <f>C35*'E Balans VL '!L23/100/3.6*1000000+C35*'E Balans VL '!N23/100/3.6*1000000</f>
        <v>8.7749557063333733E-2</v>
      </c>
      <c r="G13" s="34"/>
      <c r="H13" s="33"/>
      <c r="I13" s="33"/>
      <c r="J13" s="40">
        <f>C35*'E Balans VL '!D23/100/3.6*1000000+C35*'E Balans VL '!E23/100/3.6*1000000</f>
        <v>0.89661144862069431</v>
      </c>
      <c r="K13" s="33"/>
      <c r="L13" s="33"/>
      <c r="M13" s="33"/>
      <c r="N13" s="33">
        <f>C35*'E Balans VL '!Y23/100/3.6*1000000</f>
        <v>-7.4242368534859993E-2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19965.39991</v>
      </c>
      <c r="C15" s="33"/>
      <c r="D15" s="37">
        <f>IF( ISERROR(IND_rest_gas_kWh/1000),0,IND_rest_gas_kWh/1000)*0.902</f>
        <v>18018.833054639999</v>
      </c>
      <c r="E15" s="33">
        <f>C37*'E Balans VL '!I15/100/3.6*1000000</f>
        <v>943.57638775555108</v>
      </c>
      <c r="F15" s="33">
        <f>C37*'E Balans VL '!L15/100/3.6*1000000+C37*'E Balans VL '!N15/100/3.6*1000000</f>
        <v>3549.6386068062316</v>
      </c>
      <c r="G15" s="34"/>
      <c r="H15" s="33"/>
      <c r="I15" s="33"/>
      <c r="J15" s="40">
        <f>C37*'E Balans VL '!D15/100/3.6*1000000+C37*'E Balans VL '!E15/100/3.6*1000000</f>
        <v>164.93843134956774</v>
      </c>
      <c r="K15" s="33"/>
      <c r="L15" s="33"/>
      <c r="M15" s="33"/>
      <c r="N15" s="33">
        <f>C37*'E Balans VL '!Y15/100/3.6*1000000</f>
        <v>777.03018846194857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25793.083556999998</v>
      </c>
      <c r="C18" s="21">
        <f>C5+C16</f>
        <v>0</v>
      </c>
      <c r="D18" s="21">
        <f>MAX((D5+D16),0)</f>
        <v>21950.19754257</v>
      </c>
      <c r="E18" s="21">
        <f>MAX((E5+E16),0)</f>
        <v>1912.9770502860038</v>
      </c>
      <c r="F18" s="21">
        <f>MAX((F5+F16),0)</f>
        <v>6766.7016781201855</v>
      </c>
      <c r="G18" s="21"/>
      <c r="H18" s="21"/>
      <c r="I18" s="21"/>
      <c r="J18" s="21">
        <f>MAX((J5+J16),0)</f>
        <v>167.51220140198635</v>
      </c>
      <c r="K18" s="21"/>
      <c r="L18" s="21">
        <f>MAX((L5+L16),0)</f>
        <v>0</v>
      </c>
      <c r="M18" s="21"/>
      <c r="N18" s="21">
        <f>MAX((N5+N16),0)</f>
        <v>1243.6339876346406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0.15676342335203453</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4043.4120772003912</v>
      </c>
      <c r="C22" s="23">
        <f ca="1">C18*C20</f>
        <v>0</v>
      </c>
      <c r="D22" s="23">
        <f>D18*D20</f>
        <v>4433.9399035991401</v>
      </c>
      <c r="E22" s="23">
        <f>E18*E20</f>
        <v>434.24579041492285</v>
      </c>
      <c r="F22" s="23">
        <f>F18*F20</f>
        <v>1806.7093480580897</v>
      </c>
      <c r="G22" s="23"/>
      <c r="H22" s="23"/>
      <c r="I22" s="23"/>
      <c r="J22" s="23">
        <f>J18*J20</f>
        <v>59.29931929630316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1435.452143</v>
      </c>
      <c r="C30" s="39">
        <f>IF(ISERROR(B30*3.6/1000000/'E Balans VL '!Z18*100),0,B30*3.6/1000000/'E Balans VL '!Z18*100)</f>
        <v>8.2866412410986426E-2</v>
      </c>
      <c r="D30" s="237" t="s">
        <v>716</v>
      </c>
    </row>
    <row r="31" spans="1:18">
      <c r="A31" s="6" t="s">
        <v>32</v>
      </c>
      <c r="B31" s="37">
        <f>IF( ISERROR(IND_ander_ele_kWh/1000),0,IND_ander_ele_kWh/1000)</f>
        <v>3336.8780499999998</v>
      </c>
      <c r="C31" s="39">
        <f>IF(ISERROR(B31*3.6/1000000/'E Balans VL '!Z19*100),0,B31*3.6/1000000/'E Balans VL '!Z19*100)</f>
        <v>0.16783414984360973</v>
      </c>
      <c r="D31" s="237" t="s">
        <v>716</v>
      </c>
    </row>
    <row r="32" spans="1:18">
      <c r="A32" s="171" t="s">
        <v>40</v>
      </c>
      <c r="B32" s="37">
        <f>IF( ISERROR(IND_voed_ele_kWh/1000),0,IND_voed_ele_kWh/1000)</f>
        <v>278.564007</v>
      </c>
      <c r="C32" s="39">
        <f>IF(ISERROR(B32*3.6/1000000/'E Balans VL '!Z20*100),0,B32*3.6/1000000/'E Balans VL '!Z20*100)</f>
        <v>9.2778356152812217E-3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768.59415000000001</v>
      </c>
      <c r="C34" s="39">
        <f>IF(ISERROR(B34*3.6/1000000/'E Balans VL '!Z22*100),0,B34*3.6/1000000/'E Balans VL '!Z22*100)</f>
        <v>0.14336876928637693</v>
      </c>
      <c r="D34" s="237" t="s">
        <v>716</v>
      </c>
    </row>
    <row r="35" spans="1:5">
      <c r="A35" s="171" t="s">
        <v>38</v>
      </c>
      <c r="B35" s="37">
        <f>IF( ISERROR(IND_papier_ele_kWh/1000),0,IND_papier_ele_kWh/1000)</f>
        <v>8.1952970000000001</v>
      </c>
      <c r="C35" s="39">
        <f>IF(ISERROR(B35*3.6/1000000/'E Balans VL '!Z22*100),0,B35*3.6/1000000/'E Balans VL '!Z22*100)</f>
        <v>1.5286996977876258E-3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19965.39991</v>
      </c>
      <c r="C37" s="39">
        <f>IF(ISERROR(B37*3.6/1000000/'E Balans VL '!Z15*100),0,B37*3.6/1000000/'E Balans VL '!Z15*100)</f>
        <v>0.15578471730337681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4840.4033160000008</v>
      </c>
      <c r="C5" s="17">
        <f>'Eigen informatie GS &amp; warmtenet'!B62</f>
        <v>0</v>
      </c>
      <c r="D5" s="30">
        <f>IF(ISERROR(SUM(LB_lb_gas_kWh,LB_rest_gas_kWh)/1000),0,SUM(LB_lb_gas_kWh,LB_rest_gas_kWh)/1000)*0.902</f>
        <v>10461.836301378002</v>
      </c>
      <c r="E5" s="17">
        <f>B17*'E Balans VL '!I25/3.6*1000000/100</f>
        <v>151.0673913242623</v>
      </c>
      <c r="F5" s="17">
        <f>B17*('E Balans VL '!L25/3.6*1000000+'E Balans VL '!N25/3.6*1000000)/100</f>
        <v>17106.521524158674</v>
      </c>
      <c r="G5" s="18"/>
      <c r="H5" s="17"/>
      <c r="I5" s="17"/>
      <c r="J5" s="17">
        <f>('E Balans VL '!D25+'E Balans VL '!E25)/3.6*1000000*landbouw!B17/100</f>
        <v>1333.5646814608099</v>
      </c>
      <c r="K5" s="17"/>
      <c r="L5" s="17">
        <f>L6*(-1)</f>
        <v>0</v>
      </c>
      <c r="M5" s="17"/>
      <c r="N5" s="17">
        <f>N6*(-1)</f>
        <v>249.42857142857139</v>
      </c>
      <c r="O5" s="17"/>
      <c r="P5" s="17"/>
      <c r="R5" s="32"/>
    </row>
    <row r="6" spans="1:18">
      <c r="A6" s="16" t="s">
        <v>482</v>
      </c>
      <c r="B6" s="17" t="s">
        <v>210</v>
      </c>
      <c r="C6" s="17">
        <f>'lokale energieproductie'!O92+'lokale energieproductie'!O61</f>
        <v>7639.7142857142862</v>
      </c>
      <c r="D6" s="310">
        <f>('lokale energieproductie'!P61+'lokale energieproductie'!P92)*(-1)</f>
        <v>-15030.000000000002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4840.4033160000008</v>
      </c>
      <c r="C8" s="21">
        <f>C5+C6</f>
        <v>7639.7142857142862</v>
      </c>
      <c r="D8" s="21">
        <f>MAX((D5+D6),0)</f>
        <v>0</v>
      </c>
      <c r="E8" s="21">
        <f>MAX((E5+E6),0)</f>
        <v>151.0673913242623</v>
      </c>
      <c r="F8" s="21">
        <f>MAX((F5+F6),0)</f>
        <v>17106.521524158674</v>
      </c>
      <c r="G8" s="21"/>
      <c r="H8" s="21"/>
      <c r="I8" s="21"/>
      <c r="J8" s="21">
        <f>MAX((J5+J6),0)</f>
        <v>1333.5646814608099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0.15676342335203453</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758.79819422069988</v>
      </c>
      <c r="C12" s="23">
        <f ca="1">C8*C10</f>
        <v>1785.9176470588238</v>
      </c>
      <c r="D12" s="23">
        <f>D8*D10</f>
        <v>0</v>
      </c>
      <c r="E12" s="23">
        <f>E8*E10</f>
        <v>34.292297830607545</v>
      </c>
      <c r="F12" s="23">
        <f>F8*F10</f>
        <v>4567.4412469503659</v>
      </c>
      <c r="G12" s="23"/>
      <c r="H12" s="23"/>
      <c r="I12" s="23"/>
      <c r="J12" s="23">
        <f>J8*J10</f>
        <v>472.08189723712667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0.71956065222116228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1255.0932437230504</v>
      </c>
      <c r="C26" s="247">
        <f>B26*'GWP N2O_CH4'!B5</f>
        <v>26356.958118184059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493.21956793703322</v>
      </c>
      <c r="C27" s="247">
        <f>B27*'GWP N2O_CH4'!B5</f>
        <v>10357.610926677698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20.389877935331331</v>
      </c>
      <c r="C28" s="247">
        <f>B28*'GWP N2O_CH4'!B4</f>
        <v>6320.8621599527123</v>
      </c>
      <c r="D28" s="50"/>
    </row>
    <row r="29" spans="1:4">
      <c r="A29" s="41" t="s">
        <v>276</v>
      </c>
      <c r="B29" s="247">
        <f>B34*'ha_N2O bodem landbouw'!B4</f>
        <v>30.195662166312452</v>
      </c>
      <c r="C29" s="247">
        <f>B29*'GWP N2O_CH4'!B4</f>
        <v>9360.6552715568596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6.6213650523991264E-3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6.3144203852499999E-4</v>
      </c>
      <c r="C5" s="463" t="s">
        <v>210</v>
      </c>
      <c r="D5" s="448">
        <f>SUM(D6:D11)</f>
        <v>2.340931512581032E-3</v>
      </c>
      <c r="E5" s="448">
        <f>SUM(E6:E11)</f>
        <v>2.0872471712759999E-3</v>
      </c>
      <c r="F5" s="461" t="s">
        <v>210</v>
      </c>
      <c r="G5" s="448">
        <f>SUM(G6:G11)</f>
        <v>1.0667175575078844</v>
      </c>
      <c r="H5" s="448">
        <f>SUM(H6:H11)</f>
        <v>0.17956845405938224</v>
      </c>
      <c r="I5" s="463" t="s">
        <v>210</v>
      </c>
      <c r="J5" s="463" t="s">
        <v>210</v>
      </c>
      <c r="K5" s="463" t="s">
        <v>210</v>
      </c>
      <c r="L5" s="463" t="s">
        <v>210</v>
      </c>
      <c r="M5" s="448">
        <f>SUM(M6:M11)</f>
        <v>7.3305542150202296E-2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2.34819153545E-4</v>
      </c>
      <c r="C6" s="449"/>
      <c r="D6" s="917">
        <f>vkm_2011_GW_PW*SUMIFS(TableVerdeelsleutelVkm[CNG],TableVerdeelsleutelVkm[Voertuigtype],"Lichte voertuigen")*SUMIFS(TableECFTransport[EnergieConsumptieFactor (PJ per km)],TableECFTransport[Index],CONCATENATE($A6,"_CNG_CNG"))</f>
        <v>8.1650619420493202E-4</v>
      </c>
      <c r="E6" s="917">
        <f>vkm_2011_GW_PW*SUMIFS(TableVerdeelsleutelVkm[LPG],TableVerdeelsleutelVkm[Voertuigtype],"Lichte voertuigen")*SUMIFS(TableECFTransport[EnergieConsumptieFactor (PJ per km)],TableECFTransport[Index],CONCATENATE($A6,"_LPG_LPG"))</f>
        <v>6.4327235740439998E-4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0.17510621529671985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6.1275545072362526E-2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1.412529592370235E-2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9.3248052090062983E-2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2.3492189226723928E-5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5.3769740107151706E-3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3.3161200704999993E-5</v>
      </c>
      <c r="C8" s="449"/>
      <c r="D8" s="451">
        <f>vkm_2011_NGW_PW*SUMIFS(TableVerdeelsleutelVkm[CNG],TableVerdeelsleutelVkm[Voertuigtype],"Lichte voertuigen")*SUMIFS(TableECFTransport[EnergieConsumptieFactor (PJ per km)],TableECFTransport[Index],CONCATENATE($A8,"_CNG_CNG"))</f>
        <v>2.0406402141048E-4</v>
      </c>
      <c r="E8" s="451">
        <f>vkm_2011_NGW_PW*SUMIFS(TableVerdeelsleutelVkm[LPG],TableVerdeelsleutelVkm[Voertuigtype],"Lichte voertuigen")*SUMIFS(TableECFTransport[EnergieConsumptieFactor (PJ per km)],TableECFTransport[Index],CONCATENATE($A8,"_LPG_LPG"))</f>
        <v>1.4904263491797502E-4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3.7648779644823861E-2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1.4922271571367661E-2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3.1519875414500005E-3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3.8632480697510423E-3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9.1833980468211005E-7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2.2276333929356436E-4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3.6346168427499998E-4</v>
      </c>
      <c r="C10" s="449"/>
      <c r="D10" s="451">
        <f>vkm_2011_SW_PW*SUMIFS(TableVerdeelsleutelVkm[CNG],TableVerdeelsleutelVkm[Voertuigtype],"Lichte voertuigen")*SUMIFS(TableECFTransport[EnergieConsumptieFactor (PJ per km)],TableECFTransport[Index],CONCATENATE($A10,"_CNG_CNG"))</f>
        <v>1.32036129696562E-3</v>
      </c>
      <c r="E10" s="451">
        <f>vkm_2011_SW_PW*SUMIFS(TableVerdeelsleutelVkm[LPG],TableVerdeelsleutelVkm[Voertuigtype],"Lichte voertuigen")*SUMIFS(TableECFTransport[EnergieConsumptieFactor (PJ per km)],TableECFTransport[Index],CONCATENATE($A10,"_LPG_LPG"))</f>
        <v>1.2949321789536249E-3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0.31312151215229372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0.10322514961465133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2.4841066650034837E-2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0.443729750254233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1.2107727196931863E-4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2.5587454685006374E-2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175.40056625694444</v>
      </c>
      <c r="C14" s="21"/>
      <c r="D14" s="21">
        <f t="shared" ref="D14:M14" si="0">((D5)*10^9/3600)+D12</f>
        <v>650.25875349473108</v>
      </c>
      <c r="E14" s="21">
        <f t="shared" si="0"/>
        <v>579.79088090999994</v>
      </c>
      <c r="F14" s="21"/>
      <c r="G14" s="21">
        <f t="shared" si="0"/>
        <v>296310.43264107901</v>
      </c>
      <c r="H14" s="21">
        <f t="shared" si="0"/>
        <v>49880.126127606178</v>
      </c>
      <c r="I14" s="21"/>
      <c r="J14" s="21"/>
      <c r="K14" s="21"/>
      <c r="L14" s="21"/>
      <c r="M14" s="21">
        <f t="shared" si="0"/>
        <v>20362.650597278414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0.15676342335203453</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27.496393224323963</v>
      </c>
      <c r="C18" s="23"/>
      <c r="D18" s="23">
        <f t="shared" ref="D18:M18" si="1">D14*D16</f>
        <v>131.3522682059357</v>
      </c>
      <c r="E18" s="23">
        <f t="shared" si="1"/>
        <v>131.61252996656998</v>
      </c>
      <c r="F18" s="23"/>
      <c r="G18" s="23">
        <f t="shared" si="1"/>
        <v>79114.885515168105</v>
      </c>
      <c r="H18" s="23">
        <f t="shared" si="1"/>
        <v>12420.151405773939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1.1340982403146049E-2</v>
      </c>
      <c r="H50" s="321">
        <f t="shared" si="2"/>
        <v>0</v>
      </c>
      <c r="I50" s="321">
        <f t="shared" si="2"/>
        <v>0</v>
      </c>
      <c r="J50" s="321">
        <f t="shared" si="2"/>
        <v>0</v>
      </c>
      <c r="K50" s="321">
        <f t="shared" si="2"/>
        <v>0</v>
      </c>
      <c r="L50" s="321">
        <f t="shared" si="2"/>
        <v>0</v>
      </c>
      <c r="M50" s="321">
        <f t="shared" si="2"/>
        <v>6.3033305677762726E-4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1.1340982403146049E-2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6.3033305677762726E-4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3150.2728897627912</v>
      </c>
      <c r="H54" s="21">
        <f t="shared" si="3"/>
        <v>0</v>
      </c>
      <c r="I54" s="21">
        <f t="shared" si="3"/>
        <v>0</v>
      </c>
      <c r="J54" s="21">
        <f t="shared" si="3"/>
        <v>0</v>
      </c>
      <c r="K54" s="21">
        <f t="shared" si="3"/>
        <v>0</v>
      </c>
      <c r="L54" s="21">
        <f t="shared" si="3"/>
        <v>0</v>
      </c>
      <c r="M54" s="21">
        <f t="shared" si="3"/>
        <v>175.09251577156311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0.15676342335203453</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841.12286156666528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46465.600029000008</v>
      </c>
      <c r="D10" s="712">
        <f ca="1">tertiair!C16</f>
        <v>0</v>
      </c>
      <c r="E10" s="712">
        <f ca="1">tertiair!D16</f>
        <v>33386.083751240003</v>
      </c>
      <c r="F10" s="712">
        <f>tertiair!E16</f>
        <v>406.19821778002949</v>
      </c>
      <c r="G10" s="712">
        <f ca="1">tertiair!F16</f>
        <v>3230.2949076702671</v>
      </c>
      <c r="H10" s="712">
        <f>tertiair!G16</f>
        <v>0</v>
      </c>
      <c r="I10" s="712">
        <f>tertiair!H16</f>
        <v>0</v>
      </c>
      <c r="J10" s="712">
        <f>tertiair!I16</f>
        <v>0</v>
      </c>
      <c r="K10" s="712">
        <f>tertiair!J16</f>
        <v>4.9918019968653346E-2</v>
      </c>
      <c r="L10" s="712">
        <f>tertiair!K16</f>
        <v>0</v>
      </c>
      <c r="M10" s="712">
        <f ca="1">tertiair!L16</f>
        <v>0</v>
      </c>
      <c r="N10" s="712">
        <f>tertiair!M16</f>
        <v>0</v>
      </c>
      <c r="O10" s="712">
        <f ca="1">tertiair!N16</f>
        <v>0</v>
      </c>
      <c r="P10" s="712">
        <f>tertiair!O16</f>
        <v>44.075346892570387</v>
      </c>
      <c r="Q10" s="713">
        <f>tertiair!P16</f>
        <v>315.23482983897009</v>
      </c>
      <c r="R10" s="715">
        <f ca="1">SUM(C10:Q10)</f>
        <v>83847.537000441807</v>
      </c>
      <c r="S10" s="67"/>
    </row>
    <row r="11" spans="1:19" s="474" customFormat="1">
      <c r="A11" s="834" t="s">
        <v>224</v>
      </c>
      <c r="B11" s="839"/>
      <c r="C11" s="712">
        <f>huishoudens!B8</f>
        <v>58727.617722446768</v>
      </c>
      <c r="D11" s="712">
        <f>huishoudens!C8</f>
        <v>0</v>
      </c>
      <c r="E11" s="712">
        <f>huishoudens!D8</f>
        <v>124456.1890132</v>
      </c>
      <c r="F11" s="712">
        <f>huishoudens!E8</f>
        <v>13179.524896113842</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31254.912433059861</v>
      </c>
      <c r="P11" s="712">
        <f>huishoudens!O8</f>
        <v>702.3212096630092</v>
      </c>
      <c r="Q11" s="713">
        <f>huishoudens!P8</f>
        <v>2275.3352104599649</v>
      </c>
      <c r="R11" s="715">
        <f>SUM(C11:Q11)</f>
        <v>230595.90048494344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25793.083556999998</v>
      </c>
      <c r="D13" s="712">
        <f>industrie!C18</f>
        <v>0</v>
      </c>
      <c r="E13" s="712">
        <f>industrie!D18</f>
        <v>21950.19754257</v>
      </c>
      <c r="F13" s="712">
        <f>industrie!E18</f>
        <v>1912.9770502860038</v>
      </c>
      <c r="G13" s="712">
        <f>industrie!F18</f>
        <v>6766.7016781201855</v>
      </c>
      <c r="H13" s="712">
        <f>industrie!G18</f>
        <v>0</v>
      </c>
      <c r="I13" s="712">
        <f>industrie!H18</f>
        <v>0</v>
      </c>
      <c r="J13" s="712">
        <f>industrie!I18</f>
        <v>0</v>
      </c>
      <c r="K13" s="712">
        <f>industrie!J18</f>
        <v>167.51220140198635</v>
      </c>
      <c r="L13" s="712">
        <f>industrie!K18</f>
        <v>0</v>
      </c>
      <c r="M13" s="712">
        <f>industrie!L18</f>
        <v>0</v>
      </c>
      <c r="N13" s="712">
        <f>industrie!M18</f>
        <v>0</v>
      </c>
      <c r="O13" s="712">
        <f>industrie!N18</f>
        <v>1243.6339876346406</v>
      </c>
      <c r="P13" s="712">
        <f>industrie!O18</f>
        <v>0</v>
      </c>
      <c r="Q13" s="713">
        <f>industrie!P18</f>
        <v>0</v>
      </c>
      <c r="R13" s="715">
        <f>SUM(C13:Q13)</f>
        <v>57834.106017012811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130986.30130844677</v>
      </c>
      <c r="D16" s="748">
        <f t="shared" ref="D16:R16" ca="1" si="0">SUM(D9:D15)</f>
        <v>0</v>
      </c>
      <c r="E16" s="748">
        <f t="shared" ca="1" si="0"/>
        <v>179792.47030700999</v>
      </c>
      <c r="F16" s="748">
        <f t="shared" si="0"/>
        <v>15498.700164179874</v>
      </c>
      <c r="G16" s="748">
        <f t="shared" ca="1" si="0"/>
        <v>9996.9965857904535</v>
      </c>
      <c r="H16" s="748">
        <f t="shared" si="0"/>
        <v>0</v>
      </c>
      <c r="I16" s="748">
        <f t="shared" si="0"/>
        <v>0</v>
      </c>
      <c r="J16" s="748">
        <f t="shared" si="0"/>
        <v>0</v>
      </c>
      <c r="K16" s="748">
        <f t="shared" si="0"/>
        <v>167.562119421955</v>
      </c>
      <c r="L16" s="748">
        <f t="shared" si="0"/>
        <v>0</v>
      </c>
      <c r="M16" s="748">
        <f t="shared" ca="1" si="0"/>
        <v>0</v>
      </c>
      <c r="N16" s="748">
        <f t="shared" si="0"/>
        <v>0</v>
      </c>
      <c r="O16" s="748">
        <f t="shared" ca="1" si="0"/>
        <v>32498.5464206945</v>
      </c>
      <c r="P16" s="748">
        <f t="shared" si="0"/>
        <v>746.39655655557954</v>
      </c>
      <c r="Q16" s="748">
        <f t="shared" si="0"/>
        <v>2590.5700402989351</v>
      </c>
      <c r="R16" s="748">
        <f t="shared" ca="1" si="0"/>
        <v>372277.54350239801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3150.2728897627912</v>
      </c>
      <c r="I19" s="712">
        <f>transport!H54</f>
        <v>0</v>
      </c>
      <c r="J19" s="712">
        <f>transport!I54</f>
        <v>0</v>
      </c>
      <c r="K19" s="712">
        <f>transport!J54</f>
        <v>0</v>
      </c>
      <c r="L19" s="712">
        <f>transport!K54</f>
        <v>0</v>
      </c>
      <c r="M19" s="712">
        <f>transport!L54</f>
        <v>0</v>
      </c>
      <c r="N19" s="712">
        <f>transport!M54</f>
        <v>175.09251577156311</v>
      </c>
      <c r="O19" s="712">
        <f>transport!N54</f>
        <v>0</v>
      </c>
      <c r="P19" s="712">
        <f>transport!O54</f>
        <v>0</v>
      </c>
      <c r="Q19" s="713">
        <f>transport!P54</f>
        <v>0</v>
      </c>
      <c r="R19" s="715">
        <f>SUM(C19:Q19)</f>
        <v>3325.3654055343545</v>
      </c>
      <c r="S19" s="67"/>
    </row>
    <row r="20" spans="1:19" s="474" customFormat="1">
      <c r="A20" s="834" t="s">
        <v>306</v>
      </c>
      <c r="B20" s="839"/>
      <c r="C20" s="712">
        <f>transport!B14</f>
        <v>175.40056625694444</v>
      </c>
      <c r="D20" s="712">
        <f>transport!C14</f>
        <v>0</v>
      </c>
      <c r="E20" s="712">
        <f>transport!D14</f>
        <v>650.25875349473108</v>
      </c>
      <c r="F20" s="712">
        <f>transport!E14</f>
        <v>579.79088090999994</v>
      </c>
      <c r="G20" s="712">
        <f>transport!F14</f>
        <v>0</v>
      </c>
      <c r="H20" s="712">
        <f>transport!G14</f>
        <v>296310.43264107901</v>
      </c>
      <c r="I20" s="712">
        <f>transport!H14</f>
        <v>49880.126127606178</v>
      </c>
      <c r="J20" s="712">
        <f>transport!I14</f>
        <v>0</v>
      </c>
      <c r="K20" s="712">
        <f>transport!J14</f>
        <v>0</v>
      </c>
      <c r="L20" s="712">
        <f>transport!K14</f>
        <v>0</v>
      </c>
      <c r="M20" s="712">
        <f>transport!L14</f>
        <v>0</v>
      </c>
      <c r="N20" s="712">
        <f>transport!M14</f>
        <v>20362.650597278414</v>
      </c>
      <c r="O20" s="712">
        <f>transport!N14</f>
        <v>0</v>
      </c>
      <c r="P20" s="712">
        <f>transport!O14</f>
        <v>0</v>
      </c>
      <c r="Q20" s="713">
        <f>transport!P14</f>
        <v>0</v>
      </c>
      <c r="R20" s="715">
        <f>SUM(C20:Q20)</f>
        <v>367958.65956662531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175.40056625694444</v>
      </c>
      <c r="D22" s="837">
        <f t="shared" ref="D22:R22" si="1">SUM(D18:D21)</f>
        <v>0</v>
      </c>
      <c r="E22" s="837">
        <f t="shared" si="1"/>
        <v>650.25875349473108</v>
      </c>
      <c r="F22" s="837">
        <f t="shared" si="1"/>
        <v>579.79088090999994</v>
      </c>
      <c r="G22" s="837">
        <f t="shared" si="1"/>
        <v>0</v>
      </c>
      <c r="H22" s="837">
        <f t="shared" si="1"/>
        <v>299460.70553084178</v>
      </c>
      <c r="I22" s="837">
        <f t="shared" si="1"/>
        <v>49880.126127606178</v>
      </c>
      <c r="J22" s="837">
        <f t="shared" si="1"/>
        <v>0</v>
      </c>
      <c r="K22" s="837">
        <f t="shared" si="1"/>
        <v>0</v>
      </c>
      <c r="L22" s="837">
        <f t="shared" si="1"/>
        <v>0</v>
      </c>
      <c r="M22" s="837">
        <f t="shared" si="1"/>
        <v>0</v>
      </c>
      <c r="N22" s="837">
        <f t="shared" si="1"/>
        <v>20537.743113049979</v>
      </c>
      <c r="O22" s="837">
        <f t="shared" si="1"/>
        <v>0</v>
      </c>
      <c r="P22" s="837">
        <f t="shared" si="1"/>
        <v>0</v>
      </c>
      <c r="Q22" s="837">
        <f t="shared" si="1"/>
        <v>0</v>
      </c>
      <c r="R22" s="837">
        <f t="shared" si="1"/>
        <v>371284.02497215965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4840.4033160000008</v>
      </c>
      <c r="D24" s="712">
        <f>+landbouw!C8</f>
        <v>7639.7142857142862</v>
      </c>
      <c r="E24" s="712">
        <f>+landbouw!D8</f>
        <v>0</v>
      </c>
      <c r="F24" s="712">
        <f>+landbouw!E8</f>
        <v>151.0673913242623</v>
      </c>
      <c r="G24" s="712">
        <f>+landbouw!F8</f>
        <v>17106.521524158674</v>
      </c>
      <c r="H24" s="712">
        <f>+landbouw!G8</f>
        <v>0</v>
      </c>
      <c r="I24" s="712">
        <f>+landbouw!H8</f>
        <v>0</v>
      </c>
      <c r="J24" s="712">
        <f>+landbouw!I8</f>
        <v>0</v>
      </c>
      <c r="K24" s="712">
        <f>+landbouw!J8</f>
        <v>1333.5646814608099</v>
      </c>
      <c r="L24" s="712">
        <f>+landbouw!K8</f>
        <v>0</v>
      </c>
      <c r="M24" s="712">
        <f>+landbouw!L8</f>
        <v>0</v>
      </c>
      <c r="N24" s="712">
        <f>+landbouw!M8</f>
        <v>0</v>
      </c>
      <c r="O24" s="712">
        <f>+landbouw!N8</f>
        <v>0</v>
      </c>
      <c r="P24" s="712">
        <f>+landbouw!O8</f>
        <v>0</v>
      </c>
      <c r="Q24" s="713">
        <f>+landbouw!P8</f>
        <v>0</v>
      </c>
      <c r="R24" s="715">
        <f>SUM(C24:Q24)</f>
        <v>31071.271198658033</v>
      </c>
      <c r="S24" s="67"/>
    </row>
    <row r="25" spans="1:19" s="474" customFormat="1" ht="15" thickBot="1">
      <c r="A25" s="856" t="s">
        <v>734</v>
      </c>
      <c r="B25" s="982"/>
      <c r="C25" s="983">
        <f>IF(Onbekend_ele_kWh="---",0,Onbekend_ele_kWh)/1000+IF(REST_rest_ele_kWh="---",0,REST_rest_ele_kWh)/1000</f>
        <v>1424.5319979999999</v>
      </c>
      <c r="D25" s="983"/>
      <c r="E25" s="983">
        <f>IF(onbekend_gas_kWh="---",0,onbekend_gas_kWh)/1000+IF(REST_rest_gas_kWh="---",0,REST_rest_gas_kWh)/1000</f>
        <v>3085.6205620000001</v>
      </c>
      <c r="F25" s="983"/>
      <c r="G25" s="983"/>
      <c r="H25" s="983"/>
      <c r="I25" s="983"/>
      <c r="J25" s="983"/>
      <c r="K25" s="983"/>
      <c r="L25" s="983"/>
      <c r="M25" s="983"/>
      <c r="N25" s="983"/>
      <c r="O25" s="983"/>
      <c r="P25" s="983"/>
      <c r="Q25" s="984"/>
      <c r="R25" s="715">
        <f>SUM(C25:Q25)</f>
        <v>4510.1525600000004</v>
      </c>
      <c r="S25" s="67"/>
    </row>
    <row r="26" spans="1:19" s="474" customFormat="1" ht="15.75" thickBot="1">
      <c r="A26" s="720" t="s">
        <v>735</v>
      </c>
      <c r="B26" s="842"/>
      <c r="C26" s="837">
        <f>SUM(C24:C25)</f>
        <v>6264.9353140000003</v>
      </c>
      <c r="D26" s="837">
        <f t="shared" ref="D26:R26" si="2">SUM(D24:D25)</f>
        <v>7639.7142857142862</v>
      </c>
      <c r="E26" s="837">
        <f t="shared" si="2"/>
        <v>3085.6205620000001</v>
      </c>
      <c r="F26" s="837">
        <f t="shared" si="2"/>
        <v>151.0673913242623</v>
      </c>
      <c r="G26" s="837">
        <f t="shared" si="2"/>
        <v>17106.521524158674</v>
      </c>
      <c r="H26" s="837">
        <f t="shared" si="2"/>
        <v>0</v>
      </c>
      <c r="I26" s="837">
        <f t="shared" si="2"/>
        <v>0</v>
      </c>
      <c r="J26" s="837">
        <f t="shared" si="2"/>
        <v>0</v>
      </c>
      <c r="K26" s="837">
        <f t="shared" si="2"/>
        <v>1333.5646814608099</v>
      </c>
      <c r="L26" s="837">
        <f t="shared" si="2"/>
        <v>0</v>
      </c>
      <c r="M26" s="837">
        <f t="shared" si="2"/>
        <v>0</v>
      </c>
      <c r="N26" s="837">
        <f t="shared" si="2"/>
        <v>0</v>
      </c>
      <c r="O26" s="837">
        <f t="shared" si="2"/>
        <v>0</v>
      </c>
      <c r="P26" s="837">
        <f t="shared" si="2"/>
        <v>0</v>
      </c>
      <c r="Q26" s="837">
        <f t="shared" si="2"/>
        <v>0</v>
      </c>
      <c r="R26" s="837">
        <f t="shared" si="2"/>
        <v>35581.423758658035</v>
      </c>
      <c r="S26" s="67"/>
    </row>
    <row r="27" spans="1:19" s="474" customFormat="1" ht="17.25" thickTop="1" thickBot="1">
      <c r="A27" s="721" t="s">
        <v>115</v>
      </c>
      <c r="B27" s="829"/>
      <c r="C27" s="722">
        <f ca="1">C22+C16+C26</f>
        <v>137426.63718870372</v>
      </c>
      <c r="D27" s="722">
        <f t="shared" ref="D27:R27" ca="1" si="3">D22+D16+D26</f>
        <v>7639.7142857142862</v>
      </c>
      <c r="E27" s="722">
        <f t="shared" ca="1" si="3"/>
        <v>183528.34962250473</v>
      </c>
      <c r="F27" s="722">
        <f t="shared" si="3"/>
        <v>16229.558436414138</v>
      </c>
      <c r="G27" s="722">
        <f t="shared" ca="1" si="3"/>
        <v>27103.518109949127</v>
      </c>
      <c r="H27" s="722">
        <f t="shared" si="3"/>
        <v>299460.70553084178</v>
      </c>
      <c r="I27" s="722">
        <f t="shared" si="3"/>
        <v>49880.126127606178</v>
      </c>
      <c r="J27" s="722">
        <f t="shared" si="3"/>
        <v>0</v>
      </c>
      <c r="K27" s="722">
        <f t="shared" si="3"/>
        <v>1501.1268008827649</v>
      </c>
      <c r="L27" s="722">
        <f t="shared" si="3"/>
        <v>0</v>
      </c>
      <c r="M27" s="722">
        <f t="shared" ca="1" si="3"/>
        <v>0</v>
      </c>
      <c r="N27" s="722">
        <f t="shared" si="3"/>
        <v>20537.743113049979</v>
      </c>
      <c r="O27" s="722">
        <f t="shared" ca="1" si="3"/>
        <v>32498.5464206945</v>
      </c>
      <c r="P27" s="722">
        <f t="shared" si="3"/>
        <v>746.39655655557954</v>
      </c>
      <c r="Q27" s="722">
        <f t="shared" si="3"/>
        <v>2590.5700402989351</v>
      </c>
      <c r="R27" s="722">
        <f t="shared" ca="1" si="3"/>
        <v>779142.99223321571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7284.1065286524354</v>
      </c>
      <c r="D40" s="712">
        <f ca="1">tertiair!C20</f>
        <v>0</v>
      </c>
      <c r="E40" s="712">
        <f ca="1">tertiair!D20</f>
        <v>6743.9889177504811</v>
      </c>
      <c r="F40" s="712">
        <f>tertiair!E20</f>
        <v>92.206995436066691</v>
      </c>
      <c r="G40" s="712">
        <f ca="1">tertiair!F20</f>
        <v>862.48874034796131</v>
      </c>
      <c r="H40" s="712">
        <f>tertiair!G20</f>
        <v>0</v>
      </c>
      <c r="I40" s="712">
        <f>tertiair!H20</f>
        <v>0</v>
      </c>
      <c r="J40" s="712">
        <f>tertiair!I20</f>
        <v>0</v>
      </c>
      <c r="K40" s="712">
        <f>tertiair!J20</f>
        <v>1.7670979068903282E-2</v>
      </c>
      <c r="L40" s="712">
        <f>tertiair!K20</f>
        <v>0</v>
      </c>
      <c r="M40" s="712">
        <f ca="1">tertiair!L20</f>
        <v>0</v>
      </c>
      <c r="N40" s="712">
        <f>tertiair!M20</f>
        <v>0</v>
      </c>
      <c r="O40" s="712">
        <f ca="1">tertiair!N20</f>
        <v>0</v>
      </c>
      <c r="P40" s="712">
        <f>tertiair!O20</f>
        <v>0</v>
      </c>
      <c r="Q40" s="795">
        <f>tertiair!P20</f>
        <v>0</v>
      </c>
      <c r="R40" s="875">
        <f t="shared" ca="1" si="4"/>
        <v>14982.808853166012</v>
      </c>
    </row>
    <row r="41" spans="1:18">
      <c r="A41" s="847" t="s">
        <v>224</v>
      </c>
      <c r="B41" s="854"/>
      <c r="C41" s="712">
        <f ca="1">huishoudens!B12</f>
        <v>9206.3423994803688</v>
      </c>
      <c r="D41" s="712">
        <f ca="1">huishoudens!C12</f>
        <v>0</v>
      </c>
      <c r="E41" s="712">
        <f>huishoudens!D12</f>
        <v>25140.150180666402</v>
      </c>
      <c r="F41" s="712">
        <f>huishoudens!E12</f>
        <v>2991.7521514178425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37338.244731564613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4043.4120772003912</v>
      </c>
      <c r="D43" s="712">
        <f ca="1">industrie!C22</f>
        <v>0</v>
      </c>
      <c r="E43" s="712">
        <f>industrie!D22</f>
        <v>4433.9399035991401</v>
      </c>
      <c r="F43" s="712">
        <f>industrie!E22</f>
        <v>434.24579041492285</v>
      </c>
      <c r="G43" s="712">
        <f>industrie!F22</f>
        <v>1806.7093480580897</v>
      </c>
      <c r="H43" s="712">
        <f>industrie!G22</f>
        <v>0</v>
      </c>
      <c r="I43" s="712">
        <f>industrie!H22</f>
        <v>0</v>
      </c>
      <c r="J43" s="712">
        <f>industrie!I22</f>
        <v>0</v>
      </c>
      <c r="K43" s="712">
        <f>industrie!J22</f>
        <v>59.29931929630316</v>
      </c>
      <c r="L43" s="712">
        <f>industrie!K22</f>
        <v>0</v>
      </c>
      <c r="M43" s="712">
        <f>industrie!L22</f>
        <v>0</v>
      </c>
      <c r="N43" s="712">
        <f>industrie!M22</f>
        <v>0</v>
      </c>
      <c r="O43" s="712">
        <f>industrie!N22</f>
        <v>0</v>
      </c>
      <c r="P43" s="712">
        <f>industrie!O22</f>
        <v>0</v>
      </c>
      <c r="Q43" s="795">
        <f>industrie!P22</f>
        <v>0</v>
      </c>
      <c r="R43" s="874">
        <f t="shared" ca="1" si="4"/>
        <v>10777.606438568848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20533.861005333198</v>
      </c>
      <c r="D46" s="748">
        <f t="shared" ref="D46:Q46" ca="1" si="5">SUM(D39:D45)</f>
        <v>0</v>
      </c>
      <c r="E46" s="748">
        <f t="shared" ca="1" si="5"/>
        <v>36318.07900201602</v>
      </c>
      <c r="F46" s="748">
        <f t="shared" si="5"/>
        <v>3518.2049372688321</v>
      </c>
      <c r="G46" s="748">
        <f t="shared" ca="1" si="5"/>
        <v>2669.1980884060513</v>
      </c>
      <c r="H46" s="748">
        <f t="shared" si="5"/>
        <v>0</v>
      </c>
      <c r="I46" s="748">
        <f t="shared" si="5"/>
        <v>0</v>
      </c>
      <c r="J46" s="748">
        <f t="shared" si="5"/>
        <v>0</v>
      </c>
      <c r="K46" s="748">
        <f t="shared" si="5"/>
        <v>59.316990275372063</v>
      </c>
      <c r="L46" s="748">
        <f t="shared" si="5"/>
        <v>0</v>
      </c>
      <c r="M46" s="748">
        <f t="shared" ca="1" si="5"/>
        <v>0</v>
      </c>
      <c r="N46" s="748">
        <f t="shared" si="5"/>
        <v>0</v>
      </c>
      <c r="O46" s="748">
        <f t="shared" ca="1" si="5"/>
        <v>0</v>
      </c>
      <c r="P46" s="748">
        <f t="shared" si="5"/>
        <v>0</v>
      </c>
      <c r="Q46" s="748">
        <f t="shared" si="5"/>
        <v>0</v>
      </c>
      <c r="R46" s="748">
        <f ca="1">SUM(R39:R45)</f>
        <v>63098.660023299468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841.12286156666528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841.12286156666528</v>
      </c>
    </row>
    <row r="50" spans="1:18">
      <c r="A50" s="850" t="s">
        <v>306</v>
      </c>
      <c r="B50" s="860"/>
      <c r="C50" s="718">
        <f ca="1">transport!B18</f>
        <v>27.496393224323963</v>
      </c>
      <c r="D50" s="718">
        <f>transport!C18</f>
        <v>0</v>
      </c>
      <c r="E50" s="718">
        <f>transport!D18</f>
        <v>131.3522682059357</v>
      </c>
      <c r="F50" s="718">
        <f>transport!E18</f>
        <v>131.61252996656998</v>
      </c>
      <c r="G50" s="718">
        <f>transport!F18</f>
        <v>0</v>
      </c>
      <c r="H50" s="718">
        <f>transport!G18</f>
        <v>79114.885515168105</v>
      </c>
      <c r="I50" s="718">
        <f>transport!H18</f>
        <v>12420.151405773939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91825.498112338872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27.496393224323963</v>
      </c>
      <c r="D52" s="748">
        <f t="shared" ref="D52:Q52" ca="1" si="6">SUM(D48:D51)</f>
        <v>0</v>
      </c>
      <c r="E52" s="748">
        <f t="shared" si="6"/>
        <v>131.3522682059357</v>
      </c>
      <c r="F52" s="748">
        <f t="shared" si="6"/>
        <v>131.61252996656998</v>
      </c>
      <c r="G52" s="748">
        <f t="shared" si="6"/>
        <v>0</v>
      </c>
      <c r="H52" s="748">
        <f t="shared" si="6"/>
        <v>79956.008376734768</v>
      </c>
      <c r="I52" s="748">
        <f t="shared" si="6"/>
        <v>12420.151405773939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92666.620973905534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758.79819422069988</v>
      </c>
      <c r="D54" s="718">
        <f ca="1">+landbouw!C12</f>
        <v>1785.9176470588238</v>
      </c>
      <c r="E54" s="718">
        <f>+landbouw!D12</f>
        <v>0</v>
      </c>
      <c r="F54" s="718">
        <f>+landbouw!E12</f>
        <v>34.292297830607545</v>
      </c>
      <c r="G54" s="718">
        <f>+landbouw!F12</f>
        <v>4567.4412469503659</v>
      </c>
      <c r="H54" s="718">
        <f>+landbouw!G12</f>
        <v>0</v>
      </c>
      <c r="I54" s="718">
        <f>+landbouw!H12</f>
        <v>0</v>
      </c>
      <c r="J54" s="718">
        <f>+landbouw!I12</f>
        <v>0</v>
      </c>
      <c r="K54" s="718">
        <f>+landbouw!J12</f>
        <v>472.08189723712667</v>
      </c>
      <c r="L54" s="718">
        <f>+landbouw!K12</f>
        <v>0</v>
      </c>
      <c r="M54" s="718">
        <f>+landbouw!L12</f>
        <v>0</v>
      </c>
      <c r="N54" s="718">
        <f>+landbouw!M12</f>
        <v>0</v>
      </c>
      <c r="O54" s="718">
        <f>+landbouw!N12</f>
        <v>0</v>
      </c>
      <c r="P54" s="718">
        <f>+landbouw!O12</f>
        <v>0</v>
      </c>
      <c r="Q54" s="719">
        <f>+landbouw!P12</f>
        <v>0</v>
      </c>
      <c r="R54" s="747">
        <f ca="1">SUM(C54:Q54)</f>
        <v>7618.5312832976233</v>
      </c>
    </row>
    <row r="55" spans="1:18" ht="15" thickBot="1">
      <c r="A55" s="850" t="s">
        <v>734</v>
      </c>
      <c r="B55" s="860"/>
      <c r="C55" s="718">
        <f ca="1">C25*'EF ele_warmte'!B12</f>
        <v>223.3145126809936</v>
      </c>
      <c r="D55" s="718"/>
      <c r="E55" s="718">
        <f>E25*EF_CO2_aardgas</f>
        <v>623.29535352400001</v>
      </c>
      <c r="F55" s="718"/>
      <c r="G55" s="718"/>
      <c r="H55" s="718"/>
      <c r="I55" s="718"/>
      <c r="J55" s="718"/>
      <c r="K55" s="718"/>
      <c r="L55" s="718"/>
      <c r="M55" s="718"/>
      <c r="N55" s="718"/>
      <c r="O55" s="718"/>
      <c r="P55" s="718"/>
      <c r="Q55" s="719"/>
      <c r="R55" s="747">
        <f ca="1">SUM(C55:Q55)</f>
        <v>846.60986620499364</v>
      </c>
    </row>
    <row r="56" spans="1:18" ht="15.75" thickBot="1">
      <c r="A56" s="848" t="s">
        <v>735</v>
      </c>
      <c r="B56" s="861"/>
      <c r="C56" s="748">
        <f ca="1">SUM(C54:C55)</f>
        <v>982.11270690169351</v>
      </c>
      <c r="D56" s="748">
        <f t="shared" ref="D56:Q56" ca="1" si="7">SUM(D54:D55)</f>
        <v>1785.9176470588238</v>
      </c>
      <c r="E56" s="748">
        <f t="shared" si="7"/>
        <v>623.29535352400001</v>
      </c>
      <c r="F56" s="748">
        <f t="shared" si="7"/>
        <v>34.292297830607545</v>
      </c>
      <c r="G56" s="748">
        <f t="shared" si="7"/>
        <v>4567.4412469503659</v>
      </c>
      <c r="H56" s="748">
        <f t="shared" si="7"/>
        <v>0</v>
      </c>
      <c r="I56" s="748">
        <f t="shared" si="7"/>
        <v>0</v>
      </c>
      <c r="J56" s="748">
        <f t="shared" si="7"/>
        <v>0</v>
      </c>
      <c r="K56" s="748">
        <f t="shared" si="7"/>
        <v>472.08189723712667</v>
      </c>
      <c r="L56" s="748">
        <f t="shared" si="7"/>
        <v>0</v>
      </c>
      <c r="M56" s="748">
        <f t="shared" si="7"/>
        <v>0</v>
      </c>
      <c r="N56" s="748">
        <f t="shared" si="7"/>
        <v>0</v>
      </c>
      <c r="O56" s="748">
        <f t="shared" si="7"/>
        <v>0</v>
      </c>
      <c r="P56" s="748">
        <f t="shared" si="7"/>
        <v>0</v>
      </c>
      <c r="Q56" s="749">
        <f t="shared" si="7"/>
        <v>0</v>
      </c>
      <c r="R56" s="750">
        <f ca="1">SUM(R54:R55)</f>
        <v>8465.1411495026168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21543.470105459215</v>
      </c>
      <c r="D61" s="756">
        <f t="shared" ref="D61:Q61" ca="1" si="8">D46+D52+D56</f>
        <v>1785.9176470588238</v>
      </c>
      <c r="E61" s="756">
        <f t="shared" ca="1" si="8"/>
        <v>37072.726623745955</v>
      </c>
      <c r="F61" s="756">
        <f t="shared" si="8"/>
        <v>3684.1097650660095</v>
      </c>
      <c r="G61" s="756">
        <f t="shared" ca="1" si="8"/>
        <v>7236.6393353564172</v>
      </c>
      <c r="H61" s="756">
        <f t="shared" si="8"/>
        <v>79956.008376734768</v>
      </c>
      <c r="I61" s="756">
        <f t="shared" si="8"/>
        <v>12420.151405773939</v>
      </c>
      <c r="J61" s="756">
        <f t="shared" si="8"/>
        <v>0</v>
      </c>
      <c r="K61" s="756">
        <f t="shared" si="8"/>
        <v>531.39888751249873</v>
      </c>
      <c r="L61" s="756">
        <f t="shared" si="8"/>
        <v>0</v>
      </c>
      <c r="M61" s="756">
        <f t="shared" ca="1" si="8"/>
        <v>0</v>
      </c>
      <c r="N61" s="756">
        <f t="shared" si="8"/>
        <v>0</v>
      </c>
      <c r="O61" s="756">
        <f t="shared" ca="1" si="8"/>
        <v>0</v>
      </c>
      <c r="P61" s="756">
        <f t="shared" si="8"/>
        <v>0</v>
      </c>
      <c r="Q61" s="756">
        <f t="shared" si="8"/>
        <v>0</v>
      </c>
      <c r="R61" s="756">
        <f ca="1">R46+R52+R56</f>
        <v>164230.42214670763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0.15676342335203453</v>
      </c>
      <c r="D63" s="802">
        <f t="shared" ca="1" si="9"/>
        <v>0.2337675965707724</v>
      </c>
      <c r="E63" s="1008">
        <f t="shared" ca="1" si="9"/>
        <v>0.20200000000000001</v>
      </c>
      <c r="F63" s="802">
        <f t="shared" si="9"/>
        <v>0.22700000000000001</v>
      </c>
      <c r="G63" s="802">
        <f t="shared" ca="1" si="9"/>
        <v>0.26700000000000002</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10529.094829936768</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12804.729903934202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87.299999999999969</v>
      </c>
      <c r="C76" s="769">
        <f>'lokale energieproductie'!B8*IFERROR(SUM(D76:H76)/SUM(D76:O76),0)</f>
        <v>5260.4999999999991</v>
      </c>
      <c r="D76" s="991">
        <f>'lokale energieproductie'!C8</f>
        <v>6188.823529411764</v>
      </c>
      <c r="E76" s="992">
        <f>'lokale energieproductie'!D8</f>
        <v>0</v>
      </c>
      <c r="F76" s="992">
        <f>'lokale energieproductie'!E8</f>
        <v>0</v>
      </c>
      <c r="G76" s="992">
        <f>'lokale energieproductie'!F8</f>
        <v>0</v>
      </c>
      <c r="H76" s="992">
        <f>'lokale energieproductie'!G8</f>
        <v>0</v>
      </c>
      <c r="I76" s="992">
        <f>'lokale energieproductie'!I8</f>
        <v>0</v>
      </c>
      <c r="J76" s="992">
        <f>'lokale energieproductie'!J8</f>
        <v>102.70588235294115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1250.1423529411763</v>
      </c>
      <c r="R76" s="877">
        <v>0</v>
      </c>
    </row>
    <row r="77" spans="1:18" ht="15.75" thickBot="1">
      <c r="A77" s="772" t="s">
        <v>801</v>
      </c>
      <c r="B77" s="769">
        <f>'lokale energieproductie'!B9*IFERROR(SUM(I77:O77)/SUM(D77:O77),0)</f>
        <v>16920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48342.857142857152</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40341.124733870965</v>
      </c>
      <c r="C78" s="774">
        <f>SUM(C72:C77)</f>
        <v>5260.4999999999991</v>
      </c>
      <c r="D78" s="775">
        <f t="shared" ref="D78:H78" si="10">SUM(D76:D77)</f>
        <v>6188.823529411764</v>
      </c>
      <c r="E78" s="775">
        <f t="shared" si="10"/>
        <v>0</v>
      </c>
      <c r="F78" s="775">
        <f t="shared" si="10"/>
        <v>0</v>
      </c>
      <c r="G78" s="775">
        <f t="shared" si="10"/>
        <v>0</v>
      </c>
      <c r="H78" s="775">
        <f t="shared" si="10"/>
        <v>0</v>
      </c>
      <c r="I78" s="775">
        <f>SUM(I76:I77)</f>
        <v>0</v>
      </c>
      <c r="J78" s="775">
        <f>SUM(J76:J77)</f>
        <v>48445.563025210096</v>
      </c>
      <c r="K78" s="775">
        <f t="shared" ref="K78:L78" si="11">SUM(K76:K77)</f>
        <v>0</v>
      </c>
      <c r="L78" s="775">
        <f t="shared" si="11"/>
        <v>0</v>
      </c>
      <c r="M78" s="775">
        <f>SUM(M76:M77)</f>
        <v>0</v>
      </c>
      <c r="N78" s="775">
        <f>SUM(N76:N77)</f>
        <v>0</v>
      </c>
      <c r="O78" s="885">
        <f>SUM(O76:O77)</f>
        <v>0</v>
      </c>
      <c r="P78" s="776">
        <v>0</v>
      </c>
      <c r="Q78" s="776">
        <f>SUM(Q76:Q77)</f>
        <v>1250.1423529411763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124.71428571428569</v>
      </c>
      <c r="C87" s="787">
        <f>'lokale energieproductie'!B17*IFERROR(SUM(D87:H87)/SUM(D87:O87),0)</f>
        <v>7515.0000000000009</v>
      </c>
      <c r="D87" s="798">
        <f>'lokale energieproductie'!C17</f>
        <v>8841.176470588236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146.72268907563023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1785.9176470588238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124.71428571428569</v>
      </c>
      <c r="C90" s="774">
        <f>SUM(C87:C89)</f>
        <v>7515.0000000000009</v>
      </c>
      <c r="D90" s="774">
        <f t="shared" ref="D90:H90" si="12">SUM(D87:D89)</f>
        <v>8841.176470588236</v>
      </c>
      <c r="E90" s="774">
        <f t="shared" si="12"/>
        <v>0</v>
      </c>
      <c r="F90" s="774">
        <f t="shared" si="12"/>
        <v>0</v>
      </c>
      <c r="G90" s="774">
        <f t="shared" si="12"/>
        <v>0</v>
      </c>
      <c r="H90" s="774">
        <f t="shared" si="12"/>
        <v>0</v>
      </c>
      <c r="I90" s="774">
        <f>SUM(I87:I89)</f>
        <v>0</v>
      </c>
      <c r="J90" s="774">
        <f>SUM(J87:J89)</f>
        <v>146.72268907563023</v>
      </c>
      <c r="K90" s="774">
        <f t="shared" ref="K90:L90" si="13">SUM(K87:K89)</f>
        <v>0</v>
      </c>
      <c r="L90" s="774">
        <f t="shared" si="13"/>
        <v>0</v>
      </c>
      <c r="M90" s="774">
        <f>SUM(M87:M89)</f>
        <v>0</v>
      </c>
      <c r="N90" s="774">
        <f>SUM(N87:N89)</f>
        <v>0</v>
      </c>
      <c r="O90" s="774">
        <f>SUM(O87:O89)</f>
        <v>0</v>
      </c>
      <c r="P90" s="774">
        <v>0</v>
      </c>
      <c r="Q90" s="774">
        <f>SUM(Q87:Q89)</f>
        <v>1785.9176470588238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6"/>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10529.094829936768</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12804.729903934202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5347.7999999999993</v>
      </c>
      <c r="C8" s="574">
        <f>B101</f>
        <v>6188.823529411764</v>
      </c>
      <c r="D8" s="575"/>
      <c r="E8" s="575">
        <f>E101</f>
        <v>0</v>
      </c>
      <c r="F8" s="576"/>
      <c r="G8" s="577"/>
      <c r="H8" s="575">
        <f>I101</f>
        <v>0</v>
      </c>
      <c r="I8" s="575">
        <f>G101+F101</f>
        <v>0</v>
      </c>
      <c r="J8" s="575">
        <f>H101+D101+C101</f>
        <v>102.70588235294115</v>
      </c>
      <c r="K8" s="575"/>
      <c r="L8" s="575"/>
      <c r="M8" s="575"/>
      <c r="N8" s="578"/>
      <c r="O8" s="579">
        <f>C8*$C$12+D8*$D$12+E8*$E$12+F8*$F$12+G8*$G$12+H8*$H$12+I8*$I$12+J8*$J$12</f>
        <v>1250.1423529411763</v>
      </c>
      <c r="P8" s="1291"/>
      <c r="Q8" s="1292"/>
      <c r="S8" s="569"/>
      <c r="T8" s="1288"/>
      <c r="U8" s="1288"/>
    </row>
    <row r="9" spans="1:21" s="560" customFormat="1" ht="17.45" customHeight="1" thickBot="1">
      <c r="A9" s="580" t="s">
        <v>247</v>
      </c>
      <c r="B9" s="581">
        <f>N89+'Eigen informatie GS &amp; warmtenet'!B12</f>
        <v>16920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45601.624733870965</v>
      </c>
      <c r="C10" s="589">
        <f t="shared" ref="C10:L10" si="0">SUM(C8:C9)</f>
        <v>6188.823529411764</v>
      </c>
      <c r="D10" s="589">
        <f t="shared" si="0"/>
        <v>0</v>
      </c>
      <c r="E10" s="589">
        <f t="shared" si="0"/>
        <v>0</v>
      </c>
      <c r="F10" s="589">
        <f t="shared" si="0"/>
        <v>0</v>
      </c>
      <c r="G10" s="589">
        <f t="shared" si="0"/>
        <v>0</v>
      </c>
      <c r="H10" s="589">
        <f t="shared" si="0"/>
        <v>0</v>
      </c>
      <c r="I10" s="589">
        <f t="shared" si="0"/>
        <v>0</v>
      </c>
      <c r="J10" s="589">
        <f t="shared" si="0"/>
        <v>48445.563025210096</v>
      </c>
      <c r="K10" s="589">
        <f t="shared" si="0"/>
        <v>0</v>
      </c>
      <c r="L10" s="589">
        <f t="shared" si="0"/>
        <v>0</v>
      </c>
      <c r="M10" s="1004"/>
      <c r="N10" s="1004"/>
      <c r="O10" s="590">
        <f>SUM(O4:O9)</f>
        <v>1250.1423529411763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7639.7142857142862</v>
      </c>
      <c r="C17" s="605">
        <f>B102</f>
        <v>8841.176470588236</v>
      </c>
      <c r="D17" s="606"/>
      <c r="E17" s="606">
        <f>E102</f>
        <v>0</v>
      </c>
      <c r="F17" s="607"/>
      <c r="G17" s="608"/>
      <c r="H17" s="605">
        <f>I102</f>
        <v>0</v>
      </c>
      <c r="I17" s="606">
        <f>G102+F102</f>
        <v>0</v>
      </c>
      <c r="J17" s="606">
        <f>H102+D102+C102</f>
        <v>146.72268907563023</v>
      </c>
      <c r="K17" s="606"/>
      <c r="L17" s="606"/>
      <c r="M17" s="606"/>
      <c r="N17" s="1005"/>
      <c r="O17" s="609">
        <f>C17*$C$22+E17*$E$22+H17*$H$22+I17*$I$22+J17*$J$22+D17*$D$22+F17*$F$22+G17*$G$22+K17*$K$22+L17*$L$22</f>
        <v>1785.9176470588238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7639.7142857142862</v>
      </c>
      <c r="C20" s="588">
        <f>SUM(C17:C19)</f>
        <v>8841.176470588236</v>
      </c>
      <c r="D20" s="588">
        <f t="shared" ref="D20:L20" si="1">SUM(D17:D19)</f>
        <v>0</v>
      </c>
      <c r="E20" s="588">
        <f t="shared" si="1"/>
        <v>0</v>
      </c>
      <c r="F20" s="588">
        <f t="shared" si="1"/>
        <v>0</v>
      </c>
      <c r="G20" s="588">
        <f t="shared" si="1"/>
        <v>0</v>
      </c>
      <c r="H20" s="588">
        <f t="shared" si="1"/>
        <v>0</v>
      </c>
      <c r="I20" s="588">
        <f t="shared" si="1"/>
        <v>0</v>
      </c>
      <c r="J20" s="588">
        <f t="shared" si="1"/>
        <v>146.72268907563023</v>
      </c>
      <c r="K20" s="588">
        <f t="shared" si="1"/>
        <v>0</v>
      </c>
      <c r="L20" s="588">
        <f t="shared" si="1"/>
        <v>0</v>
      </c>
      <c r="M20" s="588"/>
      <c r="N20" s="588"/>
      <c r="O20" s="614">
        <f>SUM(O17:O19)</f>
        <v>1785.9176470588238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11009</v>
      </c>
      <c r="C28" s="817">
        <v>2960</v>
      </c>
      <c r="D28" s="666" t="s">
        <v>886</v>
      </c>
      <c r="E28" s="665" t="s">
        <v>887</v>
      </c>
      <c r="F28" s="665" t="s">
        <v>888</v>
      </c>
      <c r="G28" s="665" t="s">
        <v>889</v>
      </c>
      <c r="H28" s="665" t="s">
        <v>890</v>
      </c>
      <c r="I28" s="665" t="s">
        <v>887</v>
      </c>
      <c r="J28" s="816">
        <v>39737</v>
      </c>
      <c r="K28" s="816">
        <v>39737</v>
      </c>
      <c r="L28" s="665" t="s">
        <v>891</v>
      </c>
      <c r="M28" s="665">
        <v>1169</v>
      </c>
      <c r="N28" s="665">
        <v>5260.5</v>
      </c>
      <c r="O28" s="665">
        <v>7515</v>
      </c>
      <c r="P28" s="665">
        <v>15030.000000000002</v>
      </c>
      <c r="Q28" s="665">
        <v>0</v>
      </c>
      <c r="R28" s="665">
        <v>0</v>
      </c>
      <c r="S28" s="665">
        <v>0</v>
      </c>
      <c r="T28" s="665">
        <v>0</v>
      </c>
      <c r="U28" s="665">
        <v>0</v>
      </c>
      <c r="V28" s="665">
        <v>0</v>
      </c>
      <c r="W28" s="665">
        <v>0</v>
      </c>
      <c r="X28" s="665">
        <v>10</v>
      </c>
      <c r="Y28" s="665" t="s">
        <v>111</v>
      </c>
      <c r="Z28" s="667" t="s">
        <v>111</v>
      </c>
    </row>
    <row r="29" spans="1:26" s="619" customFormat="1" ht="25.5">
      <c r="A29" s="618"/>
      <c r="B29" s="817">
        <v>11009</v>
      </c>
      <c r="C29" s="817">
        <v>2960</v>
      </c>
      <c r="D29" s="666" t="s">
        <v>892</v>
      </c>
      <c r="E29" s="665" t="s">
        <v>893</v>
      </c>
      <c r="F29" s="665" t="s">
        <v>894</v>
      </c>
      <c r="G29" s="665" t="s">
        <v>889</v>
      </c>
      <c r="H29" s="665" t="s">
        <v>890</v>
      </c>
      <c r="I29" s="665" t="s">
        <v>893</v>
      </c>
      <c r="J29" s="816">
        <v>41086</v>
      </c>
      <c r="K29" s="816">
        <v>41214</v>
      </c>
      <c r="L29" s="665" t="s">
        <v>891</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10</v>
      </c>
      <c r="Y29" s="665" t="s">
        <v>111</v>
      </c>
      <c r="Z29" s="667" t="s">
        <v>111</v>
      </c>
    </row>
    <row r="30" spans="1:26" s="619" customFormat="1" ht="25.5">
      <c r="A30" s="618"/>
      <c r="B30" s="817">
        <v>11009</v>
      </c>
      <c r="C30" s="817">
        <v>2960</v>
      </c>
      <c r="D30" s="666" t="s">
        <v>895</v>
      </c>
      <c r="E30" s="665" t="s">
        <v>896</v>
      </c>
      <c r="F30" s="665" t="s">
        <v>897</v>
      </c>
      <c r="G30" s="665" t="s">
        <v>889</v>
      </c>
      <c r="H30" s="665" t="s">
        <v>890</v>
      </c>
      <c r="I30" s="665" t="s">
        <v>898</v>
      </c>
      <c r="J30" s="816">
        <v>41086</v>
      </c>
      <c r="K30" s="816">
        <v>41244</v>
      </c>
      <c r="L30" s="665" t="s">
        <v>891</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1188.4000000000001</v>
      </c>
      <c r="N58" s="623">
        <f>SUM(N28:N57)</f>
        <v>5347.7999999999993</v>
      </c>
      <c r="O58" s="623">
        <f t="shared" ref="O58:W58" si="2">SUM(O28:O57)</f>
        <v>7639.7142857142862</v>
      </c>
      <c r="P58" s="623">
        <f t="shared" si="2"/>
        <v>15030.000000000002</v>
      </c>
      <c r="Q58" s="623">
        <f t="shared" si="2"/>
        <v>249.42857142857139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1188.4000000000001</v>
      </c>
      <c r="N61" s="628">
        <f t="shared" si="4"/>
        <v>5347.7999999999993</v>
      </c>
      <c r="O61" s="628">
        <f t="shared" si="4"/>
        <v>7639.7142857142862</v>
      </c>
      <c r="P61" s="628">
        <f t="shared" si="4"/>
        <v>15030.000000000002</v>
      </c>
      <c r="Q61" s="628">
        <f t="shared" si="4"/>
        <v>249.42857142857139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11009</v>
      </c>
      <c r="C64" s="817">
        <v>2960</v>
      </c>
      <c r="D64" s="668" t="s">
        <v>899</v>
      </c>
      <c r="E64" s="668" t="s">
        <v>900</v>
      </c>
      <c r="F64" s="668" t="s">
        <v>901</v>
      </c>
      <c r="G64" s="668" t="s">
        <v>902</v>
      </c>
      <c r="H64" s="668" t="s">
        <v>903</v>
      </c>
      <c r="I64" s="668" t="s">
        <v>904</v>
      </c>
      <c r="J64" s="816">
        <v>40365</v>
      </c>
      <c r="K64" s="816">
        <v>40704</v>
      </c>
      <c r="L64" s="668" t="s">
        <v>905</v>
      </c>
      <c r="M64" s="668">
        <v>2353</v>
      </c>
      <c r="N64" s="668">
        <v>10588.500000000002</v>
      </c>
      <c r="O64" s="668">
        <v>0</v>
      </c>
      <c r="P64" s="668">
        <v>0</v>
      </c>
      <c r="Q64" s="668">
        <v>30252.857142857149</v>
      </c>
      <c r="R64" s="668">
        <v>0</v>
      </c>
      <c r="S64" s="668">
        <v>0</v>
      </c>
      <c r="T64" s="668">
        <v>0</v>
      </c>
      <c r="U64" s="668">
        <v>0</v>
      </c>
      <c r="V64" s="668">
        <v>0</v>
      </c>
      <c r="W64" s="668">
        <v>0</v>
      </c>
      <c r="X64" s="668">
        <v>1600</v>
      </c>
      <c r="Y64" s="668" t="s">
        <v>49</v>
      </c>
      <c r="Z64" s="669" t="s">
        <v>155</v>
      </c>
    </row>
    <row r="65" spans="1:26" s="634" customFormat="1" ht="63.75">
      <c r="A65" s="620"/>
      <c r="B65" s="817">
        <v>11009</v>
      </c>
      <c r="C65" s="817">
        <v>2960</v>
      </c>
      <c r="D65" s="668" t="s">
        <v>906</v>
      </c>
      <c r="E65" s="668" t="s">
        <v>907</v>
      </c>
      <c r="F65" s="668" t="s">
        <v>908</v>
      </c>
      <c r="G65" s="668" t="s">
        <v>909</v>
      </c>
      <c r="H65" s="668" t="s">
        <v>903</v>
      </c>
      <c r="I65" s="668" t="s">
        <v>910</v>
      </c>
      <c r="J65" s="816">
        <v>39943</v>
      </c>
      <c r="K65" s="816">
        <v>38200</v>
      </c>
      <c r="L65" s="668" t="s">
        <v>905</v>
      </c>
      <c r="M65" s="668">
        <v>1095</v>
      </c>
      <c r="N65" s="668">
        <v>4927.5</v>
      </c>
      <c r="O65" s="668">
        <v>0</v>
      </c>
      <c r="P65" s="668">
        <v>0</v>
      </c>
      <c r="Q65" s="668">
        <v>14078.571428571429</v>
      </c>
      <c r="R65" s="668">
        <v>0</v>
      </c>
      <c r="S65" s="668">
        <v>0</v>
      </c>
      <c r="T65" s="668">
        <v>0</v>
      </c>
      <c r="U65" s="668">
        <v>0</v>
      </c>
      <c r="V65" s="668">
        <v>0</v>
      </c>
      <c r="W65" s="668">
        <v>0</v>
      </c>
      <c r="X65" s="668">
        <v>1600</v>
      </c>
      <c r="Y65" s="668" t="s">
        <v>49</v>
      </c>
      <c r="Z65" s="669" t="s">
        <v>155</v>
      </c>
    </row>
    <row r="66" spans="1:26" s="634" customFormat="1" ht="63.75">
      <c r="A66" s="620"/>
      <c r="B66" s="817">
        <v>11009</v>
      </c>
      <c r="C66" s="817">
        <v>2960</v>
      </c>
      <c r="D66" s="668" t="s">
        <v>905</v>
      </c>
      <c r="E66" s="668" t="s">
        <v>911</v>
      </c>
      <c r="F66" s="668" t="s">
        <v>912</v>
      </c>
      <c r="G66" s="668" t="s">
        <v>913</v>
      </c>
      <c r="H66" s="668" t="s">
        <v>903</v>
      </c>
      <c r="I66" s="668" t="s">
        <v>914</v>
      </c>
      <c r="J66" s="816">
        <v>35323</v>
      </c>
      <c r="K66" s="816">
        <v>37653</v>
      </c>
      <c r="L66" s="668" t="s">
        <v>905</v>
      </c>
      <c r="M66" s="668">
        <v>312</v>
      </c>
      <c r="N66" s="668">
        <v>1404</v>
      </c>
      <c r="O66" s="668">
        <v>0</v>
      </c>
      <c r="P66" s="668">
        <v>0</v>
      </c>
      <c r="Q66" s="668">
        <v>0</v>
      </c>
      <c r="R66" s="668">
        <v>4011.4285714285716</v>
      </c>
      <c r="S66" s="668">
        <v>0</v>
      </c>
      <c r="T66" s="668">
        <v>0</v>
      </c>
      <c r="U66" s="668">
        <v>0</v>
      </c>
      <c r="V66" s="668">
        <v>0</v>
      </c>
      <c r="W66" s="668">
        <v>0</v>
      </c>
      <c r="X66" s="668">
        <v>1600</v>
      </c>
      <c r="Y66" s="668" t="s">
        <v>49</v>
      </c>
      <c r="Z66" s="669" t="s">
        <v>155</v>
      </c>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3760</v>
      </c>
      <c r="N89" s="623">
        <f t="shared" ref="N89:W89" si="5">SUM(N64:N88)</f>
        <v>16920</v>
      </c>
      <c r="O89" s="623">
        <f t="shared" si="5"/>
        <v>0</v>
      </c>
      <c r="P89" s="623">
        <f t="shared" si="5"/>
        <v>0</v>
      </c>
      <c r="Q89" s="623">
        <f t="shared" si="5"/>
        <v>44331.42857142858</v>
      </c>
      <c r="R89" s="623">
        <f t="shared" si="5"/>
        <v>4011.4285714285716</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3760</v>
      </c>
      <c r="N91" s="623">
        <f t="shared" si="7"/>
        <v>16920</v>
      </c>
      <c r="O91" s="623">
        <f t="shared" si="7"/>
        <v>0</v>
      </c>
      <c r="P91" s="623">
        <f t="shared" si="7"/>
        <v>0</v>
      </c>
      <c r="Q91" s="623">
        <f t="shared" si="7"/>
        <v>44331.42857142858</v>
      </c>
      <c r="R91" s="623">
        <f t="shared" si="7"/>
        <v>4011.4285714285716</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6188.823529411764</v>
      </c>
      <c r="C101" s="657">
        <f t="shared" si="9"/>
        <v>102.70588235294115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8841.176470588236</v>
      </c>
      <c r="C102" s="660">
        <f t="shared" si="10"/>
        <v>146.72268907563023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58727.617722446768</v>
      </c>
      <c r="C4" s="478">
        <f>huishoudens!C8</f>
        <v>0</v>
      </c>
      <c r="D4" s="478">
        <f>huishoudens!D8</f>
        <v>124456.1890132</v>
      </c>
      <c r="E4" s="478">
        <f>huishoudens!E8</f>
        <v>13179.524896113842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31254.912433059861</v>
      </c>
      <c r="O4" s="478">
        <f>huishoudens!O8</f>
        <v>702.3212096630092</v>
      </c>
      <c r="P4" s="479">
        <f>huishoudens!P8</f>
        <v>2275.3352104599649</v>
      </c>
      <c r="Q4" s="480">
        <f>SUM(B4:P4)</f>
        <v>230595.90048494344</v>
      </c>
    </row>
    <row r="5" spans="1:17">
      <c r="A5" s="477" t="s">
        <v>155</v>
      </c>
      <c r="B5" s="478">
        <f ca="1">tertiair!B16</f>
        <v>45131.071029000006</v>
      </c>
      <c r="C5" s="478">
        <f ca="1">tertiair!C16</f>
        <v>0</v>
      </c>
      <c r="D5" s="478">
        <f ca="1">tertiair!D16</f>
        <v>33386.083751240003</v>
      </c>
      <c r="E5" s="478">
        <f>tertiair!E16</f>
        <v>406.19821778002949</v>
      </c>
      <c r="F5" s="478">
        <f ca="1">tertiair!F16</f>
        <v>3230.2949076702671</v>
      </c>
      <c r="G5" s="478">
        <f>tertiair!G16</f>
        <v>0</v>
      </c>
      <c r="H5" s="478">
        <f>tertiair!H16</f>
        <v>0</v>
      </c>
      <c r="I5" s="478">
        <f>tertiair!I16</f>
        <v>0</v>
      </c>
      <c r="J5" s="478">
        <f>tertiair!J16</f>
        <v>4.9918019968653346E-2</v>
      </c>
      <c r="K5" s="478">
        <f>tertiair!K16</f>
        <v>0</v>
      </c>
      <c r="L5" s="478">
        <f ca="1">tertiair!L16</f>
        <v>0</v>
      </c>
      <c r="M5" s="478">
        <f>tertiair!M16</f>
        <v>0</v>
      </c>
      <c r="N5" s="478">
        <f ca="1">tertiair!N16</f>
        <v>0</v>
      </c>
      <c r="O5" s="478">
        <f>tertiair!O16</f>
        <v>44.075346892570387</v>
      </c>
      <c r="P5" s="479">
        <f>tertiair!P16</f>
        <v>315.23482983897009</v>
      </c>
      <c r="Q5" s="477">
        <f t="shared" ref="Q5:Q14" ca="1" si="0">SUM(B5:P5)</f>
        <v>82513.008000441798</v>
      </c>
    </row>
    <row r="6" spans="1:17">
      <c r="A6" s="477" t="s">
        <v>193</v>
      </c>
      <c r="B6" s="478">
        <f>'openbare verlichting'!B8</f>
        <v>1334.529</v>
      </c>
      <c r="C6" s="478"/>
      <c r="D6" s="478"/>
      <c r="E6" s="478"/>
      <c r="F6" s="478"/>
      <c r="G6" s="478"/>
      <c r="H6" s="478"/>
      <c r="I6" s="478"/>
      <c r="J6" s="478"/>
      <c r="K6" s="478"/>
      <c r="L6" s="478"/>
      <c r="M6" s="478"/>
      <c r="N6" s="478"/>
      <c r="O6" s="478"/>
      <c r="P6" s="479"/>
      <c r="Q6" s="477">
        <f t="shared" si="0"/>
        <v>1334.529</v>
      </c>
    </row>
    <row r="7" spans="1:17">
      <c r="A7" s="477" t="s">
        <v>111</v>
      </c>
      <c r="B7" s="478">
        <f>landbouw!B8</f>
        <v>4840.4033160000008</v>
      </c>
      <c r="C7" s="478">
        <f>landbouw!C8</f>
        <v>7639.7142857142862</v>
      </c>
      <c r="D7" s="478">
        <f>landbouw!D8</f>
        <v>0</v>
      </c>
      <c r="E7" s="478">
        <f>landbouw!E8</f>
        <v>151.0673913242623</v>
      </c>
      <c r="F7" s="478">
        <f>landbouw!F8</f>
        <v>17106.521524158674</v>
      </c>
      <c r="G7" s="478">
        <f>landbouw!G8</f>
        <v>0</v>
      </c>
      <c r="H7" s="478">
        <f>landbouw!H8</f>
        <v>0</v>
      </c>
      <c r="I7" s="478">
        <f>landbouw!I8</f>
        <v>0</v>
      </c>
      <c r="J7" s="478">
        <f>landbouw!J8</f>
        <v>1333.5646814608099</v>
      </c>
      <c r="K7" s="478">
        <f>landbouw!K8</f>
        <v>0</v>
      </c>
      <c r="L7" s="478">
        <f>landbouw!L8</f>
        <v>0</v>
      </c>
      <c r="M7" s="478">
        <f>landbouw!M8</f>
        <v>0</v>
      </c>
      <c r="N7" s="478">
        <f>landbouw!N8</f>
        <v>0</v>
      </c>
      <c r="O7" s="478">
        <f>landbouw!O8</f>
        <v>0</v>
      </c>
      <c r="P7" s="479">
        <f>landbouw!P8</f>
        <v>0</v>
      </c>
      <c r="Q7" s="477">
        <f t="shared" si="0"/>
        <v>31071.271198658033</v>
      </c>
    </row>
    <row r="8" spans="1:17">
      <c r="A8" s="477" t="s">
        <v>629</v>
      </c>
      <c r="B8" s="478">
        <f>industrie!B18</f>
        <v>25793.083556999998</v>
      </c>
      <c r="C8" s="478">
        <f>industrie!C18</f>
        <v>0</v>
      </c>
      <c r="D8" s="478">
        <f>industrie!D18</f>
        <v>21950.19754257</v>
      </c>
      <c r="E8" s="478">
        <f>industrie!E18</f>
        <v>1912.9770502860038</v>
      </c>
      <c r="F8" s="478">
        <f>industrie!F18</f>
        <v>6766.7016781201855</v>
      </c>
      <c r="G8" s="478">
        <f>industrie!G18</f>
        <v>0</v>
      </c>
      <c r="H8" s="478">
        <f>industrie!H18</f>
        <v>0</v>
      </c>
      <c r="I8" s="478">
        <f>industrie!I18</f>
        <v>0</v>
      </c>
      <c r="J8" s="478">
        <f>industrie!J18</f>
        <v>167.51220140198635</v>
      </c>
      <c r="K8" s="478">
        <f>industrie!K18</f>
        <v>0</v>
      </c>
      <c r="L8" s="478">
        <f>industrie!L18</f>
        <v>0</v>
      </c>
      <c r="M8" s="478">
        <f>industrie!M18</f>
        <v>0</v>
      </c>
      <c r="N8" s="478">
        <f>industrie!N18</f>
        <v>1243.6339876346406</v>
      </c>
      <c r="O8" s="478">
        <f>industrie!O18</f>
        <v>0</v>
      </c>
      <c r="P8" s="479">
        <f>industrie!P18</f>
        <v>0</v>
      </c>
      <c r="Q8" s="477">
        <f t="shared" si="0"/>
        <v>57834.106017012811</v>
      </c>
    </row>
    <row r="9" spans="1:17" s="483" customFormat="1">
      <c r="A9" s="481" t="s">
        <v>555</v>
      </c>
      <c r="B9" s="482">
        <f>transport!B14</f>
        <v>175.40056625694444</v>
      </c>
      <c r="C9" s="482">
        <f>transport!C14</f>
        <v>0</v>
      </c>
      <c r="D9" s="482">
        <f>transport!D14</f>
        <v>650.25875349473108</v>
      </c>
      <c r="E9" s="482">
        <f>transport!E14</f>
        <v>579.79088090999994</v>
      </c>
      <c r="F9" s="482">
        <f>transport!F14</f>
        <v>0</v>
      </c>
      <c r="G9" s="482">
        <f>transport!G14</f>
        <v>296310.43264107901</v>
      </c>
      <c r="H9" s="482">
        <f>transport!H14</f>
        <v>49880.126127606178</v>
      </c>
      <c r="I9" s="482">
        <f>transport!I14</f>
        <v>0</v>
      </c>
      <c r="J9" s="482">
        <f>transport!J14</f>
        <v>0</v>
      </c>
      <c r="K9" s="482">
        <f>transport!K14</f>
        <v>0</v>
      </c>
      <c r="L9" s="482">
        <f>transport!L14</f>
        <v>0</v>
      </c>
      <c r="M9" s="482">
        <f>transport!M14</f>
        <v>20362.650597278414</v>
      </c>
      <c r="N9" s="482">
        <f>transport!N14</f>
        <v>0</v>
      </c>
      <c r="O9" s="482">
        <f>transport!O14</f>
        <v>0</v>
      </c>
      <c r="P9" s="482">
        <f>transport!P14</f>
        <v>0</v>
      </c>
      <c r="Q9" s="481">
        <f>SUM(B9:P9)</f>
        <v>367958.65956662531</v>
      </c>
    </row>
    <row r="10" spans="1:17">
      <c r="A10" s="477" t="s">
        <v>545</v>
      </c>
      <c r="B10" s="478">
        <f>transport!B54</f>
        <v>0</v>
      </c>
      <c r="C10" s="478">
        <f>transport!C54</f>
        <v>0</v>
      </c>
      <c r="D10" s="478">
        <f>transport!D54</f>
        <v>0</v>
      </c>
      <c r="E10" s="478">
        <f>transport!E54</f>
        <v>0</v>
      </c>
      <c r="F10" s="478">
        <f>transport!F54</f>
        <v>0</v>
      </c>
      <c r="G10" s="478">
        <f>transport!G54</f>
        <v>3150.2728897627912</v>
      </c>
      <c r="H10" s="478">
        <f>transport!H54</f>
        <v>0</v>
      </c>
      <c r="I10" s="478">
        <f>transport!I54</f>
        <v>0</v>
      </c>
      <c r="J10" s="478">
        <f>transport!J54</f>
        <v>0</v>
      </c>
      <c r="K10" s="478">
        <f>transport!K54</f>
        <v>0</v>
      </c>
      <c r="L10" s="478">
        <f>transport!L54</f>
        <v>0</v>
      </c>
      <c r="M10" s="478">
        <f>transport!M54</f>
        <v>175.09251577156311</v>
      </c>
      <c r="N10" s="478">
        <f>transport!N54</f>
        <v>0</v>
      </c>
      <c r="O10" s="478">
        <f>transport!O54</f>
        <v>0</v>
      </c>
      <c r="P10" s="479">
        <f>transport!P54</f>
        <v>0</v>
      </c>
      <c r="Q10" s="477">
        <f t="shared" si="0"/>
        <v>3325.3654055343545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1424.5319979999999</v>
      </c>
      <c r="C14" s="485"/>
      <c r="D14" s="485">
        <f>'SEAP template'!E25</f>
        <v>3085.6205620000001</v>
      </c>
      <c r="E14" s="485"/>
      <c r="F14" s="485"/>
      <c r="G14" s="485"/>
      <c r="H14" s="485"/>
      <c r="I14" s="485"/>
      <c r="J14" s="485"/>
      <c r="K14" s="485"/>
      <c r="L14" s="485"/>
      <c r="M14" s="485"/>
      <c r="N14" s="485"/>
      <c r="O14" s="485"/>
      <c r="P14" s="486"/>
      <c r="Q14" s="477">
        <f t="shared" si="0"/>
        <v>4510.1525600000004</v>
      </c>
    </row>
    <row r="15" spans="1:17" s="489" customFormat="1">
      <c r="A15" s="487" t="s">
        <v>549</v>
      </c>
      <c r="B15" s="488">
        <f ca="1">SUM(B4:B14)</f>
        <v>137426.63718870372</v>
      </c>
      <c r="C15" s="488">
        <f t="shared" ref="C15:Q15" ca="1" si="1">SUM(C4:C14)</f>
        <v>7639.7142857142862</v>
      </c>
      <c r="D15" s="488">
        <f t="shared" ca="1" si="1"/>
        <v>183528.34962250473</v>
      </c>
      <c r="E15" s="488">
        <f t="shared" si="1"/>
        <v>16229.55843641414</v>
      </c>
      <c r="F15" s="488">
        <f t="shared" ca="1" si="1"/>
        <v>27103.518109949127</v>
      </c>
      <c r="G15" s="488">
        <f t="shared" si="1"/>
        <v>299460.70553084178</v>
      </c>
      <c r="H15" s="488">
        <f t="shared" si="1"/>
        <v>49880.126127606178</v>
      </c>
      <c r="I15" s="488">
        <f t="shared" si="1"/>
        <v>0</v>
      </c>
      <c r="J15" s="488">
        <f t="shared" si="1"/>
        <v>1501.1268008827649</v>
      </c>
      <c r="K15" s="488">
        <f t="shared" si="1"/>
        <v>0</v>
      </c>
      <c r="L15" s="488">
        <f t="shared" ca="1" si="1"/>
        <v>0</v>
      </c>
      <c r="M15" s="488">
        <f t="shared" si="1"/>
        <v>20537.743113049979</v>
      </c>
      <c r="N15" s="488">
        <f t="shared" ca="1" si="1"/>
        <v>32498.5464206945</v>
      </c>
      <c r="O15" s="488">
        <f t="shared" si="1"/>
        <v>746.39655655557954</v>
      </c>
      <c r="P15" s="488">
        <f t="shared" si="1"/>
        <v>2590.5700402989351</v>
      </c>
      <c r="Q15" s="488">
        <f t="shared" ca="1" si="1"/>
        <v>779142.99223321571</v>
      </c>
    </row>
    <row r="17" spans="1:17">
      <c r="A17" s="490" t="s">
        <v>550</v>
      </c>
      <c r="B17" s="807">
        <f ca="1">huishoudens!B10</f>
        <v>0.15676342335203453</v>
      </c>
      <c r="C17" s="807">
        <f ca="1">huishoudens!C10</f>
        <v>0.2337675965707724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9206.3423994803688</v>
      </c>
      <c r="C22" s="478">
        <f t="shared" ref="C22:C32" ca="1" si="3">C4*$C$17</f>
        <v>0</v>
      </c>
      <c r="D22" s="478">
        <f t="shared" ref="D22:D32" si="4">D4*$D$17</f>
        <v>25140.150180666402</v>
      </c>
      <c r="E22" s="478">
        <f t="shared" ref="E22:E32" si="5">E4*$E$17</f>
        <v>2991.7521514178425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37338.244731564613</v>
      </c>
    </row>
    <row r="23" spans="1:17">
      <c r="A23" s="477" t="s">
        <v>155</v>
      </c>
      <c r="B23" s="478">
        <f t="shared" ca="1" si="2"/>
        <v>7074.9011940498685</v>
      </c>
      <c r="C23" s="478">
        <f t="shared" ca="1" si="3"/>
        <v>0</v>
      </c>
      <c r="D23" s="478">
        <f t="shared" ca="1" si="4"/>
        <v>6743.9889177504811</v>
      </c>
      <c r="E23" s="478">
        <f t="shared" si="5"/>
        <v>92.206995436066691</v>
      </c>
      <c r="F23" s="478">
        <f t="shared" ca="1" si="6"/>
        <v>862.48874034796131</v>
      </c>
      <c r="G23" s="478">
        <f t="shared" si="7"/>
        <v>0</v>
      </c>
      <c r="H23" s="478">
        <f t="shared" si="8"/>
        <v>0</v>
      </c>
      <c r="I23" s="478">
        <f t="shared" si="9"/>
        <v>0</v>
      </c>
      <c r="J23" s="478">
        <f t="shared" si="10"/>
        <v>1.7670979068903282E-2</v>
      </c>
      <c r="K23" s="478">
        <f t="shared" si="11"/>
        <v>0</v>
      </c>
      <c r="L23" s="478">
        <f t="shared" ca="1" si="12"/>
        <v>0</v>
      </c>
      <c r="M23" s="478">
        <f t="shared" si="13"/>
        <v>0</v>
      </c>
      <c r="N23" s="478">
        <f t="shared" ca="1" si="14"/>
        <v>0</v>
      </c>
      <c r="O23" s="478">
        <f t="shared" si="15"/>
        <v>0</v>
      </c>
      <c r="P23" s="479">
        <f t="shared" si="16"/>
        <v>0</v>
      </c>
      <c r="Q23" s="477">
        <f t="shared" ref="Q23:Q31" ca="1" si="17">SUM(B23:P23)</f>
        <v>14773.603518563445</v>
      </c>
    </row>
    <row r="24" spans="1:17">
      <c r="A24" s="477" t="s">
        <v>193</v>
      </c>
      <c r="B24" s="478">
        <f t="shared" ca="1" si="2"/>
        <v>209.20533460256729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209.20533460256729</v>
      </c>
    </row>
    <row r="25" spans="1:17">
      <c r="A25" s="477" t="s">
        <v>111</v>
      </c>
      <c r="B25" s="478">
        <f t="shared" ca="1" si="2"/>
        <v>758.79819422069988</v>
      </c>
      <c r="C25" s="478">
        <f t="shared" ca="1" si="3"/>
        <v>1785.9176470588238</v>
      </c>
      <c r="D25" s="478">
        <f t="shared" si="4"/>
        <v>0</v>
      </c>
      <c r="E25" s="478">
        <f t="shared" si="5"/>
        <v>34.292297830607545</v>
      </c>
      <c r="F25" s="478">
        <f t="shared" si="6"/>
        <v>4567.4412469503659</v>
      </c>
      <c r="G25" s="478">
        <f t="shared" si="7"/>
        <v>0</v>
      </c>
      <c r="H25" s="478">
        <f t="shared" si="8"/>
        <v>0</v>
      </c>
      <c r="I25" s="478">
        <f t="shared" si="9"/>
        <v>0</v>
      </c>
      <c r="J25" s="478">
        <f t="shared" si="10"/>
        <v>472.08189723712667</v>
      </c>
      <c r="K25" s="478">
        <f t="shared" si="11"/>
        <v>0</v>
      </c>
      <c r="L25" s="478">
        <f t="shared" si="12"/>
        <v>0</v>
      </c>
      <c r="M25" s="478">
        <f t="shared" si="13"/>
        <v>0</v>
      </c>
      <c r="N25" s="478">
        <f t="shared" si="14"/>
        <v>0</v>
      </c>
      <c r="O25" s="478">
        <f t="shared" si="15"/>
        <v>0</v>
      </c>
      <c r="P25" s="479">
        <f t="shared" si="16"/>
        <v>0</v>
      </c>
      <c r="Q25" s="477">
        <f t="shared" ca="1" si="17"/>
        <v>7618.5312832976233</v>
      </c>
    </row>
    <row r="26" spans="1:17">
      <c r="A26" s="477" t="s">
        <v>629</v>
      </c>
      <c r="B26" s="478">
        <f t="shared" ca="1" si="2"/>
        <v>4043.4120772003912</v>
      </c>
      <c r="C26" s="478">
        <f t="shared" ca="1" si="3"/>
        <v>0</v>
      </c>
      <c r="D26" s="478">
        <f t="shared" si="4"/>
        <v>4433.9399035991401</v>
      </c>
      <c r="E26" s="478">
        <f t="shared" si="5"/>
        <v>434.24579041492285</v>
      </c>
      <c r="F26" s="478">
        <f t="shared" si="6"/>
        <v>1806.7093480580897</v>
      </c>
      <c r="G26" s="478">
        <f t="shared" si="7"/>
        <v>0</v>
      </c>
      <c r="H26" s="478">
        <f t="shared" si="8"/>
        <v>0</v>
      </c>
      <c r="I26" s="478">
        <f t="shared" si="9"/>
        <v>0</v>
      </c>
      <c r="J26" s="478">
        <f t="shared" si="10"/>
        <v>59.29931929630316</v>
      </c>
      <c r="K26" s="478">
        <f t="shared" si="11"/>
        <v>0</v>
      </c>
      <c r="L26" s="478">
        <f t="shared" si="12"/>
        <v>0</v>
      </c>
      <c r="M26" s="478">
        <f t="shared" si="13"/>
        <v>0</v>
      </c>
      <c r="N26" s="478">
        <f t="shared" si="14"/>
        <v>0</v>
      </c>
      <c r="O26" s="478">
        <f t="shared" si="15"/>
        <v>0</v>
      </c>
      <c r="P26" s="479">
        <f t="shared" si="16"/>
        <v>0</v>
      </c>
      <c r="Q26" s="477">
        <f t="shared" ca="1" si="17"/>
        <v>10777.606438568848</v>
      </c>
    </row>
    <row r="27" spans="1:17" s="483" customFormat="1">
      <c r="A27" s="481" t="s">
        <v>555</v>
      </c>
      <c r="B27" s="801">
        <f t="shared" ca="1" si="2"/>
        <v>27.496393224323963</v>
      </c>
      <c r="C27" s="482">
        <f t="shared" ca="1" si="3"/>
        <v>0</v>
      </c>
      <c r="D27" s="482">
        <f t="shared" si="4"/>
        <v>131.3522682059357</v>
      </c>
      <c r="E27" s="482">
        <f t="shared" si="5"/>
        <v>131.61252996656998</v>
      </c>
      <c r="F27" s="482">
        <f t="shared" si="6"/>
        <v>0</v>
      </c>
      <c r="G27" s="482">
        <f t="shared" si="7"/>
        <v>79114.885515168105</v>
      </c>
      <c r="H27" s="482">
        <f t="shared" si="8"/>
        <v>12420.151405773939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91825.498112338872</v>
      </c>
    </row>
    <row r="28" spans="1:17" ht="16.5" customHeight="1">
      <c r="A28" s="477" t="s">
        <v>545</v>
      </c>
      <c r="B28" s="478">
        <f t="shared" ca="1" si="2"/>
        <v>0</v>
      </c>
      <c r="C28" s="478">
        <f t="shared" ca="1" si="3"/>
        <v>0</v>
      </c>
      <c r="D28" s="478">
        <f t="shared" si="4"/>
        <v>0</v>
      </c>
      <c r="E28" s="478">
        <f t="shared" si="5"/>
        <v>0</v>
      </c>
      <c r="F28" s="478">
        <f t="shared" si="6"/>
        <v>0</v>
      </c>
      <c r="G28" s="478">
        <f t="shared" si="7"/>
        <v>841.12286156666528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841.12286156666528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223.3145126809936</v>
      </c>
      <c r="C32" s="478">
        <f t="shared" ca="1" si="3"/>
        <v>0</v>
      </c>
      <c r="D32" s="478">
        <f t="shared" si="4"/>
        <v>623.29535352400001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846.60986620499364</v>
      </c>
    </row>
    <row r="33" spans="1:17" s="489" customFormat="1">
      <c r="A33" s="487" t="s">
        <v>549</v>
      </c>
      <c r="B33" s="488">
        <f ca="1">SUM(B22:B32)</f>
        <v>21543.470105459215</v>
      </c>
      <c r="C33" s="488">
        <f t="shared" ref="C33:Q33" ca="1" si="19">SUM(C22:C32)</f>
        <v>1785.9176470588238</v>
      </c>
      <c r="D33" s="488">
        <f t="shared" ca="1" si="19"/>
        <v>37072.726623745955</v>
      </c>
      <c r="E33" s="488">
        <f t="shared" si="19"/>
        <v>3684.1097650660095</v>
      </c>
      <c r="F33" s="488">
        <f t="shared" ca="1" si="19"/>
        <v>7236.6393353564172</v>
      </c>
      <c r="G33" s="488">
        <f t="shared" si="19"/>
        <v>79956.008376734768</v>
      </c>
      <c r="H33" s="488">
        <f t="shared" si="19"/>
        <v>12420.151405773939</v>
      </c>
      <c r="I33" s="488">
        <f t="shared" si="19"/>
        <v>0</v>
      </c>
      <c r="J33" s="488">
        <f t="shared" si="19"/>
        <v>531.39888751249873</v>
      </c>
      <c r="K33" s="488">
        <f t="shared" si="19"/>
        <v>0</v>
      </c>
      <c r="L33" s="488">
        <f t="shared" ca="1" si="19"/>
        <v>0</v>
      </c>
      <c r="M33" s="488">
        <f t="shared" si="19"/>
        <v>0</v>
      </c>
      <c r="N33" s="488">
        <f t="shared" ca="1" si="19"/>
        <v>0</v>
      </c>
      <c r="O33" s="488">
        <f t="shared" si="19"/>
        <v>0</v>
      </c>
      <c r="P33" s="488">
        <f t="shared" si="19"/>
        <v>0</v>
      </c>
      <c r="Q33" s="488">
        <f t="shared" ca="1" si="19"/>
        <v>164230.42214670763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10529.094829936768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12804.729903934202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87.299999999999969</v>
      </c>
      <c r="C8" s="1062">
        <f>'SEAP template'!C76</f>
        <v>5260.4999999999991</v>
      </c>
      <c r="D8" s="1062">
        <f>'SEAP template'!D76</f>
        <v>6188.823529411764</v>
      </c>
      <c r="E8" s="1062">
        <f>'SEAP template'!E76</f>
        <v>0</v>
      </c>
      <c r="F8" s="1062">
        <f>'SEAP template'!F76</f>
        <v>0</v>
      </c>
      <c r="G8" s="1062">
        <f>'SEAP template'!G76</f>
        <v>0</v>
      </c>
      <c r="H8" s="1062">
        <f>'SEAP template'!H76</f>
        <v>0</v>
      </c>
      <c r="I8" s="1062">
        <f>'SEAP template'!I76</f>
        <v>0</v>
      </c>
      <c r="J8" s="1062">
        <f>'SEAP template'!J76</f>
        <v>102.70588235294115</v>
      </c>
      <c r="K8" s="1062">
        <f>'SEAP template'!K76</f>
        <v>0</v>
      </c>
      <c r="L8" s="1062">
        <f>'SEAP template'!L76</f>
        <v>0</v>
      </c>
      <c r="M8" s="1062">
        <f>'SEAP template'!M76</f>
        <v>0</v>
      </c>
      <c r="N8" s="1062">
        <f>'SEAP template'!N76</f>
        <v>0</v>
      </c>
      <c r="O8" s="1062">
        <f>'SEAP template'!O76</f>
        <v>0</v>
      </c>
      <c r="P8" s="1063">
        <f>'SEAP template'!Q76</f>
        <v>1250.1423529411763</v>
      </c>
    </row>
    <row r="9" spans="1:16">
      <c r="A9" s="1068" t="s">
        <v>802</v>
      </c>
      <c r="B9" s="1062">
        <f>'SEAP template'!B77</f>
        <v>16920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48342.857142857152</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40341.124733870965</v>
      </c>
      <c r="C10" s="1064">
        <f>SUM(C4:C9)</f>
        <v>5260.4999999999991</v>
      </c>
      <c r="D10" s="1064">
        <f t="shared" ref="D10:H10" si="0">SUM(D8:D9)</f>
        <v>6188.823529411764</v>
      </c>
      <c r="E10" s="1064">
        <f t="shared" si="0"/>
        <v>0</v>
      </c>
      <c r="F10" s="1064">
        <f t="shared" si="0"/>
        <v>0</v>
      </c>
      <c r="G10" s="1064">
        <f t="shared" si="0"/>
        <v>0</v>
      </c>
      <c r="H10" s="1064">
        <f t="shared" si="0"/>
        <v>0</v>
      </c>
      <c r="I10" s="1064">
        <f>SUM(I8:I9)</f>
        <v>0</v>
      </c>
      <c r="J10" s="1064">
        <f>SUM(J8:J9)</f>
        <v>48445.563025210096</v>
      </c>
      <c r="K10" s="1064">
        <f t="shared" ref="K10:L10" si="1">SUM(K8:K9)</f>
        <v>0</v>
      </c>
      <c r="L10" s="1064">
        <f t="shared" si="1"/>
        <v>0</v>
      </c>
      <c r="M10" s="1064">
        <f>SUM(M8:M9)</f>
        <v>0</v>
      </c>
      <c r="N10" s="1064">
        <f>SUM(N8:N9)</f>
        <v>0</v>
      </c>
      <c r="O10" s="1064">
        <f>SUM(O8:O9)</f>
        <v>0</v>
      </c>
      <c r="P10" s="1064">
        <f>SUM(P8:P9)</f>
        <v>1250.1423529411763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0.15676342335203453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124.71428571428569</v>
      </c>
      <c r="C17" s="1065">
        <f>'SEAP template'!C87</f>
        <v>7515.0000000000009</v>
      </c>
      <c r="D17" s="1063">
        <f>'SEAP template'!D87</f>
        <v>8841.176470588236</v>
      </c>
      <c r="E17" s="1063">
        <f>'SEAP template'!E87</f>
        <v>0</v>
      </c>
      <c r="F17" s="1063">
        <f>'SEAP template'!F87</f>
        <v>0</v>
      </c>
      <c r="G17" s="1063">
        <f>'SEAP template'!G87</f>
        <v>0</v>
      </c>
      <c r="H17" s="1063">
        <f>'SEAP template'!H87</f>
        <v>0</v>
      </c>
      <c r="I17" s="1063">
        <f>'SEAP template'!I87</f>
        <v>0</v>
      </c>
      <c r="J17" s="1063">
        <f>'SEAP template'!J87</f>
        <v>146.72268907563023</v>
      </c>
      <c r="K17" s="1063">
        <f>'SEAP template'!K87</f>
        <v>0</v>
      </c>
      <c r="L17" s="1063">
        <f>'SEAP template'!L87</f>
        <v>0</v>
      </c>
      <c r="M17" s="1063">
        <f>'SEAP template'!M87</f>
        <v>0</v>
      </c>
      <c r="N17" s="1063">
        <f>'SEAP template'!N87</f>
        <v>0</v>
      </c>
      <c r="O17" s="1063">
        <f>'SEAP template'!O87</f>
        <v>0</v>
      </c>
      <c r="P17" s="1063">
        <f>'SEAP template'!Q87</f>
        <v>1785.9176470588238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124.71428571428569</v>
      </c>
      <c r="C20" s="1064">
        <f>SUM(C17:C19)</f>
        <v>7515.0000000000009</v>
      </c>
      <c r="D20" s="1064">
        <f t="shared" ref="D20:H20" si="2">SUM(D17:D19)</f>
        <v>8841.176470588236</v>
      </c>
      <c r="E20" s="1064">
        <f t="shared" si="2"/>
        <v>0</v>
      </c>
      <c r="F20" s="1064">
        <f t="shared" si="2"/>
        <v>0</v>
      </c>
      <c r="G20" s="1064">
        <f t="shared" si="2"/>
        <v>0</v>
      </c>
      <c r="H20" s="1064">
        <f t="shared" si="2"/>
        <v>0</v>
      </c>
      <c r="I20" s="1064">
        <f>SUM(I17:I19)</f>
        <v>0</v>
      </c>
      <c r="J20" s="1064">
        <f>SUM(J17:J19)</f>
        <v>146.72268907563023</v>
      </c>
      <c r="K20" s="1064">
        <f t="shared" ref="K20:L20" si="3">SUM(K17:K19)</f>
        <v>0</v>
      </c>
      <c r="L20" s="1064">
        <f t="shared" si="3"/>
        <v>0</v>
      </c>
      <c r="M20" s="1064">
        <f>SUM(M17:M19)</f>
        <v>0</v>
      </c>
      <c r="N20" s="1064">
        <f>SUM(N17:N19)</f>
        <v>0</v>
      </c>
      <c r="O20" s="1064">
        <f>SUM(O17:O19)</f>
        <v>0</v>
      </c>
      <c r="P20" s="1064">
        <f>SUM(P17:P19)</f>
        <v>1785.9176470588238</v>
      </c>
    </row>
    <row r="21" spans="1:16">
      <c r="B21" s="913"/>
    </row>
    <row r="22" spans="1:16">
      <c r="A22" s="490" t="s">
        <v>814</v>
      </c>
      <c r="B22" s="807" t="s">
        <v>812</v>
      </c>
      <c r="C22" s="807">
        <f ca="1">'EF ele_warmte'!B22</f>
        <v>0.2337675965707724</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0.15676342335203453</v>
      </c>
      <c r="C17" s="527">
        <f ca="1">'EF ele_warmte'!B22</f>
        <v>0.2337675965707724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2019-08-12T08:37:37Z</dcterms:modified>
</cp:coreProperties>
</file>