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B14" i="48" l="1"/>
  <c r="Q14" s="1"/>
  <c r="R25" i="14"/>
  <c r="D14" i="48"/>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L6" i="17" s="1"/>
  <c r="L5" s="1"/>
  <c r="S61" i="18"/>
  <c r="F6" i="17" s="1"/>
  <c r="R61" i="18"/>
  <c r="Q61"/>
  <c r="P61"/>
  <c r="O61"/>
  <c r="N61"/>
  <c r="M61"/>
  <c r="W60"/>
  <c r="V60"/>
  <c r="U60"/>
  <c r="T60"/>
  <c r="S60"/>
  <c r="R60"/>
  <c r="Q60"/>
  <c r="P60"/>
  <c r="O60"/>
  <c r="C13" i="15" s="1"/>
  <c r="N60" i="18"/>
  <c r="B13" i="15" s="1"/>
  <c r="M60" i="18"/>
  <c r="W59"/>
  <c r="V59"/>
  <c r="U59"/>
  <c r="T59"/>
  <c r="S59"/>
  <c r="F16" i="16" s="1"/>
  <c r="R59" i="18"/>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N20" s="1"/>
  <c r="H87" i="14"/>
  <c r="H17" i="59" s="1"/>
  <c r="G87" i="14"/>
  <c r="G17" i="59" s="1"/>
  <c r="G20"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N30" i="48" l="1"/>
  <c r="N32"/>
  <c r="J30"/>
  <c r="J32"/>
  <c r="D6" i="17"/>
  <c r="D8" s="1"/>
  <c r="D12" s="1"/>
  <c r="E54" i="14" s="1"/>
  <c r="O20" i="59"/>
  <c r="F30" i="48"/>
  <c r="F32"/>
  <c r="D89" i="14"/>
  <c r="D19" i="59" s="1"/>
  <c r="O19" i="18"/>
  <c r="K10"/>
  <c r="N77" i="14"/>
  <c r="L10" i="18"/>
  <c r="O77" i="14"/>
  <c r="H16"/>
  <c r="B8" i="9"/>
  <c r="C16" i="15"/>
  <c r="L16" i="16"/>
  <c r="L18" s="1"/>
  <c r="M13" i="14" s="1"/>
  <c r="I14" i="15"/>
  <c r="I16" s="1"/>
  <c r="J10" i="14" s="1"/>
  <c r="B13" i="16"/>
  <c r="C35"/>
  <c r="E9" i="14"/>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90" i="14" l="1"/>
  <c r="H18" i="59"/>
  <c r="H20" s="1"/>
  <c r="H78" i="14"/>
  <c r="H9" i="59"/>
  <c r="H10" s="1"/>
  <c r="N78" i="14"/>
  <c r="N9" i="59"/>
  <c r="N10" s="1"/>
  <c r="K15" i="48"/>
  <c r="K33"/>
  <c r="I15"/>
  <c r="G78" i="14"/>
  <c r="G9" i="59"/>
  <c r="G10" s="1"/>
  <c r="M24" i="48"/>
  <c r="M32"/>
  <c r="E78" i="14"/>
  <c r="E9" i="59"/>
  <c r="E10" s="1"/>
  <c r="O78" i="14"/>
  <c r="O9" i="59"/>
  <c r="O10" s="1"/>
  <c r="Q89" i="14"/>
  <c r="P19" i="59" s="1"/>
  <c r="N46" i="14"/>
  <c r="C89"/>
  <c r="C19" i="59" s="1"/>
  <c r="I33" i="48"/>
  <c r="J16" i="14"/>
  <c r="J27" s="1"/>
  <c r="B89"/>
  <c r="B19" i="59" s="1"/>
  <c r="P22" i="48"/>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L27"/>
  <c r="M30"/>
  <c r="M26"/>
  <c r="M25"/>
  <c r="C50" i="13"/>
  <c r="J5" s="1"/>
  <c r="J8" s="1"/>
  <c r="C5" i="48"/>
  <c r="F78" i="14" l="1"/>
  <c r="F8" i="59"/>
  <c r="F10" s="1"/>
  <c r="F90" i="14"/>
  <c r="F17" i="59"/>
  <c r="F20" s="1"/>
  <c r="G14" i="22"/>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D90" i="14" l="1"/>
  <c r="D17" i="59"/>
  <c r="D20" s="1"/>
  <c r="E27" i="14"/>
  <c r="C10" i="18"/>
  <c r="J78" i="14"/>
  <c r="J8" i="59"/>
  <c r="J10" s="1"/>
  <c r="O15" i="48"/>
  <c r="D15"/>
  <c r="O33"/>
  <c r="I90" i="14"/>
  <c r="I17" i="59"/>
  <c r="I20" s="1"/>
  <c r="B15" i="48"/>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Q5" i="48"/>
  <c r="J90" i="14"/>
  <c r="J17" i="59"/>
  <c r="J20" s="1"/>
  <c r="G33" i="48"/>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18" i="15" l="1"/>
  <c r="C20" s="1"/>
  <c r="D40" i="14" s="1"/>
  <c r="C10" i="13"/>
  <c r="C12" s="1"/>
  <c r="D41" i="14" s="1"/>
  <c r="D46" s="1"/>
  <c r="D61" s="1"/>
  <c r="D63" s="1"/>
  <c r="C17" i="49"/>
  <c r="C10" i="17"/>
  <c r="C12" s="1"/>
  <c r="D54" i="14" s="1"/>
  <c r="D56" s="1"/>
  <c r="C20" i="16"/>
  <c r="C22" s="1"/>
  <c r="D43" i="14" s="1"/>
  <c r="C17" i="19"/>
  <c r="C19" s="1"/>
  <c r="D39" i="14" s="1"/>
  <c r="C29" i="20"/>
  <c r="C56" i="22"/>
  <c r="C58" s="1"/>
  <c r="D49" i="14" s="1"/>
  <c r="D52" s="1"/>
  <c r="C16" i="22"/>
  <c r="C22" i="59"/>
  <c r="B90" i="14"/>
  <c r="B17" i="59"/>
  <c r="B20" s="1"/>
  <c r="C90" i="14"/>
  <c r="C17" i="59"/>
  <c r="C20" s="1"/>
  <c r="J26" i="48"/>
  <c r="J33" s="1"/>
  <c r="J15"/>
  <c r="E15"/>
  <c r="C17"/>
  <c r="C24" s="1"/>
  <c r="O46" i="14"/>
  <c r="O61" s="1"/>
  <c r="O63" s="1"/>
  <c r="K46"/>
  <c r="K61" s="1"/>
  <c r="K63" s="1"/>
  <c r="F16"/>
  <c r="R13"/>
  <c r="R16" s="1"/>
  <c r="R27" s="1"/>
  <c r="Q8" i="48"/>
  <c r="Q15" s="1"/>
  <c r="C28" l="1"/>
  <c r="C30"/>
  <c r="C27"/>
  <c r="C29"/>
  <c r="C32"/>
  <c r="C25"/>
  <c r="C31"/>
  <c r="C26"/>
  <c r="C22"/>
  <c r="C23"/>
  <c r="F27" i="14"/>
  <c r="F63" s="1"/>
  <c r="C78"/>
  <c r="B78"/>
  <c r="B12" i="6" l="1"/>
  <c r="B10" i="17" s="1"/>
  <c r="B12" s="1"/>
  <c r="B4" i="6"/>
  <c r="C33" i="48"/>
  <c r="B18" i="15" l="1"/>
  <c r="B20" s="1"/>
  <c r="C40" i="14" s="1"/>
  <c r="R40" s="1"/>
  <c r="B20" i="16"/>
  <c r="B22" s="1"/>
  <c r="C43" i="14" s="1"/>
  <c r="R43" s="1"/>
  <c r="B17" i="19"/>
  <c r="B19" s="1"/>
  <c r="C39" i="14" s="1"/>
  <c r="R39" s="1"/>
  <c r="B16" i="22"/>
  <c r="B18" s="1"/>
  <c r="C12" i="59"/>
  <c r="B29" i="20"/>
  <c r="B31" s="1"/>
  <c r="B10" i="9"/>
  <c r="B12" s="1"/>
  <c r="C55" i="14"/>
  <c r="R55" s="1"/>
  <c r="B10" i="13"/>
  <c r="B12" s="1"/>
  <c r="B56" i="22"/>
  <c r="B58" s="1"/>
  <c r="C49" i="14" s="1"/>
  <c r="R49" s="1"/>
  <c r="B17" i="49"/>
  <c r="B19" s="1"/>
  <c r="C54" i="14"/>
  <c r="R54" s="1"/>
  <c r="C42"/>
  <c r="R42" s="1"/>
  <c r="C48"/>
  <c r="R48" s="1"/>
  <c r="C50"/>
  <c r="R50" s="1"/>
  <c r="B17" i="48" l="1"/>
  <c r="B32" s="1"/>
  <c r="Q32" s="1"/>
  <c r="R56" i="14"/>
  <c r="R52"/>
  <c r="C52"/>
  <c r="C41"/>
  <c r="R41" s="1"/>
  <c r="R46" s="1"/>
  <c r="B24" i="48"/>
  <c r="Q24" s="1"/>
  <c r="B31" l="1"/>
  <c r="Q31" s="1"/>
  <c r="B25"/>
  <c r="Q25" s="1"/>
  <c r="B29"/>
  <c r="Q29" s="1"/>
  <c r="B23"/>
  <c r="Q23" s="1"/>
  <c r="B30"/>
  <c r="Q30" s="1"/>
  <c r="B28"/>
  <c r="Q28" s="1"/>
  <c r="B27"/>
  <c r="Q27" s="1"/>
  <c r="B22"/>
  <c r="Q22" s="1"/>
  <c r="Q33" s="1"/>
  <c r="B26"/>
  <c r="Q26" s="1"/>
  <c r="R61" i="14"/>
  <c r="C46"/>
  <c r="C56"/>
  <c r="E56"/>
  <c r="E61" s="1"/>
  <c r="E63" s="1"/>
  <c r="B33" i="48" l="1"/>
  <c r="C61" i="14"/>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<sst xmlns="http://schemas.openxmlformats.org/spreadsheetml/2006/main" count="2524" uniqueCount="944">
  <si>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</si>
  <si>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</si>
  <si>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</si>
  <si>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</si>
  <si>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</si>
  <si>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</si>
  <si>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</si>
  <si>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</si>
  <si>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</si>
  <si>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</si>
  <si>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</si>
  <si>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</si>
  <si>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</si>
  <si>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</si>
  <si>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</si>
  <si>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</si>
  <si>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</si>
  <si>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</si>
  <si>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</si>
  <si>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</si>
  <si>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</si>
  <si>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</si>
  <si>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</si>
  <si>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</si>
  <si>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</si>
  <si>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</si>
  <si>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</si>
  <si>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</si>
  <si>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</si>
  <si>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</si>
  <si>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</si>
  <si>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</si>
  <si>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</si>
  <si>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</si>
  <si>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</si>
  <si>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</si>
  <si>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</si>
  <si>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</si>
  <si>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</si>
  <si>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</si>
  <si>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</si>
  <si>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</si>
  <si>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</si>
  <si>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</si>
  <si>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</si>
  <si>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</si>
  <si>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</si>
  <si>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</si>
  <si>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</si>
  <si>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</si>
  <si>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</si>
  <si>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</si>
  <si>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</si>
  <si>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</si>
  <si>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</si>
  <si>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</si>
  <si>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</si>
  <si>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</si>
  <si>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</si>
  <si>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</si>
  <si>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</si>
  <si>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</si>
  <si>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</si>
  <si>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</si>
  <si>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</si>
  <si>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</si>
  <si>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</si>
  <si>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</si>
  <si>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</si>
  <si>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</si>
  <si>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</si>
  <si>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</si>
  <si>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</si>
  <si>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</si>
  <si>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</si>
  <si>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</si>
  <si>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</si>
  <si>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</si>
  <si>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</si>
  <si>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</si>
  <si>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</si>
  <si>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</si>
  <si>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</si>
  <si>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</si>
  <si>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</si>
  <si>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</si>
  <si>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</si>
  <si>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</si>
  <si>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</si>
  <si>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</si>
  <si>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</si>
  <si>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</si>
  <si>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</si>
  <si>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</si>
  <si>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</si>
  <si>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</si>
  <si>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</si>
  <si>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</si>
  <si>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</si>
  <si>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</si>
  <si>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</si>
  <si>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</si>
  <si>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</si>
  <si>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</si>
  <si>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</si>
  <si>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</si>
  <si>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</si>
  <si>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</si>
  <si>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</si>
  <si>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</si>
  <si>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</si>
  <si>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</si>
  <si>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</si>
  <si>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</si>
  <si>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</si>
  <si>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</si>
  <si>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</si>
  <si>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</si>
  <si>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</si>
  <si>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</si>
  <si>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</si>
  <si>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</si>
  <si>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</si>
  <si>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</si>
  <si>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</si>
  <si>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</si>
  <si>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</si>
  <si>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</si>
  <si>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</si>
  <si>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</si>
  <si>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</si>
  <si>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</si>
  <si>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</si>
  <si>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</si>
  <si>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</si>
  <si>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</si>
  <si>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</si>
  <si>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</si>
  <si>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</si>
  <si>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</si>
  <si>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</si>
  <si>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</si>
  <si>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</si>
  <si>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</si>
  <si>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</si>
  <si>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</si>
  <si>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</si>
  <si>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</si>
  <si>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</si>
  <si>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</si>
  <si>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</si>
  <si>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</si>
  <si>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</si>
  <si>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</si>
  <si>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</si>
  <si>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</si>
  <si>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</si>
  <si>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</si>
  <si>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</si>
  <si>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</si>
  <si>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</si>
  <si>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</si>
  <si>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</si>
  <si>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</si>
  <si>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</si>
  <si>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</si>
  <si>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</si>
  <si>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</si>
  <si>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</si>
  <si>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</si>
  <si>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</si>
  <si>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</si>
  <si>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</si>
  <si>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</si>
  <si>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</si>
  <si>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</si>
  <si>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</si>
  <si>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</si>
  <si>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</si>
  <si>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</si>
  <si>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</si>
  <si>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</si>
  <si>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</si>
  <si>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</si>
  <si>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</si>
  <si>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</si>
  <si>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</si>
  <si>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</si>
  <si>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</si>
  <si>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</si>
  <si>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</si>
  <si>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</si>
  <si>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</si>
  <si>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</si>
  <si>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</si>
  <si>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</si>
  <si>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</si>
  <si>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</si>
  <si>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</si>
  <si>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</si>
  <si>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</si>
  <si>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</si>
  <si>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</si>
  <si>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</si>
  <si>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</si>
  <si>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</si>
  <si>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</si>
  <si>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</si>
  <si>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</si>
  <si>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</si>
  <si>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</si>
  <si>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</si>
  <si>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</si>
  <si>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</si>
  <si>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</si>
  <si>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</si>
  <si>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</si>
  <si>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</si>
  <si>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</si>
  <si>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</si>
  <si>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</si>
  <si>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</si>
  <si>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</si>
  <si>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</si>
  <si>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</si>
  <si>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</si>
  <si>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</si>
  <si>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</si>
  <si>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</si>
  <si>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</si>
  <si>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</si>
  <si>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</si>
  <si>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</si>
  <si>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</si>
  <si>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</si>
  <si>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</si>
  <si>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</si>
  <si>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</si>
  <si>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</si>
  <si>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</si>
  <si>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</si>
  <si>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</si>
  <si>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</si>
  <si>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</si>
  <si>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</si>
  <si>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</si>
  <si>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</si>
  <si>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</si>
  <si>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</si>
  <si>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</si>
  <si>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</si>
  <si>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</si>
  <si>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</si>
  <si>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</si>
  <si>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</si>
  <si>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</si>
  <si>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</si>
  <si>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</si>
  <si>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</si>
  <si>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</si>
  <si>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</si>
  <si>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</si>
  <si>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</si>
  <si>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</si>
  <si>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</si>
  <si>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</si>
  <si>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</si>
  <si>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</si>
  <si>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</si>
  <si>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</si>
  <si>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</si>
  <si>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</si>
  <si>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</si>
  <si>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</si>
  <si>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</si>
  <si>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</si>
  <si>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</si>
  <si>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</si>
  <si>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</si>
  <si>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</si>
  <si>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</si>
  <si>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</si>
  <si>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</si>
  <si>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</si>
  <si>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</si>
  <si>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</si>
  <si>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</si>
  <si>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</si>
  <si>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</si>
  <si>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</si>
  <si>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</si>
  <si>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</si>
  <si>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</si>
  <si>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</si>
  <si>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</si>
  <si>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</si>
  <si>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</si>
  <si>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</si>
  <si>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</si>
  <si>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</si>
  <si>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</si>
  <si>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</si>
  <si>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</si>
  <si>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</si>
  <si>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</si>
  <si>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</si>
  <si>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</si>
  <si>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</si>
  <si>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</si>
  <si>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</si>
  <si>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</si>
  <si>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</si>
  <si>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</si>
  <si>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</si>
  <si>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</si>
  <si>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</si>
  <si>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</si>
  <si>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</si>
  <si>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</si>
  <si>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</si>
  <si>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</si>
  <si>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</si>
  <si>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</si>
  <si>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</si>
  <si>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</si>
  <si>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</si>
  <si>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</si>
  <si>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</si>
  <si>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</si>
  <si>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</si>
  <si>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</si>
  <si>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</si>
  <si>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</si>
  <si>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</si>
  <si>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</si>
  <si>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</si>
  <si>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</si>
  <si>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</si>
  <si>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</si>
  <si>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</si>
  <si>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</si>
  <si>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</si>
  <si>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</si>
  <si>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</si>
  <si>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</si>
  <si>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</si>
  <si>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</si>
  <si>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</si>
  <si>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</si>
  <si>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</si>
  <si>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</si>
  <si>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</si>
  <si>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</si>
  <si>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</si>
  <si>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</si>
  <si>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</si>
  <si>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</si>
  <si>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</si>
  <si>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</si>
  <si>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</si>
  <si>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</si>
  <si>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</si>
  <si>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</si>
  <si>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</si>
  <si>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</si>
  <si>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</si>
  <si>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</si>
  <si>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</si>
  <si>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</si>
  <si>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</si>
  <si>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</si>
  <si>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</si>
  <si>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</si>
  <si>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</si>
  <si>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</si>
  <si>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</si>
  <si>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</si>
  <si>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</si>
  <si>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</si>
  <si>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</si>
  <si>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</si>
  <si>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</si>
  <si>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</si>
  <si>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</si>
  <si>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</si>
  <si>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</si>
  <si>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</si>
  <si>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</si>
  <si>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</si>
  <si>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</si>
  <si>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</si>
  <si>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</si>
  <si>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</si>
  <si>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</si>
  <si>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</si>
  <si>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</si>
  <si>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</si>
  <si>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</si>
  <si>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</si>
  <si>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</si>
  <si>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</si>
  <si>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</si>
  <si>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</si>
  <si>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</si>
  <si>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</si>
  <si>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</si>
  <si>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</si>
  <si>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</si>
  <si>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</si>
  <si>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</si>
  <si>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</si>
  <si>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</si>
  <si>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</si>
  <si>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</si>
  <si>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</si>
  <si>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</si>
  <si>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</si>
  <si>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</si>
  <si>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</si>
  <si>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</si>
  <si>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</si>
  <si>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</si>
  <si>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</si>
  <si>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</si>
  <si>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</si>
  <si>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</si>
  <si>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</si>
  <si>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</si>
  <si>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</si>
  <si>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</si>
  <si>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</si>
  <si>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</si>
  <si>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</si>
  <si>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</si>
  <si>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</si>
  <si>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</si>
  <si>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</si>
  <si>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</si>
  <si>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</si>
  <si>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</si>
  <si>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</si>
  <si>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</si>
  <si>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</si>
  <si>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</si>
  <si>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</si>
  <si>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</si>
  <si>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</si>
  <si>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</si>
  <si>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</si>
  <si>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</si>
  <si>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</si>
  <si>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</si>
  <si>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</si>
  <si>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</si>
  <si>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</si>
  <si>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</si>
  <si>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</si>
  <si>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</si>
  <si>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</si>
  <si>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</si>
  <si>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</si>
  <si>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</si>
  <si>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</si>
  <si>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</si>
  <si>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</si>
  <si>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</si>
  <si>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</si>
  <si>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</si>
  <si>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</si>
  <si>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</si>
  <si>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</si>
  <si>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</si>
  <si>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</si>
  <si>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</si>
  <si>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</si>
  <si>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</si>
  <si>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</si>
  <si>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</si>
  <si>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</si>
  <si>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</si>
  <si>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</si>
  <si>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</si>
  <si>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</si>
  <si>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</si>
  <si>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</si>
  <si>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</si>
  <si>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</si>
  <si>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</si>
  <si>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</si>
  <si>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</si>
  <si>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</si>
  <si>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</si>
  <si>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</si>
  <si>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</si>
  <si>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</si>
  <si>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</si>
  <si>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</si>
  <si>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</si>
  <si>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</si>
  <si>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</si>
  <si>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</si>
  <si>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</si>
  <si>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</si>
  <si>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</si>
  <si>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</si>
  <si>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</si>
  <si>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</si>
  <si>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</si>
  <si>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</si>
  <si>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</si>
  <si>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</si>
  <si>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</si>
  <si>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</si>
  <si>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</si>
  <si>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</si>
  <si>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</si>
  <si>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</si>
  <si>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</si>
  <si>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</si>
  <si>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</si>
  <si>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</si>
  <si>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</si>
  <si>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</si>
  <si>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</si>
  <si>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</si>
  <si>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</si>
  <si>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</si>
  <si>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</si>
  <si>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</si>
  <si>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</si>
  <si>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</si>
  <si>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</si>
  <si>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</si>
  <si>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</si>
  <si>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</si>
  <si>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</si>
  <si>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</si>
  <si>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</si>
  <si>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</si>
  <si>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</si>
  <si>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</si>
  <si>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</si>
  <si>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</si>
  <si>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</si>
  <si>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</si>
  <si>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</si>
  <si>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</si>
  <si>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</si>
  <si>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</si>
  <si>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</si>
  <si>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</si>
  <si>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</si>
  <si>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</si>
  <si>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</si>
  <si>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</si>
  <si>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</si>
  <si>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</si>
  <si>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</si>
  <si>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</si>
  <si>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</si>
  <si>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</si>
  <si>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</si>
  <si>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</si>
  <si>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</si>
  <si>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</si>
  <si>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</si>
  <si>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</si>
  <si>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</si>
  <si>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</si>
  <si>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</si>
  <si>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</si>
  <si>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</si>
  <si>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</si>
  <si>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</si>
  <si>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</si>
  <si>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</si>
  <si>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</si>
  <si>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</si>
  <si>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</si>
  <si>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</si>
  <si>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</si>
  <si>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</si>
  <si>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</si>
  <si>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</si>
  <si>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</si>
  <si>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</si>
  <si>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</si>
  <si>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</si>
  <si>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</si>
  <si>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</si>
  <si>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</si>
  <si>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</si>
  <si>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</si>
  <si>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</si>
  <si>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</si>
  <si>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</si>
  <si>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</si>
  <si>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</si>
  <si>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</si>
  <si>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</si>
  <si>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</si>
  <si>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</si>
  <si>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</si>
  <si>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</si>
  <si>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</si>
  <si>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</si>
  <si>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</si>
  <si>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</si>
  <si>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</si>
  <si>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</si>
  <si>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</si>
  <si>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</si>
  <si>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</si>
  <si>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</si>
  <si>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</si>
  <si>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</si>
  <si>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</si>
  <si>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</si>
  <si>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</si>
  <si>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</si>
  <si>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</si>
  <si>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</si>
  <si>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</si>
  <si>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</si>
  <si>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</si>
  <si>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</si>
  <si>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</si>
  <si>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</si>
  <si>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</si>
  <si>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</si>
  <si>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</si>
  <si>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</si>
  <si>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</si>
  <si>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</si>
  <si>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</si>
  <si>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</si>
  <si>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</si>
  <si>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</si>
  <si>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</si>
  <si>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</si>
  <si>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</si>
  <si>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</si>
  <si>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</si>
  <si>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</si>
  <si>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</si>
  <si>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</si>
  <si>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</si>
  <si>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</si>
  <si>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</si>
  <si>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</si>
  <si>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</si>
  <si>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</si>
  <si>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</si>
  <si>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</si>
  <si>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</si>
  <si>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</si>
  <si>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</si>
  <si>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</si>
  <si>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</si>
  <si>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</si>
  <si>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</si>
  <si>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</si>
  <si>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</si>
  <si>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</si>
  <si>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</si>
  <si>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</si>
  <si>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</si>
  <si>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</si>
  <si>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</si>
  <si>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</si>
  <si>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</si>
  <si>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</si>
  <si>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</si>
  <si>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</si>
  <si>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</si>
  <si>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</si>
  <si>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</si>
  <si>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</si>
  <si>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</si>
  <si>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</si>
  <si>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</si>
  <si>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</si>
  <si>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</si>
  <si>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</si>
  <si>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</si>
  <si>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</si>
  <si>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</si>
  <si>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</si>
  <si>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</si>
  <si>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</si>
  <si>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</si>
  <si>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</si>
  <si>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</si>
  <si>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</si>
  <si>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</si>
  <si>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</si>
  <si>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</si>
  <si>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</si>
  <si>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</si>
  <si>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</si>
  <si>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</si>
  <si>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</si>
  <si>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</si>
  <si>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</si>
  <si>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</si>
  <si>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</si>
  <si>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</si>
  <si>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</si>
  <si>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</si>
  <si>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</si>
  <si>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</si>
  <si>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</si>
  <si>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</si>
  <si>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</si>
  <si>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</si>
  <si>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</si>
  <si>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</si>
  <si>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</si>
  <si>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</si>
  <si>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</si>
  <si>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</si>
  <si>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</si>
  <si>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</si>
  <si>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</si>
  <si>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</si>
  <si>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</si>
  <si>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</si>
  <si>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</si>
  <si>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</si>
  <si>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</si>
  <si>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</si>
  <si>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</si>
  <si>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</si>
  <si>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</si>
  <si>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</si>
  <si>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</si>
  <si>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</si>
  <si>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</si>
  <si>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</si>
  <si>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</si>
  <si>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</si>
  <si>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</si>
  <si>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</si>
  <si>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</si>
  <si>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</si>
  <si>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</si>
  <si>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</si>
  <si>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</si>
  <si>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</si>
  <si>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</si>
  <si>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</si>
  <si>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</si>
  <si>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</si>
  <si>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</si>
  <si>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</si>
  <si>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</si>
  <si>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</si>
  <si>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</si>
  <si>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</si>
  <si>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</si>
  <si>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</si>
  <si>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</si>
  <si>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</si>
  <si>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</si>
  <si>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</si>
  <si>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</si>
  <si>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</si>
  <si>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</si>
  <si>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</si>
  <si>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</si>
  <si>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</si>
  <si>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</si>
  <si>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</si>
  <si>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</si>
  <si>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</si>
  <si>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</si>
  <si>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</si>
  <si>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</si>
  <si>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</si>
  <si>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</si>
  <si>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</si>
  <si>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</si>
  <si>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</si>
  <si>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</si>
  <si>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</si>
  <si>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</si>
  <si>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</si>
  <si>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</si>
  <si>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</si>
  <si>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</si>
  <si>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</si>
  <si>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</si>
  <si>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</si>
  <si>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</si>
  <si>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</si>
  <si>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</si>
  <si>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</si>
  <si>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</si>
  <si>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</si>
  <si>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</si>
  <si>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</si>
  <si>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</si>
  <si>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</si>
  <si>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</si>
  <si>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</si>
  <si>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</si>
  <si>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</si>
  <si>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</si>
  <si>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</si>
  <si>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</si>
  <si>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</si>
  <si>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</si>
  <si>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</si>
  <si>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</si>
  <si>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</si>
  <si>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</si>
  <si>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</si>
  <si>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</si>
  <si>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</si>
  <si>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</si>
  <si>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</si>
  <si>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</si>
  <si>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</si>
  <si>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</si>
  <si>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</si>
  <si>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</si>
  <si>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</si>
  <si>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</si>
  <si>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</si>
  <si>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</si>
  <si>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</si>
  <si>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</si>
  <si>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</si>
  <si>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</si>
  <si>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</si>
  <si>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</si>
  <si>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</si>
  <si>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</si>
  <si>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</si>
  <si>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</si>
  <si>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</si>
  <si>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</si>
  <si>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</si>
  <si>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</si>
  <si>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</si>
  <si>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</si>
  <si>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</si>
  <si>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</si>
  <si>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</si>
  <si>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</si>
  <si>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</si>
  <si>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</si>
  <si>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</si>
  <si>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</si>
  <si>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</si>
  <si>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</si>
  <si>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</si>
  <si>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</si>
  <si>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</si>
  <si>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</si>
  <si>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</si>
  <si>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</si>
  <si>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</si>
  <si>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</si>
  <si>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</si>
  <si>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</si>
  <si>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</si>
  <si>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</si>
  <si>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</si>
  <si>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</si>
  <si>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</si>
  <si>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</si>
  <si>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</si>
  <si>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</si>
  <si>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</si>
  <si>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</si>
  <si>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</si>
  <si>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</si>
  <si>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11002</t>
  </si>
  <si>
    <t>ANTWERPEN</t>
  </si>
  <si>
    <t>Mestbank (maart 2019)</t>
  </si>
  <si>
    <t>Fluvius (februari 2019)</t>
  </si>
  <si>
    <t>referentietaak LNE (2017); Jaarverslag De Lijn (2018)</t>
  </si>
  <si>
    <t>VEA (30 april 2019)</t>
  </si>
  <si>
    <t>VEA (mei 2018)</t>
  </si>
  <si>
    <t>VEA (mei 2019)</t>
  </si>
  <si>
    <t>Sint-Vincentius Ziekenhuis VZW</t>
  </si>
  <si>
    <t>Sint-Vincentiusstraat 20, 2018 Antwerpen</t>
  </si>
  <si>
    <t>WKK-0087 Sint-Vincentius</t>
  </si>
  <si>
    <t>interne verbrandingsmotor</t>
  </si>
  <si>
    <t>WKK interne verbrandinsgmotor (gas)</t>
  </si>
  <si>
    <t>IMEA</t>
  </si>
  <si>
    <t>AAK Belgium nv</t>
  </si>
  <si>
    <t>Borrewaterstraat 182 , 2170 Merksem</t>
  </si>
  <si>
    <t>WKK-0152 AAK Belgium</t>
  </si>
  <si>
    <t>Ziekenhuisnetwerk Antwerpen vzw</t>
  </si>
  <si>
    <t>Lindendreef 1 , 2020 Antwerpen</t>
  </si>
  <si>
    <t>WKK-0299 ZNA Middelheim</t>
  </si>
  <si>
    <t>AZ Monica Antwerpen</t>
  </si>
  <si>
    <t>Harmoniestraat 68 , 2018 Antwerpen</t>
  </si>
  <si>
    <t>WKK-0332 AZ Monica Antwerpen</t>
  </si>
  <si>
    <t>Stad Antwerpen</t>
  </si>
  <si>
    <t>Grote Markt 1 , 2000 Antwerpen</t>
  </si>
  <si>
    <t>WKK-0449 Zwembad Merksem</t>
  </si>
  <si>
    <t>Van Heybeeckstraat 9 , 2170 Merksem</t>
  </si>
  <si>
    <t>WKK-0448 Zwembad Ieperman</t>
  </si>
  <si>
    <t>Doornstraat 3 b, 2610 Wilrijk</t>
  </si>
  <si>
    <t>WKK-0447 Zwembad Wezenberg</t>
  </si>
  <si>
    <t>Desguinlei 17-19 , 2018 Antwerpen</t>
  </si>
  <si>
    <t>WKK-0549 Zwembad &amp; Sporthal Sorghvliedt</t>
  </si>
  <si>
    <t>Krijgsbaan 20 , 2660 Hoboken</t>
  </si>
  <si>
    <t>IVEG</t>
  </si>
  <si>
    <t>WKK-0630 Zwembad Plantin &amp; Moretus</t>
  </si>
  <si>
    <t>Plantin en Moretuslei 343 , 2140 Borgerhout</t>
  </si>
  <si>
    <t>Cuypers &amp; Q Architecten bvba</t>
  </si>
  <si>
    <t>Bogaardestraat 10-12 , 2000 Antwerpen</t>
  </si>
  <si>
    <t>WKK-0595 Cuypers &amp; Q Architecten</t>
  </si>
  <si>
    <t>Bogaardestraat 10 , 2000 Antwerpen</t>
  </si>
  <si>
    <t>WKK-0673 Noven</t>
  </si>
  <si>
    <t>Londenstraat 60 , 2000 Antwerpen</t>
  </si>
  <si>
    <t>Cornerstone International bvba</t>
  </si>
  <si>
    <t>Fazantenlaan 50 , 2610 Wilrijk</t>
  </si>
  <si>
    <t>WKK-0680 Cornerstone International</t>
  </si>
  <si>
    <t>brandstofcel</t>
  </si>
  <si>
    <t>Silvertop</t>
  </si>
  <si>
    <t>WKK-0805</t>
  </si>
  <si>
    <t>Interne verbrandingsmotor</t>
  </si>
  <si>
    <t>Jan Denucéstraat 1, 2020 Antwerpen, BE</t>
  </si>
  <si>
    <t>IVEG (via INFRAX)</t>
  </si>
  <si>
    <t>CC Nova</t>
  </si>
  <si>
    <t>WKK-0865</t>
  </si>
  <si>
    <t>Brandstofcel</t>
  </si>
  <si>
    <t>Schijfstraat 105</t>
  </si>
  <si>
    <t>Aquafin NV</t>
  </si>
  <si>
    <t>Dijkstraat 8 , 2630 Aartselaar</t>
  </si>
  <si>
    <t>BGS-0034 RWZI Antwerpen-Zuid (GSC rest)</t>
  </si>
  <si>
    <t>biogas - RWZI</t>
  </si>
  <si>
    <t>niet WKK interne verbrandingsmotor (gas)</t>
  </si>
  <si>
    <t>Kielsbroek 5 , 2020 Antwerpen</t>
  </si>
  <si>
    <t>Hooge Maey</t>
  </si>
  <si>
    <t>Moerstraat 99 Haven 550, 2030 Antwerpen</t>
  </si>
  <si>
    <t>BGS-0033 Hooge Maey Stort</t>
  </si>
  <si>
    <t>biogas - stortgas</t>
  </si>
  <si>
    <t>Moerstraat 55 Haven 550, 2030 Antwerpen</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</si>
</sst>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2935090.8182851011</c:v>
                </c:pt>
                <c:pt idx="1">
                  <c:v>2810235.8461234816</c:v>
                </c:pt>
                <c:pt idx="2">
                  <c:v>29059.878000000001</c:v>
                </c:pt>
                <c:pt idx="3">
                  <c:v>132614.11611643457</c:v>
                </c:pt>
                <c:pt idx="4">
                  <c:v>788453.37981306307</c:v>
                </c:pt>
                <c:pt idx="5">
                  <c:v>3017666.2263873443</c:v>
                </c:pt>
                <c:pt idx="6">
                  <c:v>82025.028853009309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493952"/>
        <c:axId val="182495488"/>
      </c:barChart>
      <c:catAx>
        <c:axId val="182493952"/>
        <c:scaling>
          <c:orientation val="minMax"/>
        </c:scaling>
        <c:axPos val="b"/>
        <c:numFmt formatCode="General" sourceLinked="0"/>
        <c:tickLblPos val="nextTo"/>
        <c:crossAx val="182495488"/>
        <c:crosses val="autoZero"/>
        <c:auto val="1"/>
        <c:lblAlgn val="ctr"/>
        <c:lblOffset val="100"/>
      </c:catAx>
      <c:valAx>
        <c:axId val="182495488"/>
        <c:scaling>
          <c:orientation val="minMax"/>
        </c:scaling>
        <c:axPos val="l"/>
        <c:majorGridlines/>
        <c:numFmt formatCode="#,##0" sourceLinked="1"/>
        <c:tickLblPos val="nextTo"/>
        <c:crossAx val="1824939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2935090.8182851011</c:v>
                </c:pt>
                <c:pt idx="1">
                  <c:v>2810235.8461234816</c:v>
                </c:pt>
                <c:pt idx="2">
                  <c:v>29059.878000000001</c:v>
                </c:pt>
                <c:pt idx="3">
                  <c:v>132614.11611643457</c:v>
                </c:pt>
                <c:pt idx="4">
                  <c:v>788453.37981306307</c:v>
                </c:pt>
                <c:pt idx="5">
                  <c:v>3017666.2263873443</c:v>
                </c:pt>
                <c:pt idx="6">
                  <c:v>82025.028853009309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572147.66231144627</c:v>
                </c:pt>
                <c:pt idx="1">
                  <c:v>570548.27734560391</c:v>
                </c:pt>
                <c:pt idx="2">
                  <c:v>5726.8347236427662</c:v>
                </c:pt>
                <c:pt idx="3">
                  <c:v>33072.584495380339</c:v>
                </c:pt>
                <c:pt idx="4">
                  <c:v>159922.16549920797</c:v>
                </c:pt>
                <c:pt idx="5">
                  <c:v>751689.00379572576</c:v>
                </c:pt>
                <c:pt idx="6">
                  <c:v>18799.747537800504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979968"/>
        <c:axId val="183108736"/>
      </c:barChart>
      <c:catAx>
        <c:axId val="182979968"/>
        <c:scaling>
          <c:orientation val="minMax"/>
        </c:scaling>
        <c:axPos val="b"/>
        <c:numFmt formatCode="General" sourceLinked="0"/>
        <c:tickLblPos val="nextTo"/>
        <c:crossAx val="183108736"/>
        <c:crosses val="autoZero"/>
        <c:auto val="1"/>
        <c:lblAlgn val="ctr"/>
        <c:lblOffset val="100"/>
      </c:catAx>
      <c:valAx>
        <c:axId val="183108736"/>
        <c:scaling>
          <c:orientation val="minMax"/>
        </c:scaling>
        <c:axPos val="l"/>
        <c:majorGridlines/>
        <c:numFmt formatCode="#,##0" sourceLinked="1"/>
        <c:tickLblPos val="nextTo"/>
        <c:crossAx val="1829799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572147.66231144627</c:v>
                </c:pt>
                <c:pt idx="1">
                  <c:v>570548.27734560391</c:v>
                </c:pt>
                <c:pt idx="2">
                  <c:v>5726.8347236427662</c:v>
                </c:pt>
                <c:pt idx="3">
                  <c:v>33072.584495380339</c:v>
                </c:pt>
                <c:pt idx="4">
                  <c:v>159922.16549920797</c:v>
                </c:pt>
                <c:pt idx="5">
                  <c:v>751689.00379572576</c:v>
                </c:pt>
                <c:pt idx="6">
                  <c:v>18799.747537800504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11002</v>
      </c>
      <c r="B6" s="415"/>
      <c r="C6" s="416"/>
    </row>
    <row r="7" spans="1:7" s="413" customFormat="1" ht="15.75" customHeight="1">
      <c r="A7" s="417" t="str">
        <f>txtMunicipality</f>
        <v>ANTWERPEN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1168457.081584</v>
      </c>
      <c r="D10" s="712">
        <f ca="1">tertiair!C16</f>
        <v>11434.89527027027</v>
      </c>
      <c r="E10" s="712">
        <f ca="1">tertiair!D16</f>
        <v>1513305.660358547</v>
      </c>
      <c r="F10" s="712">
        <f>tertiair!E16</f>
        <v>13863.643399716155</v>
      </c>
      <c r="G10" s="712">
        <f ca="1">tertiair!F16</f>
        <v>129049.96974226891</v>
      </c>
      <c r="H10" s="712">
        <f>tertiair!G16</f>
        <v>0</v>
      </c>
      <c r="I10" s="712">
        <f>tertiair!H16</f>
        <v>0</v>
      </c>
      <c r="J10" s="712">
        <f>tertiair!I16</f>
        <v>0</v>
      </c>
      <c r="K10" s="712">
        <f>tertiair!J16</f>
        <v>1.4111755769798291</v>
      </c>
      <c r="L10" s="712">
        <f>tertiair!K16</f>
        <v>0</v>
      </c>
      <c r="M10" s="712">
        <f ca="1">tertiair!L16</f>
        <v>0</v>
      </c>
      <c r="N10" s="712">
        <f>tertiair!M16</f>
        <v>0</v>
      </c>
      <c r="O10" s="712">
        <f ca="1">tertiair!N16</f>
        <v>0</v>
      </c>
      <c r="P10" s="712">
        <f>tertiair!O16</f>
        <v>83.253433019299621</v>
      </c>
      <c r="Q10" s="713">
        <f>tertiair!P16</f>
        <v>3099.8091600832063</v>
      </c>
      <c r="R10" s="715">
        <f ca="1">SUM(C10:Q10)</f>
        <v>2839295.7241234821</v>
      </c>
      <c r="S10" s="67"/>
    </row>
    <row r="11" spans="1:19" s="474" customFormat="1">
      <c r="A11" s="834" t="s">
        <v>224</v>
      </c>
      <c r="B11" s="839"/>
      <c r="C11" s="712">
        <f>huishoudens!B8</f>
        <v>631068.42593999254</v>
      </c>
      <c r="D11" s="712">
        <f>huishoudens!C8</f>
        <v>0</v>
      </c>
      <c r="E11" s="712">
        <f>huishoudens!D8</f>
        <v>2021764.4919012422</v>
      </c>
      <c r="F11" s="712">
        <f>huishoudens!E8</f>
        <v>72403.522226068337</v>
      </c>
      <c r="G11" s="712">
        <f>huishoudens!F8</f>
        <v>85958.357836000054</v>
      </c>
      <c r="H11" s="712">
        <f>huishoudens!G8</f>
        <v>0</v>
      </c>
      <c r="I11" s="712">
        <f>huishoudens!H8</f>
        <v>0</v>
      </c>
      <c r="J11" s="712">
        <f>huishoudens!I8</f>
        <v>0</v>
      </c>
      <c r="K11" s="712">
        <f>huishoudens!J8</f>
        <v>0</v>
      </c>
      <c r="L11" s="712">
        <f>huishoudens!K8</f>
        <v>0</v>
      </c>
      <c r="M11" s="712">
        <f>huishoudens!L8</f>
        <v>0</v>
      </c>
      <c r="N11" s="712">
        <f>huishoudens!M8</f>
        <v>0</v>
      </c>
      <c r="O11" s="712">
        <f>huishoudens!N8</f>
        <v>120076.17910954395</v>
      </c>
      <c r="P11" s="712">
        <f>huishoudens!O8</f>
        <v>2208.1454981777665</v>
      </c>
      <c r="Q11" s="713">
        <f>huishoudens!P8</f>
        <v>1611.6957740758085</v>
      </c>
      <c r="R11" s="715">
        <f>SUM(C11:Q11)</f>
        <v>2935090.8182851011</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356904.36188600003</v>
      </c>
      <c r="D13" s="712">
        <f>industrie!C18</f>
        <v>5181.4285714285716</v>
      </c>
      <c r="E13" s="712">
        <f>industrie!D18</f>
        <v>303086.15010759881</v>
      </c>
      <c r="F13" s="712">
        <f>industrie!E18</f>
        <v>20634.009439365167</v>
      </c>
      <c r="G13" s="712">
        <f>industrie!F18</f>
        <v>82506.394836593696</v>
      </c>
      <c r="H13" s="712">
        <f>industrie!G18</f>
        <v>0</v>
      </c>
      <c r="I13" s="712">
        <f>industrie!H18</f>
        <v>0</v>
      </c>
      <c r="J13" s="712">
        <f>industrie!I18</f>
        <v>0</v>
      </c>
      <c r="K13" s="712">
        <f>industrie!J18</f>
        <v>1186.4303432272263</v>
      </c>
      <c r="L13" s="712">
        <f>industrie!K18</f>
        <v>0</v>
      </c>
      <c r="M13" s="712">
        <f>industrie!L18</f>
        <v>0</v>
      </c>
      <c r="N13" s="712">
        <f>industrie!M18</f>
        <v>0</v>
      </c>
      <c r="O13" s="712">
        <f>industrie!N18</f>
        <v>18954.604628849615</v>
      </c>
      <c r="P13" s="712">
        <f>industrie!O18</f>
        <v>0</v>
      </c>
      <c r="Q13" s="713">
        <f>industrie!P18</f>
        <v>0</v>
      </c>
      <c r="R13" s="715">
        <f>SUM(C13:Q13)</f>
        <v>788453.37981306307</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2156429.8694099924</v>
      </c>
      <c r="D16" s="748">
        <f t="shared" ref="D16:R16" ca="1" si="0">SUM(D9:D15)</f>
        <v>16616.323841698842</v>
      </c>
      <c r="E16" s="748">
        <f t="shared" ca="1" si="0"/>
        <v>3838156.3023673883</v>
      </c>
      <c r="F16" s="748">
        <f t="shared" si="0"/>
        <v>106901.17506514965</v>
      </c>
      <c r="G16" s="748">
        <f t="shared" ca="1" si="0"/>
        <v>297514.72241486266</v>
      </c>
      <c r="H16" s="748">
        <f t="shared" si="0"/>
        <v>0</v>
      </c>
      <c r="I16" s="748">
        <f t="shared" si="0"/>
        <v>0</v>
      </c>
      <c r="J16" s="748">
        <f t="shared" si="0"/>
        <v>0</v>
      </c>
      <c r="K16" s="748">
        <f t="shared" si="0"/>
        <v>1187.8415188042061</v>
      </c>
      <c r="L16" s="748">
        <f t="shared" si="0"/>
        <v>0</v>
      </c>
      <c r="M16" s="748">
        <f t="shared" ca="1" si="0"/>
        <v>0</v>
      </c>
      <c r="N16" s="748">
        <f t="shared" si="0"/>
        <v>0</v>
      </c>
      <c r="O16" s="748">
        <f t="shared" ca="1" si="0"/>
        <v>139030.78373839357</v>
      </c>
      <c r="P16" s="748">
        <f t="shared" si="0"/>
        <v>2291.3989311970663</v>
      </c>
      <c r="Q16" s="748">
        <f t="shared" si="0"/>
        <v>4711.5049341590147</v>
      </c>
      <c r="R16" s="748">
        <f t="shared" ca="1" si="0"/>
        <v>6562839.9222216466</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34861.978575000001</v>
      </c>
      <c r="D19" s="712">
        <f>transport!C54</f>
        <v>0</v>
      </c>
      <c r="E19" s="712">
        <f>transport!D54</f>
        <v>0</v>
      </c>
      <c r="F19" s="712">
        <f>transport!E54</f>
        <v>0</v>
      </c>
      <c r="G19" s="712">
        <f>transport!F54</f>
        <v>0</v>
      </c>
      <c r="H19" s="712">
        <f>transport!G54</f>
        <v>44679.745101713837</v>
      </c>
      <c r="I19" s="712">
        <f>transport!H54</f>
        <v>0</v>
      </c>
      <c r="J19" s="712">
        <f>transport!I54</f>
        <v>0</v>
      </c>
      <c r="K19" s="712">
        <f>transport!J54</f>
        <v>0</v>
      </c>
      <c r="L19" s="712">
        <f>transport!K54</f>
        <v>0</v>
      </c>
      <c r="M19" s="712">
        <f>transport!L54</f>
        <v>0</v>
      </c>
      <c r="N19" s="712">
        <f>transport!M54</f>
        <v>2483.3051762954774</v>
      </c>
      <c r="O19" s="712">
        <f>transport!N54</f>
        <v>0</v>
      </c>
      <c r="P19" s="712">
        <f>transport!O54</f>
        <v>0</v>
      </c>
      <c r="Q19" s="713">
        <f>transport!P54</f>
        <v>0</v>
      </c>
      <c r="R19" s="715">
        <f>SUM(C19:Q19)</f>
        <v>82025.028853009309</v>
      </c>
      <c r="S19" s="67"/>
    </row>
    <row r="20" spans="1:19" s="474" customFormat="1">
      <c r="A20" s="834" t="s">
        <v>306</v>
      </c>
      <c r="B20" s="839"/>
      <c r="C20" s="712">
        <f>transport!B14</f>
        <v>1594.5269182513887</v>
      </c>
      <c r="D20" s="712">
        <f>transport!C14</f>
        <v>0</v>
      </c>
      <c r="E20" s="712">
        <f>transport!D14</f>
        <v>6248.6658596155421</v>
      </c>
      <c r="F20" s="712">
        <f>transport!E14</f>
        <v>5491.6994206778745</v>
      </c>
      <c r="G20" s="712">
        <f>transport!F14</f>
        <v>0</v>
      </c>
      <c r="H20" s="712">
        <f>transport!G14</f>
        <v>2359744.003380287</v>
      </c>
      <c r="I20" s="712">
        <f>transport!H14</f>
        <v>477165.76285431685</v>
      </c>
      <c r="J20" s="712">
        <f>transport!I14</f>
        <v>0</v>
      </c>
      <c r="K20" s="712">
        <f>transport!J14</f>
        <v>0</v>
      </c>
      <c r="L20" s="712">
        <f>transport!K14</f>
        <v>0</v>
      </c>
      <c r="M20" s="712">
        <f>transport!L14</f>
        <v>0</v>
      </c>
      <c r="N20" s="712">
        <f>transport!M14</f>
        <v>167421.56795419558</v>
      </c>
      <c r="O20" s="712">
        <f>transport!N14</f>
        <v>0</v>
      </c>
      <c r="P20" s="712">
        <f>transport!O14</f>
        <v>0</v>
      </c>
      <c r="Q20" s="713">
        <f>transport!P14</f>
        <v>0</v>
      </c>
      <c r="R20" s="715">
        <f>SUM(C20:Q20)</f>
        <v>3017666.2263873443</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36456.505493251389</v>
      </c>
      <c r="D22" s="837">
        <f t="shared" ref="D22:R22" si="1">SUM(D18:D21)</f>
        <v>0</v>
      </c>
      <c r="E22" s="837">
        <f t="shared" si="1"/>
        <v>6248.6658596155421</v>
      </c>
      <c r="F22" s="837">
        <f t="shared" si="1"/>
        <v>5491.6994206778745</v>
      </c>
      <c r="G22" s="837">
        <f t="shared" si="1"/>
        <v>0</v>
      </c>
      <c r="H22" s="837">
        <f t="shared" si="1"/>
        <v>2404423.748482001</v>
      </c>
      <c r="I22" s="837">
        <f t="shared" si="1"/>
        <v>477165.76285431685</v>
      </c>
      <c r="J22" s="837">
        <f t="shared" si="1"/>
        <v>0</v>
      </c>
      <c r="K22" s="837">
        <f t="shared" si="1"/>
        <v>0</v>
      </c>
      <c r="L22" s="837">
        <f t="shared" si="1"/>
        <v>0</v>
      </c>
      <c r="M22" s="837">
        <f t="shared" si="1"/>
        <v>0</v>
      </c>
      <c r="N22" s="837">
        <f t="shared" si="1"/>
        <v>169904.87313049106</v>
      </c>
      <c r="O22" s="837">
        <f t="shared" si="1"/>
        <v>0</v>
      </c>
      <c r="P22" s="837">
        <f t="shared" si="1"/>
        <v>0</v>
      </c>
      <c r="Q22" s="837">
        <f t="shared" si="1"/>
        <v>0</v>
      </c>
      <c r="R22" s="837">
        <f t="shared" si="1"/>
        <v>3099691.2552403538</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23498.443350999998</v>
      </c>
      <c r="D24" s="712">
        <f>+landbouw!C8</f>
        <v>0</v>
      </c>
      <c r="E24" s="712">
        <f>+landbouw!D8</f>
        <v>18862.208104036003</v>
      </c>
      <c r="F24" s="712">
        <f>+landbouw!E8</f>
        <v>733.37866815404982</v>
      </c>
      <c r="G24" s="712">
        <f>+landbouw!F8</f>
        <v>83046.101889767553</v>
      </c>
      <c r="H24" s="712">
        <f>+landbouw!G8</f>
        <v>0</v>
      </c>
      <c r="I24" s="712">
        <f>+landbouw!H8</f>
        <v>0</v>
      </c>
      <c r="J24" s="712">
        <f>+landbouw!I8</f>
        <v>0</v>
      </c>
      <c r="K24" s="712">
        <f>+landbouw!J8</f>
        <v>6473.9841034769661</v>
      </c>
      <c r="L24" s="712">
        <f>+landbouw!K8</f>
        <v>0</v>
      </c>
      <c r="M24" s="712">
        <f>+landbouw!L8</f>
        <v>0</v>
      </c>
      <c r="N24" s="712">
        <f>+landbouw!M8</f>
        <v>0</v>
      </c>
      <c r="O24" s="712">
        <f>+landbouw!N8</f>
        <v>0</v>
      </c>
      <c r="P24" s="712">
        <f>+landbouw!O8</f>
        <v>0</v>
      </c>
      <c r="Q24" s="713">
        <f>+landbouw!P8</f>
        <v>0</v>
      </c>
      <c r="R24" s="715">
        <f>SUM(C24:Q24)</f>
        <v>132614.11611643457</v>
      </c>
      <c r="S24" s="67"/>
    </row>
    <row r="25" spans="1:19" s="474" customFormat="1" ht="15" thickBot="1">
      <c r="A25" s="856" t="s">
        <v>734</v>
      </c>
      <c r="B25" s="982"/>
      <c r="C25" s="983">
        <f>IF(Onbekend_ele_kWh="---",0,Onbekend_ele_kWh)/1000+IF(REST_rest_ele_kWh="---",0,REST_rest_ele_kWh)/1000</f>
        <v>50186.553449999999</v>
      </c>
      <c r="D25" s="983"/>
      <c r="E25" s="983">
        <f>IF(onbekend_gas_kWh="---",0,onbekend_gas_kWh)/1000+IF(REST_rest_gas_kWh="---",0,REST_rest_gas_kWh)/1000</f>
        <v>174889.059595</v>
      </c>
      <c r="F25" s="983"/>
      <c r="G25" s="983"/>
      <c r="H25" s="983"/>
      <c r="I25" s="983"/>
      <c r="J25" s="983"/>
      <c r="K25" s="983"/>
      <c r="L25" s="983"/>
      <c r="M25" s="983"/>
      <c r="N25" s="983"/>
      <c r="O25" s="983"/>
      <c r="P25" s="983"/>
      <c r="Q25" s="984"/>
      <c r="R25" s="715">
        <f>SUM(C25:Q25)</f>
        <v>225075.61304500001</v>
      </c>
      <c r="S25" s="67"/>
    </row>
    <row r="26" spans="1:19" s="474" customFormat="1" ht="15.75" thickBot="1">
      <c r="A26" s="720" t="s">
        <v>735</v>
      </c>
      <c r="B26" s="842"/>
      <c r="C26" s="837">
        <f>SUM(C24:C25)</f>
        <v>73684.996801000001</v>
      </c>
      <c r="D26" s="837">
        <f t="shared" ref="D26:R26" si="2">SUM(D24:D25)</f>
        <v>0</v>
      </c>
      <c r="E26" s="837">
        <f t="shared" si="2"/>
        <v>193751.26769903599</v>
      </c>
      <c r="F26" s="837">
        <f t="shared" si="2"/>
        <v>733.37866815404982</v>
      </c>
      <c r="G26" s="837">
        <f t="shared" si="2"/>
        <v>83046.101889767553</v>
      </c>
      <c r="H26" s="837">
        <f t="shared" si="2"/>
        <v>0</v>
      </c>
      <c r="I26" s="837">
        <f t="shared" si="2"/>
        <v>0</v>
      </c>
      <c r="J26" s="837">
        <f t="shared" si="2"/>
        <v>0</v>
      </c>
      <c r="K26" s="837">
        <f t="shared" si="2"/>
        <v>6473.9841034769661</v>
      </c>
      <c r="L26" s="837">
        <f t="shared" si="2"/>
        <v>0</v>
      </c>
      <c r="M26" s="837">
        <f t="shared" si="2"/>
        <v>0</v>
      </c>
      <c r="N26" s="837">
        <f t="shared" si="2"/>
        <v>0</v>
      </c>
      <c r="O26" s="837">
        <f t="shared" si="2"/>
        <v>0</v>
      </c>
      <c r="P26" s="837">
        <f t="shared" si="2"/>
        <v>0</v>
      </c>
      <c r="Q26" s="837">
        <f t="shared" si="2"/>
        <v>0</v>
      </c>
      <c r="R26" s="837">
        <f t="shared" si="2"/>
        <v>357689.72916143457</v>
      </c>
      <c r="S26" s="67"/>
    </row>
    <row r="27" spans="1:19" s="474" customFormat="1" ht="17.25" thickTop="1" thickBot="1">
      <c r="A27" s="721" t="s">
        <v>115</v>
      </c>
      <c r="B27" s="829"/>
      <c r="C27" s="722">
        <f ca="1">C22+C16+C26</f>
        <v>2266571.3717042441</v>
      </c>
      <c r="D27" s="722">
        <f t="shared" ref="D27:R27" ca="1" si="3">D22+D16+D26</f>
        <v>16616.323841698842</v>
      </c>
      <c r="E27" s="722">
        <f t="shared" ca="1" si="3"/>
        <v>4038156.2359260395</v>
      </c>
      <c r="F27" s="722">
        <f t="shared" si="3"/>
        <v>113126.25315398158</v>
      </c>
      <c r="G27" s="722">
        <f t="shared" ca="1" si="3"/>
        <v>380560.82430463022</v>
      </c>
      <c r="H27" s="722">
        <f t="shared" si="3"/>
        <v>2404423.748482001</v>
      </c>
      <c r="I27" s="722">
        <f t="shared" si="3"/>
        <v>477165.76285431685</v>
      </c>
      <c r="J27" s="722">
        <f t="shared" si="3"/>
        <v>0</v>
      </c>
      <c r="K27" s="722">
        <f t="shared" si="3"/>
        <v>7661.8256222811724</v>
      </c>
      <c r="L27" s="722">
        <f t="shared" si="3"/>
        <v>0</v>
      </c>
      <c r="M27" s="722">
        <f t="shared" ca="1" si="3"/>
        <v>0</v>
      </c>
      <c r="N27" s="722">
        <f t="shared" si="3"/>
        <v>169904.87313049106</v>
      </c>
      <c r="O27" s="722">
        <f t="shared" ca="1" si="3"/>
        <v>139030.78373839357</v>
      </c>
      <c r="P27" s="722">
        <f t="shared" si="3"/>
        <v>2291.3989311970663</v>
      </c>
      <c r="Q27" s="722">
        <f t="shared" si="3"/>
        <v>4711.5049341590147</v>
      </c>
      <c r="R27" s="722">
        <f t="shared" ca="1" si="3"/>
        <v>10020220.906623434</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230268.02066758642</v>
      </c>
      <c r="D40" s="712">
        <f ca="1">tertiair!C20</f>
        <v>2715.4594801581547</v>
      </c>
      <c r="E40" s="712">
        <f ca="1">tertiair!D20</f>
        <v>305687.74339242652</v>
      </c>
      <c r="F40" s="712">
        <f>tertiair!E20</f>
        <v>3147.047051735567</v>
      </c>
      <c r="G40" s="712">
        <f ca="1">tertiair!F20</f>
        <v>34456.341921185798</v>
      </c>
      <c r="H40" s="712">
        <f>tertiair!G20</f>
        <v>0</v>
      </c>
      <c r="I40" s="712">
        <f>tertiair!H20</f>
        <v>0</v>
      </c>
      <c r="J40" s="712">
        <f>tertiair!I20</f>
        <v>0</v>
      </c>
      <c r="K40" s="712">
        <f>tertiair!J20</f>
        <v>0.49955615425085947</v>
      </c>
      <c r="L40" s="712">
        <f>tertiair!K20</f>
        <v>0</v>
      </c>
      <c r="M40" s="712">
        <f ca="1">tertiair!L20</f>
        <v>0</v>
      </c>
      <c r="N40" s="712">
        <f>tertiair!M20</f>
        <v>0</v>
      </c>
      <c r="O40" s="712">
        <f ca="1">tertiair!N20</f>
        <v>0</v>
      </c>
      <c r="P40" s="712">
        <f>tertiair!O20</f>
        <v>0</v>
      </c>
      <c r="Q40" s="795">
        <f>tertiair!P20</f>
        <v>0</v>
      </c>
      <c r="R40" s="875">
        <f t="shared" ca="1" si="4"/>
        <v>576275.11206924671</v>
      </c>
    </row>
    <row r="41" spans="1:18">
      <c r="A41" s="847" t="s">
        <v>224</v>
      </c>
      <c r="B41" s="854"/>
      <c r="C41" s="712">
        <f ca="1">huishoudens!B12</f>
        <v>124364.75385986592</v>
      </c>
      <c r="D41" s="712">
        <f ca="1">huishoudens!C12</f>
        <v>0</v>
      </c>
      <c r="E41" s="712">
        <f>huishoudens!D12</f>
        <v>408396.42736405093</v>
      </c>
      <c r="F41" s="712">
        <f>huishoudens!E12</f>
        <v>16435.599545317513</v>
      </c>
      <c r="G41" s="712">
        <f>huishoudens!F12</f>
        <v>22950.881542212017</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572147.66231144627</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70335.198677307213</v>
      </c>
      <c r="D43" s="712">
        <f ca="1">industrie!C22</f>
        <v>1230.4405945569704</v>
      </c>
      <c r="E43" s="712">
        <f>industrie!D22</f>
        <v>61223.40232173496</v>
      </c>
      <c r="F43" s="712">
        <f>industrie!E22</f>
        <v>4683.920142735893</v>
      </c>
      <c r="G43" s="712">
        <f>industrie!F22</f>
        <v>22029.207421370516</v>
      </c>
      <c r="H43" s="712">
        <f>industrie!G22</f>
        <v>0</v>
      </c>
      <c r="I43" s="712">
        <f>industrie!H22</f>
        <v>0</v>
      </c>
      <c r="J43" s="712">
        <f>industrie!I22</f>
        <v>0</v>
      </c>
      <c r="K43" s="712">
        <f>industrie!J22</f>
        <v>419.9963415024381</v>
      </c>
      <c r="L43" s="712">
        <f>industrie!K22</f>
        <v>0</v>
      </c>
      <c r="M43" s="712">
        <f>industrie!L22</f>
        <v>0</v>
      </c>
      <c r="N43" s="712">
        <f>industrie!M22</f>
        <v>0</v>
      </c>
      <c r="O43" s="712">
        <f>industrie!N22</f>
        <v>0</v>
      </c>
      <c r="P43" s="712">
        <f>industrie!O22</f>
        <v>0</v>
      </c>
      <c r="Q43" s="795">
        <f>industrie!P22</f>
        <v>0</v>
      </c>
      <c r="R43" s="874">
        <f t="shared" ca="1" si="4"/>
        <v>159922.16549920797</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424967.97320475953</v>
      </c>
      <c r="D46" s="748">
        <f t="shared" ref="D46:Q46" ca="1" si="5">SUM(D39:D45)</f>
        <v>3945.9000747151249</v>
      </c>
      <c r="E46" s="748">
        <f t="shared" ca="1" si="5"/>
        <v>775307.57307821233</v>
      </c>
      <c r="F46" s="748">
        <f t="shared" si="5"/>
        <v>24266.566739788974</v>
      </c>
      <c r="G46" s="748">
        <f t="shared" ca="1" si="5"/>
        <v>79436.430884768328</v>
      </c>
      <c r="H46" s="748">
        <f t="shared" si="5"/>
        <v>0</v>
      </c>
      <c r="I46" s="748">
        <f t="shared" si="5"/>
        <v>0</v>
      </c>
      <c r="J46" s="748">
        <f t="shared" si="5"/>
        <v>0</v>
      </c>
      <c r="K46" s="748">
        <f t="shared" si="5"/>
        <v>420.49589765668895</v>
      </c>
      <c r="L46" s="748">
        <f t="shared" si="5"/>
        <v>0</v>
      </c>
      <c r="M46" s="748">
        <f t="shared" ca="1" si="5"/>
        <v>0</v>
      </c>
      <c r="N46" s="748">
        <f t="shared" si="5"/>
        <v>0</v>
      </c>
      <c r="O46" s="748">
        <f t="shared" ca="1" si="5"/>
        <v>0</v>
      </c>
      <c r="P46" s="748">
        <f t="shared" si="5"/>
        <v>0</v>
      </c>
      <c r="Q46" s="748">
        <f t="shared" si="5"/>
        <v>0</v>
      </c>
      <c r="R46" s="748">
        <f ca="1">SUM(R39:R45)</f>
        <v>1308344.939879901</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6870.255595642906</v>
      </c>
      <c r="D49" s="712">
        <f ca="1">transport!C58</f>
        <v>0</v>
      </c>
      <c r="E49" s="712">
        <f>transport!D58</f>
        <v>0</v>
      </c>
      <c r="F49" s="712">
        <f>transport!E58</f>
        <v>0</v>
      </c>
      <c r="G49" s="712">
        <f>transport!F58</f>
        <v>0</v>
      </c>
      <c r="H49" s="712">
        <f>transport!G58</f>
        <v>11929.491942157596</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18799.747537800504</v>
      </c>
    </row>
    <row r="50" spans="1:18">
      <c r="A50" s="850" t="s">
        <v>306</v>
      </c>
      <c r="B50" s="860"/>
      <c r="C50" s="718">
        <f ca="1">transport!B18</f>
        <v>314.23367032804282</v>
      </c>
      <c r="D50" s="718">
        <f>transport!C18</f>
        <v>0</v>
      </c>
      <c r="E50" s="718">
        <f>transport!D18</f>
        <v>1262.2305036423395</v>
      </c>
      <c r="F50" s="718">
        <f>transport!E18</f>
        <v>1246.6157684938776</v>
      </c>
      <c r="G50" s="718">
        <f>transport!F18</f>
        <v>0</v>
      </c>
      <c r="H50" s="718">
        <f>transport!G18</f>
        <v>630051.6489025366</v>
      </c>
      <c r="I50" s="718">
        <f>transport!H18</f>
        <v>118814.2749507249</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751689.00379572576</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7184.4892659709485</v>
      </c>
      <c r="D52" s="748">
        <f t="shared" ref="D52:Q52" ca="1" si="6">SUM(D48:D51)</f>
        <v>0</v>
      </c>
      <c r="E52" s="748">
        <f t="shared" si="6"/>
        <v>1262.2305036423395</v>
      </c>
      <c r="F52" s="748">
        <f t="shared" si="6"/>
        <v>1246.6157684938776</v>
      </c>
      <c r="G52" s="748">
        <f t="shared" si="6"/>
        <v>0</v>
      </c>
      <c r="H52" s="748">
        <f t="shared" si="6"/>
        <v>641981.14084469422</v>
      </c>
      <c r="I52" s="748">
        <f t="shared" si="6"/>
        <v>118814.2749507249</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770488.75133352622</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4630.841923495318</v>
      </c>
      <c r="D54" s="718">
        <f ca="1">+landbouw!C12</f>
        <v>0</v>
      </c>
      <c r="E54" s="718">
        <f>+landbouw!D12</f>
        <v>3810.1660370152727</v>
      </c>
      <c r="F54" s="718">
        <f>+landbouw!E12</f>
        <v>166.47695767096931</v>
      </c>
      <c r="G54" s="718">
        <f>+landbouw!F12</f>
        <v>22173.309204567937</v>
      </c>
      <c r="H54" s="718">
        <f>+landbouw!G12</f>
        <v>0</v>
      </c>
      <c r="I54" s="718">
        <f>+landbouw!H12</f>
        <v>0</v>
      </c>
      <c r="J54" s="718">
        <f>+landbouw!I12</f>
        <v>0</v>
      </c>
      <c r="K54" s="718">
        <f>+landbouw!J12</f>
        <v>2291.7903726308459</v>
      </c>
      <c r="L54" s="718">
        <f>+landbouw!K12</f>
        <v>0</v>
      </c>
      <c r="M54" s="718">
        <f>+landbouw!L12</f>
        <v>0</v>
      </c>
      <c r="N54" s="718">
        <f>+landbouw!M12</f>
        <v>0</v>
      </c>
      <c r="O54" s="718">
        <f>+landbouw!N12</f>
        <v>0</v>
      </c>
      <c r="P54" s="718">
        <f>+landbouw!O12</f>
        <v>0</v>
      </c>
      <c r="Q54" s="719">
        <f>+landbouw!P12</f>
        <v>0</v>
      </c>
      <c r="R54" s="747">
        <f ca="1">SUM(C54:Q54)</f>
        <v>33072.584495380339</v>
      </c>
    </row>
    <row r="55" spans="1:18" ht="15" thickBot="1">
      <c r="A55" s="850" t="s">
        <v>734</v>
      </c>
      <c r="B55" s="860"/>
      <c r="C55" s="718">
        <f ca="1">C25*'EF ele_warmte'!B12</f>
        <v>9890.2719742117861</v>
      </c>
      <c r="D55" s="718"/>
      <c r="E55" s="718">
        <f>E25*EF_CO2_aardgas</f>
        <v>35327.590038189999</v>
      </c>
      <c r="F55" s="718"/>
      <c r="G55" s="718"/>
      <c r="H55" s="718"/>
      <c r="I55" s="718"/>
      <c r="J55" s="718"/>
      <c r="K55" s="718"/>
      <c r="L55" s="718"/>
      <c r="M55" s="718"/>
      <c r="N55" s="718"/>
      <c r="O55" s="718"/>
      <c r="P55" s="718"/>
      <c r="Q55" s="719"/>
      <c r="R55" s="747">
        <f ca="1">SUM(C55:Q55)</f>
        <v>45217.862012401783</v>
      </c>
    </row>
    <row r="56" spans="1:18" ht="15.75" thickBot="1">
      <c r="A56" s="848" t="s">
        <v>735</v>
      </c>
      <c r="B56" s="861"/>
      <c r="C56" s="748">
        <f ca="1">SUM(C54:C55)</f>
        <v>14521.113897707104</v>
      </c>
      <c r="D56" s="748">
        <f t="shared" ref="D56:Q56" ca="1" si="7">SUM(D54:D55)</f>
        <v>0</v>
      </c>
      <c r="E56" s="748">
        <f t="shared" si="7"/>
        <v>39137.756075205274</v>
      </c>
      <c r="F56" s="748">
        <f t="shared" si="7"/>
        <v>166.47695767096931</v>
      </c>
      <c r="G56" s="748">
        <f t="shared" si="7"/>
        <v>22173.309204567937</v>
      </c>
      <c r="H56" s="748">
        <f t="shared" si="7"/>
        <v>0</v>
      </c>
      <c r="I56" s="748">
        <f t="shared" si="7"/>
        <v>0</v>
      </c>
      <c r="J56" s="748">
        <f t="shared" si="7"/>
        <v>0</v>
      </c>
      <c r="K56" s="748">
        <f t="shared" si="7"/>
        <v>2291.7903726308459</v>
      </c>
      <c r="L56" s="748">
        <f t="shared" si="7"/>
        <v>0</v>
      </c>
      <c r="M56" s="748">
        <f t="shared" si="7"/>
        <v>0</v>
      </c>
      <c r="N56" s="748">
        <f t="shared" si="7"/>
        <v>0</v>
      </c>
      <c r="O56" s="748">
        <f t="shared" si="7"/>
        <v>0</v>
      </c>
      <c r="P56" s="748">
        <f t="shared" si="7"/>
        <v>0</v>
      </c>
      <c r="Q56" s="749">
        <f t="shared" si="7"/>
        <v>0</v>
      </c>
      <c r="R56" s="750">
        <f ca="1">SUM(R54:R55)</f>
        <v>78290.446507782122</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446673.57636843756</v>
      </c>
      <c r="D61" s="756">
        <f t="shared" ref="D61:Q61" ca="1" si="8">D46+D52+D56</f>
        <v>3945.9000747151249</v>
      </c>
      <c r="E61" s="756">
        <f t="shared" ca="1" si="8"/>
        <v>815707.55965705996</v>
      </c>
      <c r="F61" s="756">
        <f t="shared" si="8"/>
        <v>25679.65946595382</v>
      </c>
      <c r="G61" s="756">
        <f t="shared" ca="1" si="8"/>
        <v>101609.74008933626</v>
      </c>
      <c r="H61" s="756">
        <f t="shared" si="8"/>
        <v>641981.14084469422</v>
      </c>
      <c r="I61" s="756">
        <f t="shared" si="8"/>
        <v>118814.2749507249</v>
      </c>
      <c r="J61" s="756">
        <f t="shared" si="8"/>
        <v>0</v>
      </c>
      <c r="K61" s="756">
        <f t="shared" si="8"/>
        <v>2712.286270287535</v>
      </c>
      <c r="L61" s="756">
        <f t="shared" si="8"/>
        <v>0</v>
      </c>
      <c r="M61" s="756">
        <f t="shared" ca="1" si="8"/>
        <v>0</v>
      </c>
      <c r="N61" s="756">
        <f t="shared" si="8"/>
        <v>0</v>
      </c>
      <c r="O61" s="756">
        <f t="shared" ca="1" si="8"/>
        <v>0</v>
      </c>
      <c r="P61" s="756">
        <f t="shared" si="8"/>
        <v>0</v>
      </c>
      <c r="Q61" s="756">
        <f t="shared" si="8"/>
        <v>0</v>
      </c>
      <c r="R61" s="756">
        <f ca="1">R46+R52+R56</f>
        <v>2157124.1377212093</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0.19707015713014231</v>
      </c>
      <c r="D63" s="802">
        <f t="shared" ca="1" si="9"/>
        <v>0.23747130305759007</v>
      </c>
      <c r="E63" s="1008">
        <f t="shared" ca="1" si="9"/>
        <v>0.20199999999999999</v>
      </c>
      <c r="F63" s="802">
        <f t="shared" si="9"/>
        <v>0.22700000000000001</v>
      </c>
      <c r="G63" s="802">
        <f t="shared" ca="1" si="9"/>
        <v>0.26699999999999996</v>
      </c>
      <c r="H63" s="802">
        <f t="shared" si="9"/>
        <v>0.26699999999999996</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165745.50111458794</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60776.86169446975</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11631.375</v>
      </c>
      <c r="D76" s="991">
        <f>'lokale energieproductie'!C8</f>
        <v>13673.850384165728</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2762.117777601477</v>
      </c>
      <c r="R76" s="877">
        <v>0</v>
      </c>
    </row>
    <row r="77" spans="1:18" ht="15.75" thickBot="1">
      <c r="A77" s="772" t="s">
        <v>801</v>
      </c>
      <c r="B77" s="769">
        <f>'lokale energieproductie'!B9*IFERROR(SUM(I77:O77)/SUM(D77:O77),0)</f>
        <v>19768.5</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56481.428571428572</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246290.8628090577</v>
      </c>
      <c r="C78" s="774">
        <f>SUM(C72:C77)</f>
        <v>11631.375</v>
      </c>
      <c r="D78" s="775">
        <f t="shared" ref="D78:H78" si="10">SUM(D76:D77)</f>
        <v>13673.850384165728</v>
      </c>
      <c r="E78" s="775">
        <f t="shared" si="10"/>
        <v>0</v>
      </c>
      <c r="F78" s="775">
        <f t="shared" si="10"/>
        <v>0</v>
      </c>
      <c r="G78" s="775">
        <f t="shared" si="10"/>
        <v>0</v>
      </c>
      <c r="H78" s="775">
        <f t="shared" si="10"/>
        <v>0</v>
      </c>
      <c r="I78" s="775">
        <f>SUM(I76:I77)</f>
        <v>0</v>
      </c>
      <c r="J78" s="775">
        <f>SUM(J76:J77)</f>
        <v>56481.428571428572</v>
      </c>
      <c r="K78" s="775">
        <f t="shared" ref="K78:L78" si="11">SUM(K76:K77)</f>
        <v>0</v>
      </c>
      <c r="L78" s="775">
        <f t="shared" si="11"/>
        <v>0</v>
      </c>
      <c r="M78" s="775">
        <f>SUM(M76:M77)</f>
        <v>0</v>
      </c>
      <c r="N78" s="775">
        <f>SUM(N76:N77)</f>
        <v>0</v>
      </c>
      <c r="O78" s="885">
        <f>SUM(O76:O77)</f>
        <v>0</v>
      </c>
      <c r="P78" s="776">
        <v>0</v>
      </c>
      <c r="Q78" s="776">
        <f>SUM(Q76:Q77)</f>
        <v>2762.117777601477</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16616.323841698842</v>
      </c>
      <c r="D87" s="798">
        <f>'lokale energieproductie'!C17</f>
        <v>19534.158785718442</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3945.9000747151254</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16616.323841698842</v>
      </c>
      <c r="D90" s="774">
        <f t="shared" ref="D90:H90" si="12">SUM(D87:D89)</f>
        <v>19534.158785718442</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3945.9000747151254</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631068.42593999254</v>
      </c>
      <c r="C4" s="478">
        <f>huishoudens!C8</f>
        <v>0</v>
      </c>
      <c r="D4" s="478">
        <f>huishoudens!D8</f>
        <v>2021764.4919012422</v>
      </c>
      <c r="E4" s="478">
        <f>huishoudens!E8</f>
        <v>72403.522226068337</v>
      </c>
      <c r="F4" s="478">
        <f>huishoudens!F8</f>
        <v>85958.357836000054</v>
      </c>
      <c r="G4" s="478">
        <f>huishoudens!G8</f>
        <v>0</v>
      </c>
      <c r="H4" s="478">
        <f>huishoudens!H8</f>
        <v>0</v>
      </c>
      <c r="I4" s="478">
        <f>huishoudens!I8</f>
        <v>0</v>
      </c>
      <c r="J4" s="478">
        <f>huishoudens!J8</f>
        <v>0</v>
      </c>
      <c r="K4" s="478">
        <f>huishoudens!K8</f>
        <v>0</v>
      </c>
      <c r="L4" s="478">
        <f>huishoudens!L8</f>
        <v>0</v>
      </c>
      <c r="M4" s="478">
        <f>huishoudens!M8</f>
        <v>0</v>
      </c>
      <c r="N4" s="478">
        <f>huishoudens!N8</f>
        <v>120076.17910954395</v>
      </c>
      <c r="O4" s="478">
        <f>huishoudens!O8</f>
        <v>2208.1454981777665</v>
      </c>
      <c r="P4" s="479">
        <f>huishoudens!P8</f>
        <v>1611.6957740758085</v>
      </c>
      <c r="Q4" s="480">
        <f>SUM(B4:P4)</f>
        <v>2935090.8182851011</v>
      </c>
    </row>
    <row r="5" spans="1:17">
      <c r="A5" s="477" t="s">
        <v>155</v>
      </c>
      <c r="B5" s="478">
        <f ca="1">tertiair!B16</f>
        <v>1139397.203584</v>
      </c>
      <c r="C5" s="478">
        <f ca="1">tertiair!C16</f>
        <v>11434.89527027027</v>
      </c>
      <c r="D5" s="478">
        <f ca="1">tertiair!D16</f>
        <v>1513305.660358547</v>
      </c>
      <c r="E5" s="478">
        <f>tertiair!E16</f>
        <v>13863.643399716155</v>
      </c>
      <c r="F5" s="478">
        <f ca="1">tertiair!F16</f>
        <v>129049.96974226891</v>
      </c>
      <c r="G5" s="478">
        <f>tertiair!G16</f>
        <v>0</v>
      </c>
      <c r="H5" s="478">
        <f>tertiair!H16</f>
        <v>0</v>
      </c>
      <c r="I5" s="478">
        <f>tertiair!I16</f>
        <v>0</v>
      </c>
      <c r="J5" s="478">
        <f>tertiair!J16</f>
        <v>1.4111755769798291</v>
      </c>
      <c r="K5" s="478">
        <f>tertiair!K16</f>
        <v>0</v>
      </c>
      <c r="L5" s="478">
        <f ca="1">tertiair!L16</f>
        <v>0</v>
      </c>
      <c r="M5" s="478">
        <f>tertiair!M16</f>
        <v>0</v>
      </c>
      <c r="N5" s="478">
        <f ca="1">tertiair!N16</f>
        <v>0</v>
      </c>
      <c r="O5" s="478">
        <f>tertiair!O16</f>
        <v>83.253433019299621</v>
      </c>
      <c r="P5" s="479">
        <f>tertiair!P16</f>
        <v>3099.8091600832063</v>
      </c>
      <c r="Q5" s="477">
        <f t="shared" ref="Q5:Q14" ca="1" si="0">SUM(B5:P5)</f>
        <v>2810235.8461234816</v>
      </c>
    </row>
    <row r="6" spans="1:17">
      <c r="A6" s="477" t="s">
        <v>193</v>
      </c>
      <c r="B6" s="478">
        <f>'openbare verlichting'!B8</f>
        <v>29059.878000000001</v>
      </c>
      <c r="C6" s="478"/>
      <c r="D6" s="478"/>
      <c r="E6" s="478"/>
      <c r="F6" s="478"/>
      <c r="G6" s="478"/>
      <c r="H6" s="478"/>
      <c r="I6" s="478"/>
      <c r="J6" s="478"/>
      <c r="K6" s="478"/>
      <c r="L6" s="478"/>
      <c r="M6" s="478"/>
      <c r="N6" s="478"/>
      <c r="O6" s="478"/>
      <c r="P6" s="479"/>
      <c r="Q6" s="477">
        <f t="shared" si="0"/>
        <v>29059.878000000001</v>
      </c>
    </row>
    <row r="7" spans="1:17">
      <c r="A7" s="477" t="s">
        <v>111</v>
      </c>
      <c r="B7" s="478">
        <f>landbouw!B8</f>
        <v>23498.443350999998</v>
      </c>
      <c r="C7" s="478">
        <f>landbouw!C8</f>
        <v>0</v>
      </c>
      <c r="D7" s="478">
        <f>landbouw!D8</f>
        <v>18862.208104036003</v>
      </c>
      <c r="E7" s="478">
        <f>landbouw!E8</f>
        <v>733.37866815404982</v>
      </c>
      <c r="F7" s="478">
        <f>landbouw!F8</f>
        <v>83046.101889767553</v>
      </c>
      <c r="G7" s="478">
        <f>landbouw!G8</f>
        <v>0</v>
      </c>
      <c r="H7" s="478">
        <f>landbouw!H8</f>
        <v>0</v>
      </c>
      <c r="I7" s="478">
        <f>landbouw!I8</f>
        <v>0</v>
      </c>
      <c r="J7" s="478">
        <f>landbouw!J8</f>
        <v>6473.9841034769661</v>
      </c>
      <c r="K7" s="478">
        <f>landbouw!K8</f>
        <v>0</v>
      </c>
      <c r="L7" s="478">
        <f>landbouw!L8</f>
        <v>0</v>
      </c>
      <c r="M7" s="478">
        <f>landbouw!M8</f>
        <v>0</v>
      </c>
      <c r="N7" s="478">
        <f>landbouw!N8</f>
        <v>0</v>
      </c>
      <c r="O7" s="478">
        <f>landbouw!O8</f>
        <v>0</v>
      </c>
      <c r="P7" s="479">
        <f>landbouw!P8</f>
        <v>0</v>
      </c>
      <c r="Q7" s="477">
        <f t="shared" si="0"/>
        <v>132614.11611643457</v>
      </c>
    </row>
    <row r="8" spans="1:17">
      <c r="A8" s="477" t="s">
        <v>629</v>
      </c>
      <c r="B8" s="478">
        <f>industrie!B18</f>
        <v>356904.36188600003</v>
      </c>
      <c r="C8" s="478">
        <f>industrie!C18</f>
        <v>5181.4285714285716</v>
      </c>
      <c r="D8" s="478">
        <f>industrie!D18</f>
        <v>303086.15010759881</v>
      </c>
      <c r="E8" s="478">
        <f>industrie!E18</f>
        <v>20634.009439365167</v>
      </c>
      <c r="F8" s="478">
        <f>industrie!F18</f>
        <v>82506.394836593696</v>
      </c>
      <c r="G8" s="478">
        <f>industrie!G18</f>
        <v>0</v>
      </c>
      <c r="H8" s="478">
        <f>industrie!H18</f>
        <v>0</v>
      </c>
      <c r="I8" s="478">
        <f>industrie!I18</f>
        <v>0</v>
      </c>
      <c r="J8" s="478">
        <f>industrie!J18</f>
        <v>1186.4303432272263</v>
      </c>
      <c r="K8" s="478">
        <f>industrie!K18</f>
        <v>0</v>
      </c>
      <c r="L8" s="478">
        <f>industrie!L18</f>
        <v>0</v>
      </c>
      <c r="M8" s="478">
        <f>industrie!M18</f>
        <v>0</v>
      </c>
      <c r="N8" s="478">
        <f>industrie!N18</f>
        <v>18954.604628849615</v>
      </c>
      <c r="O8" s="478">
        <f>industrie!O18</f>
        <v>0</v>
      </c>
      <c r="P8" s="479">
        <f>industrie!P18</f>
        <v>0</v>
      </c>
      <c r="Q8" s="477">
        <f t="shared" si="0"/>
        <v>788453.37981306307</v>
      </c>
    </row>
    <row r="9" spans="1:17" s="483" customFormat="1">
      <c r="A9" s="481" t="s">
        <v>555</v>
      </c>
      <c r="B9" s="482">
        <f>transport!B14</f>
        <v>1594.5269182513887</v>
      </c>
      <c r="C9" s="482">
        <f>transport!C14</f>
        <v>0</v>
      </c>
      <c r="D9" s="482">
        <f>transport!D14</f>
        <v>6248.6658596155421</v>
      </c>
      <c r="E9" s="482">
        <f>transport!E14</f>
        <v>5491.6994206778745</v>
      </c>
      <c r="F9" s="482">
        <f>transport!F14</f>
        <v>0</v>
      </c>
      <c r="G9" s="482">
        <f>transport!G14</f>
        <v>2359744.003380287</v>
      </c>
      <c r="H9" s="482">
        <f>transport!H14</f>
        <v>477165.76285431685</v>
      </c>
      <c r="I9" s="482">
        <f>transport!I14</f>
        <v>0</v>
      </c>
      <c r="J9" s="482">
        <f>transport!J14</f>
        <v>0</v>
      </c>
      <c r="K9" s="482">
        <f>transport!K14</f>
        <v>0</v>
      </c>
      <c r="L9" s="482">
        <f>transport!L14</f>
        <v>0</v>
      </c>
      <c r="M9" s="482">
        <f>transport!M14</f>
        <v>167421.56795419558</v>
      </c>
      <c r="N9" s="482">
        <f>transport!N14</f>
        <v>0</v>
      </c>
      <c r="O9" s="482">
        <f>transport!O14</f>
        <v>0</v>
      </c>
      <c r="P9" s="482">
        <f>transport!P14</f>
        <v>0</v>
      </c>
      <c r="Q9" s="481">
        <f>SUM(B9:P9)</f>
        <v>3017666.2263873443</v>
      </c>
    </row>
    <row r="10" spans="1:17">
      <c r="A10" s="477" t="s">
        <v>545</v>
      </c>
      <c r="B10" s="478">
        <f>transport!B54</f>
        <v>34861.978575000001</v>
      </c>
      <c r="C10" s="478">
        <f>transport!C54</f>
        <v>0</v>
      </c>
      <c r="D10" s="478">
        <f>transport!D54</f>
        <v>0</v>
      </c>
      <c r="E10" s="478">
        <f>transport!E54</f>
        <v>0</v>
      </c>
      <c r="F10" s="478">
        <f>transport!F54</f>
        <v>0</v>
      </c>
      <c r="G10" s="478">
        <f>transport!G54</f>
        <v>44679.745101713837</v>
      </c>
      <c r="H10" s="478">
        <f>transport!H54</f>
        <v>0</v>
      </c>
      <c r="I10" s="478">
        <f>transport!I54</f>
        <v>0</v>
      </c>
      <c r="J10" s="478">
        <f>transport!J54</f>
        <v>0</v>
      </c>
      <c r="K10" s="478">
        <f>transport!K54</f>
        <v>0</v>
      </c>
      <c r="L10" s="478">
        <f>transport!L54</f>
        <v>0</v>
      </c>
      <c r="M10" s="478">
        <f>transport!M54</f>
        <v>2483.3051762954774</v>
      </c>
      <c r="N10" s="478">
        <f>transport!N54</f>
        <v>0</v>
      </c>
      <c r="O10" s="478">
        <f>transport!O54</f>
        <v>0</v>
      </c>
      <c r="P10" s="479">
        <f>transport!P54</f>
        <v>0</v>
      </c>
      <c r="Q10" s="477">
        <f t="shared" si="0"/>
        <v>82025.028853009309</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50186.553449999999</v>
      </c>
      <c r="C14" s="485"/>
      <c r="D14" s="485">
        <f>'SEAP template'!E25</f>
        <v>174889.059595</v>
      </c>
      <c r="E14" s="485"/>
      <c r="F14" s="485"/>
      <c r="G14" s="485"/>
      <c r="H14" s="485"/>
      <c r="I14" s="485"/>
      <c r="J14" s="485"/>
      <c r="K14" s="485"/>
      <c r="L14" s="485"/>
      <c r="M14" s="485"/>
      <c r="N14" s="485"/>
      <c r="O14" s="485"/>
      <c r="P14" s="486"/>
      <c r="Q14" s="477">
        <f t="shared" si="0"/>
        <v>225075.61304500001</v>
      </c>
    </row>
    <row r="15" spans="1:17" s="489" customFormat="1">
      <c r="A15" s="487" t="s">
        <v>549</v>
      </c>
      <c r="B15" s="488">
        <f ca="1">SUM(B4:B14)</f>
        <v>2266571.3717042445</v>
      </c>
      <c r="C15" s="488">
        <f t="shared" ref="C15:Q15" ca="1" si="1">SUM(C4:C14)</f>
        <v>16616.323841698842</v>
      </c>
      <c r="D15" s="488">
        <f t="shared" ca="1" si="1"/>
        <v>4038156.2359260395</v>
      </c>
      <c r="E15" s="488">
        <f t="shared" si="1"/>
        <v>113126.25315398158</v>
      </c>
      <c r="F15" s="488">
        <f t="shared" ca="1" si="1"/>
        <v>380560.82430463022</v>
      </c>
      <c r="G15" s="488">
        <f t="shared" si="1"/>
        <v>2404423.748482001</v>
      </c>
      <c r="H15" s="488">
        <f t="shared" si="1"/>
        <v>477165.76285431685</v>
      </c>
      <c r="I15" s="488">
        <f t="shared" si="1"/>
        <v>0</v>
      </c>
      <c r="J15" s="488">
        <f t="shared" si="1"/>
        <v>7661.8256222811724</v>
      </c>
      <c r="K15" s="488">
        <f t="shared" si="1"/>
        <v>0</v>
      </c>
      <c r="L15" s="488">
        <f t="shared" ca="1" si="1"/>
        <v>0</v>
      </c>
      <c r="M15" s="488">
        <f t="shared" si="1"/>
        <v>169904.87313049106</v>
      </c>
      <c r="N15" s="488">
        <f t="shared" ca="1" si="1"/>
        <v>139030.78373839357</v>
      </c>
      <c r="O15" s="488">
        <f t="shared" si="1"/>
        <v>2291.3989311970663</v>
      </c>
      <c r="P15" s="488">
        <f t="shared" si="1"/>
        <v>4711.5049341590147</v>
      </c>
      <c r="Q15" s="488">
        <f t="shared" ca="1" si="1"/>
        <v>10020220.906623432</v>
      </c>
    </row>
    <row r="17" spans="1:17">
      <c r="A17" s="490" t="s">
        <v>550</v>
      </c>
      <c r="B17" s="807">
        <f ca="1">huishoudens!B10</f>
        <v>0.19707015713014234</v>
      </c>
      <c r="C17" s="807">
        <f ca="1">huishoudens!C10</f>
        <v>0.23747130305759009</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124364.75385986592</v>
      </c>
      <c r="C22" s="478">
        <f t="shared" ref="C22:C32" ca="1" si="3">C4*$C$17</f>
        <v>0</v>
      </c>
      <c r="D22" s="478">
        <f t="shared" ref="D22:D32" si="4">D4*$D$17</f>
        <v>408396.42736405093</v>
      </c>
      <c r="E22" s="478">
        <f t="shared" ref="E22:E32" si="5">E4*$E$17</f>
        <v>16435.599545317513</v>
      </c>
      <c r="F22" s="478">
        <f t="shared" ref="F22:F32" si="6">F4*$F$17</f>
        <v>22950.881542212017</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572147.66231144627</v>
      </c>
    </row>
    <row r="23" spans="1:17">
      <c r="A23" s="477" t="s">
        <v>155</v>
      </c>
      <c r="B23" s="478">
        <f t="shared" ca="1" si="2"/>
        <v>224541.18594394365</v>
      </c>
      <c r="C23" s="478">
        <f t="shared" ca="1" si="3"/>
        <v>2715.4594801581547</v>
      </c>
      <c r="D23" s="478">
        <f t="shared" ca="1" si="4"/>
        <v>305687.74339242652</v>
      </c>
      <c r="E23" s="478">
        <f t="shared" si="5"/>
        <v>3147.047051735567</v>
      </c>
      <c r="F23" s="478">
        <f t="shared" ca="1" si="6"/>
        <v>34456.341921185798</v>
      </c>
      <c r="G23" s="478">
        <f t="shared" si="7"/>
        <v>0</v>
      </c>
      <c r="H23" s="478">
        <f t="shared" si="8"/>
        <v>0</v>
      </c>
      <c r="I23" s="478">
        <f t="shared" si="9"/>
        <v>0</v>
      </c>
      <c r="J23" s="478">
        <f t="shared" si="10"/>
        <v>0.49955615425085947</v>
      </c>
      <c r="K23" s="478">
        <f t="shared" si="11"/>
        <v>0</v>
      </c>
      <c r="L23" s="478">
        <f t="shared" ca="1" si="12"/>
        <v>0</v>
      </c>
      <c r="M23" s="478">
        <f t="shared" si="13"/>
        <v>0</v>
      </c>
      <c r="N23" s="478">
        <f t="shared" ca="1" si="14"/>
        <v>0</v>
      </c>
      <c r="O23" s="478">
        <f t="shared" si="15"/>
        <v>0</v>
      </c>
      <c r="P23" s="479">
        <f t="shared" si="16"/>
        <v>0</v>
      </c>
      <c r="Q23" s="477">
        <f t="shared" ref="Q23:Q31" ca="1" si="17">SUM(B23:P23)</f>
        <v>570548.27734560391</v>
      </c>
    </row>
    <row r="24" spans="1:17">
      <c r="A24" s="477" t="s">
        <v>193</v>
      </c>
      <c r="B24" s="478">
        <f t="shared" ca="1" si="2"/>
        <v>5726.8347236427662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5726.8347236427662</v>
      </c>
    </row>
    <row r="25" spans="1:17">
      <c r="A25" s="477" t="s">
        <v>111</v>
      </c>
      <c r="B25" s="478">
        <f t="shared" ca="1" si="2"/>
        <v>4630.841923495318</v>
      </c>
      <c r="C25" s="478">
        <f t="shared" ca="1" si="3"/>
        <v>0</v>
      </c>
      <c r="D25" s="478">
        <f t="shared" si="4"/>
        <v>3810.1660370152727</v>
      </c>
      <c r="E25" s="478">
        <f t="shared" si="5"/>
        <v>166.47695767096931</v>
      </c>
      <c r="F25" s="478">
        <f t="shared" si="6"/>
        <v>22173.309204567937</v>
      </c>
      <c r="G25" s="478">
        <f t="shared" si="7"/>
        <v>0</v>
      </c>
      <c r="H25" s="478">
        <f t="shared" si="8"/>
        <v>0</v>
      </c>
      <c r="I25" s="478">
        <f t="shared" si="9"/>
        <v>0</v>
      </c>
      <c r="J25" s="478">
        <f t="shared" si="10"/>
        <v>2291.7903726308459</v>
      </c>
      <c r="K25" s="478">
        <f t="shared" si="11"/>
        <v>0</v>
      </c>
      <c r="L25" s="478">
        <f t="shared" si="12"/>
        <v>0</v>
      </c>
      <c r="M25" s="478">
        <f t="shared" si="13"/>
        <v>0</v>
      </c>
      <c r="N25" s="478">
        <f t="shared" si="14"/>
        <v>0</v>
      </c>
      <c r="O25" s="478">
        <f t="shared" si="15"/>
        <v>0</v>
      </c>
      <c r="P25" s="479">
        <f t="shared" si="16"/>
        <v>0</v>
      </c>
      <c r="Q25" s="477">
        <f t="shared" ca="1" si="17"/>
        <v>33072.584495380339</v>
      </c>
    </row>
    <row r="26" spans="1:17">
      <c r="A26" s="477" t="s">
        <v>629</v>
      </c>
      <c r="B26" s="478">
        <f t="shared" ca="1" si="2"/>
        <v>70335.198677307213</v>
      </c>
      <c r="C26" s="478">
        <f t="shared" ca="1" si="3"/>
        <v>1230.4405945569704</v>
      </c>
      <c r="D26" s="478">
        <f t="shared" si="4"/>
        <v>61223.40232173496</v>
      </c>
      <c r="E26" s="478">
        <f t="shared" si="5"/>
        <v>4683.920142735893</v>
      </c>
      <c r="F26" s="478">
        <f t="shared" si="6"/>
        <v>22029.207421370516</v>
      </c>
      <c r="G26" s="478">
        <f t="shared" si="7"/>
        <v>0</v>
      </c>
      <c r="H26" s="478">
        <f t="shared" si="8"/>
        <v>0</v>
      </c>
      <c r="I26" s="478">
        <f t="shared" si="9"/>
        <v>0</v>
      </c>
      <c r="J26" s="478">
        <f t="shared" si="10"/>
        <v>419.9963415024381</v>
      </c>
      <c r="K26" s="478">
        <f t="shared" si="11"/>
        <v>0</v>
      </c>
      <c r="L26" s="478">
        <f t="shared" si="12"/>
        <v>0</v>
      </c>
      <c r="M26" s="478">
        <f t="shared" si="13"/>
        <v>0</v>
      </c>
      <c r="N26" s="478">
        <f t="shared" si="14"/>
        <v>0</v>
      </c>
      <c r="O26" s="478">
        <f t="shared" si="15"/>
        <v>0</v>
      </c>
      <c r="P26" s="479">
        <f t="shared" si="16"/>
        <v>0</v>
      </c>
      <c r="Q26" s="477">
        <f t="shared" ca="1" si="17"/>
        <v>159922.16549920797</v>
      </c>
    </row>
    <row r="27" spans="1:17" s="483" customFormat="1">
      <c r="A27" s="481" t="s">
        <v>555</v>
      </c>
      <c r="B27" s="801">
        <f t="shared" ca="1" si="2"/>
        <v>314.23367032804282</v>
      </c>
      <c r="C27" s="482">
        <f t="shared" ca="1" si="3"/>
        <v>0</v>
      </c>
      <c r="D27" s="482">
        <f t="shared" si="4"/>
        <v>1262.2305036423395</v>
      </c>
      <c r="E27" s="482">
        <f t="shared" si="5"/>
        <v>1246.6157684938776</v>
      </c>
      <c r="F27" s="482">
        <f t="shared" si="6"/>
        <v>0</v>
      </c>
      <c r="G27" s="482">
        <f t="shared" si="7"/>
        <v>630051.6489025366</v>
      </c>
      <c r="H27" s="482">
        <f t="shared" si="8"/>
        <v>118814.2749507249</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751689.00379572576</v>
      </c>
    </row>
    <row r="28" spans="1:17" ht="16.5" customHeight="1">
      <c r="A28" s="477" t="s">
        <v>545</v>
      </c>
      <c r="B28" s="478">
        <f t="shared" ca="1" si="2"/>
        <v>6870.255595642906</v>
      </c>
      <c r="C28" s="478">
        <f t="shared" ca="1" si="3"/>
        <v>0</v>
      </c>
      <c r="D28" s="478">
        <f t="shared" si="4"/>
        <v>0</v>
      </c>
      <c r="E28" s="478">
        <f t="shared" si="5"/>
        <v>0</v>
      </c>
      <c r="F28" s="478">
        <f t="shared" si="6"/>
        <v>0</v>
      </c>
      <c r="G28" s="478">
        <f t="shared" si="7"/>
        <v>11929.491942157596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18799.747537800504</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9890.2719742117861</v>
      </c>
      <c r="C32" s="478">
        <f t="shared" ca="1" si="3"/>
        <v>0</v>
      </c>
      <c r="D32" s="478">
        <f t="shared" si="4"/>
        <v>35327.590038189999</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45217.862012401783</v>
      </c>
    </row>
    <row r="33" spans="1:17" s="489" customFormat="1">
      <c r="A33" s="487" t="s">
        <v>549</v>
      </c>
      <c r="B33" s="488">
        <f ca="1">SUM(B22:B32)</f>
        <v>446673.57636843767</v>
      </c>
      <c r="C33" s="488">
        <f t="shared" ref="C33:Q33" ca="1" si="19">SUM(C22:C32)</f>
        <v>3945.9000747151249</v>
      </c>
      <c r="D33" s="488">
        <f t="shared" ca="1" si="19"/>
        <v>815707.55965705996</v>
      </c>
      <c r="E33" s="488">
        <f t="shared" si="19"/>
        <v>25679.65946595382</v>
      </c>
      <c r="F33" s="488">
        <f t="shared" ca="1" si="19"/>
        <v>101609.74008933626</v>
      </c>
      <c r="G33" s="488">
        <f t="shared" si="19"/>
        <v>641981.14084469422</v>
      </c>
      <c r="H33" s="488">
        <f t="shared" si="19"/>
        <v>118814.2749507249</v>
      </c>
      <c r="I33" s="488">
        <f t="shared" si="19"/>
        <v>0</v>
      </c>
      <c r="J33" s="488">
        <f t="shared" si="19"/>
        <v>2712.286270287535</v>
      </c>
      <c r="K33" s="488">
        <f t="shared" si="19"/>
        <v>0</v>
      </c>
      <c r="L33" s="488">
        <f t="shared" ca="1" si="19"/>
        <v>0</v>
      </c>
      <c r="M33" s="488">
        <f t="shared" si="19"/>
        <v>0</v>
      </c>
      <c r="N33" s="488">
        <f t="shared" ca="1" si="19"/>
        <v>0</v>
      </c>
      <c r="O33" s="488">
        <f t="shared" si="19"/>
        <v>0</v>
      </c>
      <c r="P33" s="488">
        <f t="shared" si="19"/>
        <v>0</v>
      </c>
      <c r="Q33" s="488">
        <f t="shared" ca="1" si="19"/>
        <v>2157124.1377212093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165745.50111458794</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60776.86169446975</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11631.375</v>
      </c>
      <c r="D8" s="1062">
        <f>'SEAP template'!D76</f>
        <v>13673.850384165728</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2762.117777601477</v>
      </c>
    </row>
    <row r="9" spans="1:16">
      <c r="A9" s="1068" t="s">
        <v>802</v>
      </c>
      <c r="B9" s="1062">
        <f>'SEAP template'!B77</f>
        <v>19768.5</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56481.428571428572</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246290.8628090577</v>
      </c>
      <c r="C10" s="1064">
        <f>SUM(C4:C9)</f>
        <v>11631.375</v>
      </c>
      <c r="D10" s="1064">
        <f t="shared" ref="D10:H10" si="0">SUM(D8:D9)</f>
        <v>13673.850384165728</v>
      </c>
      <c r="E10" s="1064">
        <f t="shared" si="0"/>
        <v>0</v>
      </c>
      <c r="F10" s="1064">
        <f t="shared" si="0"/>
        <v>0</v>
      </c>
      <c r="G10" s="1064">
        <f t="shared" si="0"/>
        <v>0</v>
      </c>
      <c r="H10" s="1064">
        <f t="shared" si="0"/>
        <v>0</v>
      </c>
      <c r="I10" s="1064">
        <f>SUM(I8:I9)</f>
        <v>0</v>
      </c>
      <c r="J10" s="1064">
        <f>SUM(J8:J9)</f>
        <v>56481.428571428572</v>
      </c>
      <c r="K10" s="1064">
        <f t="shared" ref="K10:L10" si="1">SUM(K8:K9)</f>
        <v>0</v>
      </c>
      <c r="L10" s="1064">
        <f t="shared" si="1"/>
        <v>0</v>
      </c>
      <c r="M10" s="1064">
        <f>SUM(M8:M9)</f>
        <v>0</v>
      </c>
      <c r="N10" s="1064">
        <f>SUM(N8:N9)</f>
        <v>0</v>
      </c>
      <c r="O10" s="1064">
        <f>SUM(O8:O9)</f>
        <v>0</v>
      </c>
      <c r="P10" s="1064">
        <f>SUM(P8:P9)</f>
        <v>2762.117777601477</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0.19707015713014234</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16616.323841698842</v>
      </c>
      <c r="D17" s="1063">
        <f>'SEAP template'!D87</f>
        <v>19534.158785718442</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3945.9000747151254</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16616.323841698842</v>
      </c>
      <c r="D20" s="1064">
        <f t="shared" ref="D20:H20" si="2">SUM(D17:D19)</f>
        <v>19534.158785718442</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3945.9000747151254</v>
      </c>
    </row>
    <row r="21" spans="1:16">
      <c r="B21" s="913"/>
    </row>
    <row r="22" spans="1:16">
      <c r="A22" s="490" t="s">
        <v>814</v>
      </c>
      <c r="B22" s="807" t="s">
        <v>812</v>
      </c>
      <c r="C22" s="807">
        <f ca="1">'EF ele_warmte'!B22</f>
        <v>0.23747130305759009</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0.19707015713014234</v>
      </c>
      <c r="C17" s="527">
        <f ca="1">'EF ele_warmte'!B22</f>
        <v>0.23747130305759009</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2</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3.1266666666666669</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2</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38.133333333333333</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0.19707015713014234</v>
      </c>
      <c r="C17" s="527">
        <f ca="1">'EF ele_warmte'!B22</f>
        <v>0.23747130305759009</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0.19707015713014234</v>
      </c>
      <c r="C29" s="528">
        <f ca="1">'EF ele_warmte'!B22</f>
        <v>0.23747130305759009</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11002</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234143</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1254.53</v>
      </c>
    </row>
    <row r="15" spans="1:6">
      <c r="A15" s="348" t="s">
        <v>183</v>
      </c>
      <c r="B15" s="334">
        <v>5</v>
      </c>
    </row>
    <row r="16" spans="1:6">
      <c r="A16" s="348" t="s">
        <v>6</v>
      </c>
      <c r="B16" s="334">
        <v>71</v>
      </c>
    </row>
    <row r="17" spans="1:6">
      <c r="A17" s="348" t="s">
        <v>7</v>
      </c>
      <c r="B17" s="334">
        <v>171</v>
      </c>
    </row>
    <row r="18" spans="1:6">
      <c r="A18" s="348" t="s">
        <v>8</v>
      </c>
      <c r="B18" s="334">
        <v>208</v>
      </c>
    </row>
    <row r="19" spans="1:6">
      <c r="A19" s="348" t="s">
        <v>9</v>
      </c>
      <c r="B19" s="334">
        <v>341</v>
      </c>
    </row>
    <row r="20" spans="1:6">
      <c r="A20" s="348" t="s">
        <v>10</v>
      </c>
      <c r="B20" s="334">
        <v>215</v>
      </c>
    </row>
    <row r="21" spans="1:6">
      <c r="A21" s="348" t="s">
        <v>11</v>
      </c>
      <c r="B21" s="334">
        <v>0</v>
      </c>
    </row>
    <row r="22" spans="1:6">
      <c r="A22" s="348" t="s">
        <v>12</v>
      </c>
      <c r="B22" s="334">
        <v>2</v>
      </c>
    </row>
    <row r="23" spans="1:6">
      <c r="A23" s="348" t="s">
        <v>13</v>
      </c>
      <c r="B23" s="334">
        <v>0</v>
      </c>
    </row>
    <row r="24" spans="1:6">
      <c r="A24" s="348" t="s">
        <v>14</v>
      </c>
      <c r="B24" s="334">
        <v>0</v>
      </c>
    </row>
    <row r="25" spans="1:6">
      <c r="A25" s="348" t="s">
        <v>15</v>
      </c>
      <c r="B25" s="334">
        <v>0</v>
      </c>
    </row>
    <row r="26" spans="1:6">
      <c r="A26" s="348" t="s">
        <v>16</v>
      </c>
      <c r="B26" s="334">
        <v>1142</v>
      </c>
    </row>
    <row r="27" spans="1:6">
      <c r="A27" s="348" t="s">
        <v>17</v>
      </c>
      <c r="B27" s="334">
        <v>46</v>
      </c>
    </row>
    <row r="28" spans="1:6" s="356" customFormat="1">
      <c r="A28" s="355" t="s">
        <v>18</v>
      </c>
      <c r="B28" s="355">
        <v>66</v>
      </c>
    </row>
    <row r="29" spans="1:6">
      <c r="A29" s="355" t="s">
        <v>713</v>
      </c>
      <c r="B29" s="355">
        <v>219</v>
      </c>
      <c r="C29" s="356"/>
      <c r="D29" s="356"/>
      <c r="E29" s="356"/>
      <c r="F29" s="356"/>
    </row>
    <row r="30" spans="1:6">
      <c r="A30" s="341" t="s">
        <v>714</v>
      </c>
      <c r="B30" s="341">
        <v>43</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3</v>
      </c>
      <c r="D35" s="334">
        <v>761816</v>
      </c>
      <c r="E35" s="334">
        <v>16</v>
      </c>
      <c r="F35" s="334">
        <v>741268</v>
      </c>
    </row>
    <row r="36" spans="1:6">
      <c r="A36" s="348" t="s">
        <v>24</v>
      </c>
      <c r="B36" s="348" t="s">
        <v>26</v>
      </c>
      <c r="C36" s="334">
        <v>47</v>
      </c>
      <c r="D36" s="334">
        <v>23006648.23</v>
      </c>
      <c r="E36" s="334">
        <v>82</v>
      </c>
      <c r="F36" s="334">
        <v>2451375.1749999998</v>
      </c>
    </row>
    <row r="37" spans="1:6">
      <c r="A37" s="348" t="s">
        <v>24</v>
      </c>
      <c r="B37" s="348" t="s">
        <v>27</v>
      </c>
      <c r="C37" s="334">
        <v>0</v>
      </c>
      <c r="D37" s="334">
        <v>0</v>
      </c>
      <c r="E37" s="334">
        <v>7</v>
      </c>
      <c r="F37" s="334">
        <v>15848161</v>
      </c>
    </row>
    <row r="38" spans="1:6">
      <c r="A38" s="348" t="s">
        <v>24</v>
      </c>
      <c r="B38" s="348" t="s">
        <v>28</v>
      </c>
      <c r="C38" s="334">
        <v>27</v>
      </c>
      <c r="D38" s="334">
        <v>194472613.5</v>
      </c>
      <c r="E38" s="334">
        <v>30</v>
      </c>
      <c r="F38" s="334">
        <v>1487500.304</v>
      </c>
    </row>
    <row r="39" spans="1:6">
      <c r="A39" s="348" t="s">
        <v>29</v>
      </c>
      <c r="B39" s="348" t="s">
        <v>30</v>
      </c>
      <c r="C39" s="334">
        <v>180926</v>
      </c>
      <c r="D39" s="334">
        <v>2240719167.3000002</v>
      </c>
      <c r="E39" s="334">
        <v>237034</v>
      </c>
      <c r="F39" s="334">
        <v>613716415.67799997</v>
      </c>
    </row>
    <row r="40" spans="1:6">
      <c r="A40" s="348" t="s">
        <v>29</v>
      </c>
      <c r="B40" s="348" t="s">
        <v>28</v>
      </c>
      <c r="C40" s="334">
        <v>10</v>
      </c>
      <c r="D40" s="334">
        <v>704881.37100000004</v>
      </c>
      <c r="E40" s="334">
        <v>7</v>
      </c>
      <c r="F40" s="334">
        <v>216840.84</v>
      </c>
    </row>
    <row r="41" spans="1:6">
      <c r="A41" s="348" t="s">
        <v>31</v>
      </c>
      <c r="B41" s="348" t="s">
        <v>32</v>
      </c>
      <c r="C41" s="334">
        <v>1462</v>
      </c>
      <c r="D41" s="334">
        <v>34388899.590000004</v>
      </c>
      <c r="E41" s="334">
        <v>2862</v>
      </c>
      <c r="F41" s="334">
        <v>56905196.284999996</v>
      </c>
    </row>
    <row r="42" spans="1:6">
      <c r="A42" s="348" t="s">
        <v>31</v>
      </c>
      <c r="B42" s="348" t="s">
        <v>33</v>
      </c>
      <c r="C42" s="334">
        <v>4</v>
      </c>
      <c r="D42" s="334">
        <v>650840.75800000003</v>
      </c>
      <c r="E42" s="334">
        <v>22</v>
      </c>
      <c r="F42" s="334">
        <v>1149995.379</v>
      </c>
    </row>
    <row r="43" spans="1:6">
      <c r="A43" s="348" t="s">
        <v>31</v>
      </c>
      <c r="B43" s="348" t="s">
        <v>34</v>
      </c>
      <c r="C43" s="334">
        <v>0</v>
      </c>
      <c r="D43" s="334">
        <v>0</v>
      </c>
      <c r="E43" s="334">
        <v>0</v>
      </c>
      <c r="F43" s="334">
        <v>0</v>
      </c>
    </row>
    <row r="44" spans="1:6">
      <c r="A44" s="348" t="s">
        <v>31</v>
      </c>
      <c r="B44" s="348" t="s">
        <v>35</v>
      </c>
      <c r="C44" s="334">
        <v>106</v>
      </c>
      <c r="D44" s="334">
        <v>9676229.1500000004</v>
      </c>
      <c r="E44" s="334">
        <v>503</v>
      </c>
      <c r="F44" s="334">
        <v>110603882.08</v>
      </c>
    </row>
    <row r="45" spans="1:6">
      <c r="A45" s="348" t="s">
        <v>31</v>
      </c>
      <c r="B45" s="348" t="s">
        <v>36</v>
      </c>
      <c r="C45" s="334">
        <v>0</v>
      </c>
      <c r="D45" s="334">
        <v>0</v>
      </c>
      <c r="E45" s="334">
        <v>20</v>
      </c>
      <c r="F45" s="334">
        <v>22368789.408</v>
      </c>
    </row>
    <row r="46" spans="1:6">
      <c r="A46" s="348" t="s">
        <v>31</v>
      </c>
      <c r="B46" s="348" t="s">
        <v>37</v>
      </c>
      <c r="C46" s="334">
        <v>0</v>
      </c>
      <c r="D46" s="334">
        <v>0</v>
      </c>
      <c r="E46" s="334">
        <v>3</v>
      </c>
      <c r="F46" s="334">
        <v>635715</v>
      </c>
    </row>
    <row r="47" spans="1:6">
      <c r="A47" s="348" t="s">
        <v>31</v>
      </c>
      <c r="B47" s="348" t="s">
        <v>38</v>
      </c>
      <c r="C47" s="334">
        <v>72</v>
      </c>
      <c r="D47" s="334">
        <v>7057170.4359999998</v>
      </c>
      <c r="E47" s="334">
        <v>105</v>
      </c>
      <c r="F47" s="334">
        <v>4489821.12</v>
      </c>
    </row>
    <row r="48" spans="1:6">
      <c r="A48" s="348" t="s">
        <v>31</v>
      </c>
      <c r="B48" s="348" t="s">
        <v>28</v>
      </c>
      <c r="C48" s="334">
        <v>356</v>
      </c>
      <c r="D48" s="334">
        <v>271116397.69999999</v>
      </c>
      <c r="E48" s="334">
        <v>395</v>
      </c>
      <c r="F48" s="334">
        <v>61327968.200000003</v>
      </c>
    </row>
    <row r="49" spans="1:6">
      <c r="A49" s="348" t="s">
        <v>31</v>
      </c>
      <c r="B49" s="348" t="s">
        <v>39</v>
      </c>
      <c r="C49" s="334">
        <v>40</v>
      </c>
      <c r="D49" s="334">
        <v>1423887.4739999999</v>
      </c>
      <c r="E49" s="334">
        <v>79</v>
      </c>
      <c r="F49" s="334">
        <v>1491542.3740000001</v>
      </c>
    </row>
    <row r="50" spans="1:6">
      <c r="A50" s="348" t="s">
        <v>31</v>
      </c>
      <c r="B50" s="348" t="s">
        <v>40</v>
      </c>
      <c r="C50" s="334">
        <v>225</v>
      </c>
      <c r="D50" s="334">
        <v>23191017.52</v>
      </c>
      <c r="E50" s="334">
        <v>328</v>
      </c>
      <c r="F50" s="334">
        <v>94304452.039999992</v>
      </c>
    </row>
    <row r="51" spans="1:6">
      <c r="A51" s="348" t="s">
        <v>41</v>
      </c>
      <c r="B51" s="348" t="s">
        <v>42</v>
      </c>
      <c r="C51" s="334">
        <v>77</v>
      </c>
      <c r="D51" s="334">
        <v>20264069.940000001</v>
      </c>
      <c r="E51" s="334">
        <v>175</v>
      </c>
      <c r="F51" s="334">
        <v>23165643.77</v>
      </c>
    </row>
    <row r="52" spans="1:6">
      <c r="A52" s="348" t="s">
        <v>41</v>
      </c>
      <c r="B52" s="348" t="s">
        <v>28</v>
      </c>
      <c r="C52" s="334">
        <v>36</v>
      </c>
      <c r="D52" s="334">
        <v>647468.978</v>
      </c>
      <c r="E52" s="334">
        <v>46</v>
      </c>
      <c r="F52" s="334">
        <v>332799.58100000001</v>
      </c>
    </row>
    <row r="53" spans="1:6">
      <c r="A53" s="348" t="s">
        <v>43</v>
      </c>
      <c r="B53" s="348" t="s">
        <v>44</v>
      </c>
      <c r="C53" s="334">
        <v>7348</v>
      </c>
      <c r="D53" s="334">
        <v>174889059.595</v>
      </c>
      <c r="E53" s="334">
        <v>13706</v>
      </c>
      <c r="F53" s="334">
        <v>50186553.450000003</v>
      </c>
    </row>
    <row r="54" spans="1:6">
      <c r="A54" s="348" t="s">
        <v>45</v>
      </c>
      <c r="B54" s="348" t="s">
        <v>46</v>
      </c>
      <c r="C54" s="334">
        <v>0</v>
      </c>
      <c r="D54" s="334">
        <v>0</v>
      </c>
      <c r="E54" s="334">
        <v>24</v>
      </c>
      <c r="F54" s="334">
        <v>29059878</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1694</v>
      </c>
      <c r="D57" s="334">
        <v>91756944.206</v>
      </c>
      <c r="E57" s="334">
        <v>2600</v>
      </c>
      <c r="F57" s="334">
        <v>76229906.609999999</v>
      </c>
    </row>
    <row r="58" spans="1:6">
      <c r="A58" s="348" t="s">
        <v>48</v>
      </c>
      <c r="B58" s="348" t="s">
        <v>50</v>
      </c>
      <c r="C58" s="334">
        <v>1169</v>
      </c>
      <c r="D58" s="334">
        <v>123158512.60000001</v>
      </c>
      <c r="E58" s="334">
        <v>1840</v>
      </c>
      <c r="F58" s="334">
        <v>60341407.979999997</v>
      </c>
    </row>
    <row r="59" spans="1:6">
      <c r="A59" s="348" t="s">
        <v>48</v>
      </c>
      <c r="B59" s="348" t="s">
        <v>51</v>
      </c>
      <c r="C59" s="334">
        <v>3693</v>
      </c>
      <c r="D59" s="334">
        <v>164112796.46200001</v>
      </c>
      <c r="E59" s="334">
        <v>7760</v>
      </c>
      <c r="F59" s="334">
        <v>231466295.14700001</v>
      </c>
    </row>
    <row r="60" spans="1:6">
      <c r="A60" s="348" t="s">
        <v>48</v>
      </c>
      <c r="B60" s="348" t="s">
        <v>52</v>
      </c>
      <c r="C60" s="334">
        <v>2632</v>
      </c>
      <c r="D60" s="334">
        <v>129438958.84200001</v>
      </c>
      <c r="E60" s="334">
        <v>3332</v>
      </c>
      <c r="F60" s="334">
        <v>98057207.580000013</v>
      </c>
    </row>
    <row r="61" spans="1:6">
      <c r="A61" s="348" t="s">
        <v>48</v>
      </c>
      <c r="B61" s="348" t="s">
        <v>53</v>
      </c>
      <c r="C61" s="334">
        <v>10497</v>
      </c>
      <c r="D61" s="334">
        <v>925588408.76499987</v>
      </c>
      <c r="E61" s="334">
        <v>22016</v>
      </c>
      <c r="F61" s="334">
        <v>534208910.08700001</v>
      </c>
    </row>
    <row r="62" spans="1:6">
      <c r="A62" s="348" t="s">
        <v>48</v>
      </c>
      <c r="B62" s="348" t="s">
        <v>54</v>
      </c>
      <c r="C62" s="334">
        <v>535</v>
      </c>
      <c r="D62" s="334">
        <v>119860155.362</v>
      </c>
      <c r="E62" s="334">
        <v>641</v>
      </c>
      <c r="F62" s="334">
        <v>50221852.959999993</v>
      </c>
    </row>
    <row r="63" spans="1:6">
      <c r="A63" s="348" t="s">
        <v>48</v>
      </c>
      <c r="B63" s="348" t="s">
        <v>28</v>
      </c>
      <c r="C63" s="334">
        <v>1117</v>
      </c>
      <c r="D63" s="334">
        <v>149133904.90000001</v>
      </c>
      <c r="E63" s="334">
        <v>1075</v>
      </c>
      <c r="F63" s="334">
        <v>61098748.219999999</v>
      </c>
    </row>
    <row r="64" spans="1:6">
      <c r="A64" s="348" t="s">
        <v>55</v>
      </c>
      <c r="B64" s="348" t="s">
        <v>56</v>
      </c>
      <c r="C64" s="334">
        <v>0</v>
      </c>
      <c r="D64" s="334">
        <v>0</v>
      </c>
      <c r="E64" s="334">
        <v>0</v>
      </c>
      <c r="F64" s="334">
        <v>0</v>
      </c>
    </row>
    <row r="65" spans="1:6">
      <c r="A65" s="348" t="s">
        <v>55</v>
      </c>
      <c r="B65" s="348" t="s">
        <v>28</v>
      </c>
      <c r="C65" s="334">
        <v>59</v>
      </c>
      <c r="D65" s="334">
        <v>24848115.199999999</v>
      </c>
      <c r="E65" s="334">
        <v>49</v>
      </c>
      <c r="F65" s="334">
        <v>370952.37300000002</v>
      </c>
    </row>
    <row r="66" spans="1:6">
      <c r="A66" s="348" t="s">
        <v>55</v>
      </c>
      <c r="B66" s="348" t="s">
        <v>57</v>
      </c>
      <c r="C66" s="334">
        <v>12</v>
      </c>
      <c r="D66" s="334">
        <v>887069.76199999999</v>
      </c>
      <c r="E66" s="334">
        <v>336</v>
      </c>
      <c r="F66" s="334">
        <v>20623000.039999999</v>
      </c>
    </row>
    <row r="67" spans="1:6">
      <c r="A67" s="355" t="s">
        <v>55</v>
      </c>
      <c r="B67" s="355" t="s">
        <v>58</v>
      </c>
      <c r="C67" s="334">
        <v>0</v>
      </c>
      <c r="D67" s="334">
        <v>0</v>
      </c>
      <c r="E67" s="334">
        <v>5</v>
      </c>
      <c r="F67" s="334">
        <v>2346996</v>
      </c>
    </row>
    <row r="68" spans="1:6">
      <c r="A68" s="341" t="s">
        <v>55</v>
      </c>
      <c r="B68" s="341" t="s">
        <v>59</v>
      </c>
      <c r="C68" s="334">
        <v>75</v>
      </c>
      <c r="D68" s="334">
        <v>13067717.25</v>
      </c>
      <c r="E68" s="334">
        <v>249</v>
      </c>
      <c r="F68" s="334">
        <v>56697480.859999999</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860396513</v>
      </c>
      <c r="E73" s="476"/>
    </row>
    <row r="74" spans="1:6">
      <c r="A74" s="348" t="s">
        <v>63</v>
      </c>
      <c r="B74" s="348" t="s">
        <v>651</v>
      </c>
      <c r="C74" s="1307" t="s">
        <v>653</v>
      </c>
      <c r="D74" s="476">
        <v>53169258</v>
      </c>
      <c r="E74" s="476"/>
    </row>
    <row r="75" spans="1:6">
      <c r="A75" s="348" t="s">
        <v>64</v>
      </c>
      <c r="B75" s="348" t="s">
        <v>650</v>
      </c>
      <c r="C75" s="1307" t="s">
        <v>654</v>
      </c>
      <c r="D75" s="476">
        <v>386301241</v>
      </c>
      <c r="E75" s="476"/>
    </row>
    <row r="76" spans="1:6">
      <c r="A76" s="348" t="s">
        <v>64</v>
      </c>
      <c r="B76" s="348" t="s">
        <v>651</v>
      </c>
      <c r="C76" s="1307" t="s">
        <v>655</v>
      </c>
      <c r="D76" s="476">
        <v>13049723</v>
      </c>
      <c r="E76" s="476"/>
    </row>
    <row r="77" spans="1:6">
      <c r="A77" s="348" t="s">
        <v>65</v>
      </c>
      <c r="B77" s="348" t="s">
        <v>650</v>
      </c>
      <c r="C77" s="1307" t="s">
        <v>656</v>
      </c>
      <c r="D77" s="476">
        <v>1689515497</v>
      </c>
      <c r="E77" s="476"/>
    </row>
    <row r="78" spans="1:6">
      <c r="A78" s="341" t="s">
        <v>65</v>
      </c>
      <c r="B78" s="341" t="s">
        <v>651</v>
      </c>
      <c r="C78" s="341" t="s">
        <v>657</v>
      </c>
      <c r="D78" s="1308">
        <v>320029622</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13102498</v>
      </c>
      <c r="C83" s="476"/>
    </row>
    <row r="84" spans="1:6">
      <c r="A84" s="341" t="s">
        <v>336</v>
      </c>
      <c r="B84" s="1308">
        <v>9889923</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165745.50111458794</v>
      </c>
    </row>
    <row r="91" spans="1:6">
      <c r="A91" s="348" t="s">
        <v>67</v>
      </c>
      <c r="B91" s="334">
        <v>17135.169421992527</v>
      </c>
    </row>
    <row r="92" spans="1:6">
      <c r="A92" s="341" t="s">
        <v>68</v>
      </c>
      <c r="B92" s="342">
        <v>43641.692272477223</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142544</v>
      </c>
    </row>
    <row r="98" spans="1:6">
      <c r="A98" s="348" t="s">
        <v>71</v>
      </c>
      <c r="B98" s="334">
        <v>436</v>
      </c>
    </row>
    <row r="99" spans="1:6">
      <c r="A99" s="348" t="s">
        <v>72</v>
      </c>
      <c r="B99" s="334">
        <v>504</v>
      </c>
    </row>
    <row r="100" spans="1:6">
      <c r="A100" s="348" t="s">
        <v>73</v>
      </c>
      <c r="B100" s="334">
        <v>12353</v>
      </c>
    </row>
    <row r="101" spans="1:6">
      <c r="A101" s="348" t="s">
        <v>74</v>
      </c>
      <c r="B101" s="334">
        <v>483</v>
      </c>
    </row>
    <row r="102" spans="1:6">
      <c r="A102" s="348" t="s">
        <v>75</v>
      </c>
      <c r="B102" s="334">
        <v>6918</v>
      </c>
    </row>
    <row r="103" spans="1:6">
      <c r="A103" s="348" t="s">
        <v>76</v>
      </c>
      <c r="B103" s="334">
        <v>1961</v>
      </c>
    </row>
    <row r="104" spans="1:6">
      <c r="A104" s="348" t="s">
        <v>77</v>
      </c>
      <c r="B104" s="334">
        <v>38687</v>
      </c>
    </row>
    <row r="105" spans="1:6">
      <c r="A105" s="341" t="s">
        <v>78</v>
      </c>
      <c r="B105" s="341">
        <v>225</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2</v>
      </c>
    </row>
    <row r="111" spans="1:6">
      <c r="A111" s="1310" t="s">
        <v>641</v>
      </c>
      <c r="B111" s="1311">
        <v>2</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13</v>
      </c>
      <c r="C121" s="334">
        <v>0</v>
      </c>
    </row>
    <row r="122" spans="1:6">
      <c r="A122" s="348" t="s">
        <v>86</v>
      </c>
      <c r="B122" s="334">
        <v>2</v>
      </c>
      <c r="C122" s="334">
        <v>0</v>
      </c>
    </row>
    <row r="123" spans="1:6">
      <c r="A123" s="348" t="s">
        <v>87</v>
      </c>
      <c r="B123" s="334">
        <v>84</v>
      </c>
      <c r="C123" s="334">
        <v>260</v>
      </c>
    </row>
    <row r="124" spans="1:6">
      <c r="A124" s="341" t="s">
        <v>88</v>
      </c>
      <c r="B124" s="334">
        <v>0</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852</v>
      </c>
    </row>
    <row r="130" spans="1:6">
      <c r="A130" s="348" t="s">
        <v>294</v>
      </c>
      <c r="B130" s="334">
        <v>17</v>
      </c>
    </row>
    <row r="131" spans="1:6">
      <c r="A131" s="348" t="s">
        <v>295</v>
      </c>
      <c r="B131" s="334">
        <v>44</v>
      </c>
    </row>
    <row r="132" spans="1:6">
      <c r="A132" s="341" t="s">
        <v>296</v>
      </c>
      <c r="B132" s="342">
        <v>69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2266571.3717042441</v>
      </c>
      <c r="C3" s="43" t="s">
        <v>169</v>
      </c>
      <c r="D3" s="43"/>
      <c r="E3" s="154"/>
      <c r="F3" s="43"/>
      <c r="G3" s="43"/>
      <c r="H3" s="43"/>
      <c r="I3" s="43"/>
      <c r="J3" s="43"/>
      <c r="K3" s="96"/>
    </row>
    <row r="4" spans="1:11">
      <c r="A4" s="383" t="s">
        <v>170</v>
      </c>
      <c r="B4" s="49">
        <f>IF(ISERROR('SEAP template'!B78+'SEAP template'!C78),0,'SEAP template'!B78+'SEAP template'!C78)</f>
        <v>257922.2378090577</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2762.117777601477</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0.19707015713014234</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3945.9000747151254</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16616.323841698842</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0.23747130305759009</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29059.878000000001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29059.878000000001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0.19707015713014234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5726.8347236427662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613933.25651800004</v>
      </c>
      <c r="C5" s="17">
        <f>IF(ISERROR('Eigen informatie GS &amp; warmtenet'!B59),0,'Eigen informatie GS &amp; warmtenet'!B59)</f>
        <v>0</v>
      </c>
      <c r="D5" s="30">
        <f>(SUM(HH_hh_gas_kWh,HH_rest_gas_kWh)/1000)*0.902</f>
        <v>2021764.4919012422</v>
      </c>
      <c r="E5" s="17">
        <f>B46*B57</f>
        <v>72403.522226068337</v>
      </c>
      <c r="F5" s="17">
        <f>B51*B62</f>
        <v>85958.357836000054</v>
      </c>
      <c r="G5" s="18"/>
      <c r="H5" s="17"/>
      <c r="I5" s="17"/>
      <c r="J5" s="17">
        <f>B50*B61+C50*C61</f>
        <v>0</v>
      </c>
      <c r="K5" s="17"/>
      <c r="L5" s="17"/>
      <c r="M5" s="17"/>
      <c r="N5" s="17">
        <f>B48*B59+C48*C59</f>
        <v>120076.17910954395</v>
      </c>
      <c r="O5" s="17">
        <f>B69*B70*B71</f>
        <v>2208.1454981777665</v>
      </c>
      <c r="P5" s="17">
        <f>B77*B78*B79/1000-B77*B78*B79/1000/B80</f>
        <v>1611.6957740758085</v>
      </c>
    </row>
    <row r="6" spans="1:16">
      <c r="A6" s="16" t="s">
        <v>615</v>
      </c>
      <c r="B6" s="809">
        <f>kWh_PV_kleiner_dan_10kW</f>
        <v>17135.169421992527</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631068.42593999254</v>
      </c>
      <c r="C8" s="21">
        <f>C5</f>
        <v>0</v>
      </c>
      <c r="D8" s="21">
        <f>D5</f>
        <v>2021764.4919012422</v>
      </c>
      <c r="E8" s="21">
        <f>E5</f>
        <v>72403.522226068337</v>
      </c>
      <c r="F8" s="21">
        <f>F5</f>
        <v>85958.357836000054</v>
      </c>
      <c r="G8" s="21"/>
      <c r="H8" s="21"/>
      <c r="I8" s="21"/>
      <c r="J8" s="21">
        <f>J5</f>
        <v>0</v>
      </c>
      <c r="K8" s="21"/>
      <c r="L8" s="21">
        <f>L5</f>
        <v>0</v>
      </c>
      <c r="M8" s="21">
        <f>M5</f>
        <v>0</v>
      </c>
      <c r="N8" s="21">
        <f>N5</f>
        <v>120076.17910954395</v>
      </c>
      <c r="O8" s="21">
        <f>O5</f>
        <v>2208.1454981777665</v>
      </c>
      <c r="P8" s="21">
        <f>P5</f>
        <v>1611.6957740758085</v>
      </c>
    </row>
    <row r="9" spans="1:16">
      <c r="B9" s="19"/>
      <c r="C9" s="19"/>
      <c r="D9" s="258"/>
      <c r="E9" s="19"/>
      <c r="F9" s="19"/>
      <c r="G9" s="19"/>
      <c r="H9" s="19"/>
      <c r="I9" s="19"/>
      <c r="J9" s="19"/>
      <c r="K9" s="19"/>
      <c r="L9" s="19"/>
      <c r="M9" s="19"/>
      <c r="N9" s="19"/>
      <c r="O9" s="19"/>
      <c r="P9" s="19"/>
    </row>
    <row r="10" spans="1:16">
      <c r="A10" s="24" t="s">
        <v>213</v>
      </c>
      <c r="B10" s="25">
        <f ca="1">'EF ele_warmte'!B12</f>
        <v>0.19707015713014234</v>
      </c>
      <c r="C10" s="25">
        <f ca="1">'EF ele_warmte'!B22</f>
        <v>0.23747130305759009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124364.75385986592</v>
      </c>
      <c r="C12" s="23">
        <f ca="1">C10*C8</f>
        <v>0</v>
      </c>
      <c r="D12" s="23">
        <f>D8*D10</f>
        <v>408396.42736405093</v>
      </c>
      <c r="E12" s="23">
        <f>E10*E8</f>
        <v>16435.599545317513</v>
      </c>
      <c r="F12" s="23">
        <f>F10*F8</f>
        <v>22950.881542212017</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142544</v>
      </c>
      <c r="C18" s="166" t="s">
        <v>110</v>
      </c>
      <c r="D18" s="228"/>
      <c r="E18" s="15"/>
    </row>
    <row r="19" spans="1:7">
      <c r="A19" s="171" t="s">
        <v>71</v>
      </c>
      <c r="B19" s="37">
        <f>aantalw2001_ander</f>
        <v>436</v>
      </c>
      <c r="C19" s="166" t="s">
        <v>110</v>
      </c>
      <c r="D19" s="229"/>
      <c r="E19" s="15"/>
    </row>
    <row r="20" spans="1:7">
      <c r="A20" s="171" t="s">
        <v>72</v>
      </c>
      <c r="B20" s="37">
        <f>aantalw2001_propaan</f>
        <v>504</v>
      </c>
      <c r="C20" s="167">
        <f>IF(ISERROR(B20/SUM($B$20,$B$21,$B$22)*100),0,B20/SUM($B$20,$B$21,$B$22)*100)</f>
        <v>3.7781109445277363</v>
      </c>
      <c r="D20" s="229"/>
      <c r="E20" s="15"/>
    </row>
    <row r="21" spans="1:7">
      <c r="A21" s="171" t="s">
        <v>73</v>
      </c>
      <c r="B21" s="37">
        <f>aantalw2001_elektriciteit</f>
        <v>12353</v>
      </c>
      <c r="C21" s="167">
        <f>IF(ISERROR(B21/SUM($B$20,$B$21,$B$22)*100),0,B21/SUM($B$20,$B$21,$B$22)*100)</f>
        <v>92.601199400299848</v>
      </c>
      <c r="D21" s="229"/>
      <c r="E21" s="15"/>
    </row>
    <row r="22" spans="1:7">
      <c r="A22" s="171" t="s">
        <v>74</v>
      </c>
      <c r="B22" s="37">
        <f>aantalw2001_hout</f>
        <v>483</v>
      </c>
      <c r="C22" s="167">
        <f>IF(ISERROR(B22/SUM($B$20,$B$21,$B$22)*100),0,B22/SUM($B$20,$B$21,$B$22)*100)</f>
        <v>3.6206896551724141</v>
      </c>
      <c r="D22" s="229"/>
      <c r="E22" s="15"/>
    </row>
    <row r="23" spans="1:7">
      <c r="A23" s="171" t="s">
        <v>75</v>
      </c>
      <c r="B23" s="37">
        <f>aantalw2001_niet_gespec</f>
        <v>6918</v>
      </c>
      <c r="C23" s="166" t="s">
        <v>110</v>
      </c>
      <c r="D23" s="228"/>
      <c r="E23" s="15"/>
    </row>
    <row r="24" spans="1:7">
      <c r="A24" s="171" t="s">
        <v>76</v>
      </c>
      <c r="B24" s="37">
        <f>aantalw2001_steenkool</f>
        <v>1961</v>
      </c>
      <c r="C24" s="166" t="s">
        <v>110</v>
      </c>
      <c r="D24" s="229"/>
      <c r="E24" s="15"/>
    </row>
    <row r="25" spans="1:7">
      <c r="A25" s="171" t="s">
        <v>77</v>
      </c>
      <c r="B25" s="37">
        <f>aantalw2001_stookolie</f>
        <v>38687</v>
      </c>
      <c r="C25" s="166" t="s">
        <v>110</v>
      </c>
      <c r="D25" s="228"/>
      <c r="E25" s="52"/>
    </row>
    <row r="26" spans="1:7">
      <c r="A26" s="171" t="s">
        <v>78</v>
      </c>
      <c r="B26" s="37">
        <f>aantalw2001_WP</f>
        <v>225</v>
      </c>
      <c r="C26" s="166" t="s">
        <v>110</v>
      </c>
      <c r="D26" s="228"/>
      <c r="E26" s="15"/>
    </row>
    <row r="27" spans="1:7" s="15" customFormat="1">
      <c r="A27" s="171"/>
      <c r="B27" s="29"/>
      <c r="C27" s="36"/>
      <c r="D27" s="228"/>
    </row>
    <row r="28" spans="1:7" s="15" customFormat="1">
      <c r="A28" s="230" t="s">
        <v>836</v>
      </c>
      <c r="B28" s="37">
        <f>aantalHuishoudens2011</f>
        <v>234143</v>
      </c>
      <c r="C28" s="36"/>
      <c r="D28" s="228"/>
    </row>
    <row r="29" spans="1:7" s="15" customFormat="1">
      <c r="A29" s="230" t="s">
        <v>837</v>
      </c>
      <c r="B29" s="37">
        <f>SUM(HH_hh_gas_aantal,HH_rest_gas_aantal)</f>
        <v>180936</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180936</v>
      </c>
      <c r="C32" s="167">
        <f>IF(ISERROR(B32/SUM($B$32,$B$34,$B$35,$B$36,$B$38,$B$39)*100),0,B32/SUM($B$32,$B$34,$B$35,$B$36,$B$38,$B$39)*100)</f>
        <v>77.326381469293565</v>
      </c>
      <c r="D32" s="233"/>
      <c r="G32" s="15"/>
    </row>
    <row r="33" spans="1:7">
      <c r="A33" s="171" t="s">
        <v>71</v>
      </c>
      <c r="B33" s="34" t="s">
        <v>110</v>
      </c>
      <c r="C33" s="167"/>
      <c r="D33" s="233"/>
      <c r="G33" s="15"/>
    </row>
    <row r="34" spans="1:7">
      <c r="A34" s="171" t="s">
        <v>72</v>
      </c>
      <c r="B34" s="33">
        <f>IF((($B$28-$B$32-$B$39-$B$77-$B$38)*C20/100)&lt;0,0,($B$28-$B$32-$B$39-$B$77-$B$38)*C20/100)</f>
        <v>1848.2443178410797</v>
      </c>
      <c r="C34" s="167">
        <f>IF(ISERROR(B34/SUM($B$32,$B$34,$B$35,$B$36,$B$38,$B$39)*100),0,B34/SUM($B$32,$B$34,$B$35,$B$36,$B$38,$B$39)*100)</f>
        <v>0.78988175470792754</v>
      </c>
      <c r="D34" s="233"/>
      <c r="G34" s="15"/>
    </row>
    <row r="35" spans="1:7">
      <c r="A35" s="171" t="s">
        <v>73</v>
      </c>
      <c r="B35" s="33">
        <f>IF((($B$28-$B$32-$B$39-$B$77-$B$38)*C21/100)&lt;0,0,($B$28-$B$32-$B$39-$B$77-$B$38)*C21/100)</f>
        <v>45300.321544227889</v>
      </c>
      <c r="C35" s="167">
        <f>IF(ISERROR(B35/SUM($B$32,$B$34,$B$35,$B$36,$B$38,$B$39)*100),0,B35/SUM($B$32,$B$34,$B$35,$B$36,$B$38,$B$39)*100)</f>
        <v>19.359939118863149</v>
      </c>
      <c r="D35" s="233"/>
      <c r="G35" s="15"/>
    </row>
    <row r="36" spans="1:7">
      <c r="A36" s="171" t="s">
        <v>74</v>
      </c>
      <c r="B36" s="33">
        <f>IF((($B$28-$B$32-$B$39-$B$77-$B$38)*C22/100)&lt;0,0,($B$28-$B$32-$B$39-$B$77-$B$38)*C22/100)</f>
        <v>1771.2341379310349</v>
      </c>
      <c r="C36" s="167">
        <f>IF(ISERROR(B36/SUM($B$32,$B$34,$B$35,$B$36,$B$38,$B$39)*100),0,B36/SUM($B$32,$B$34,$B$35,$B$36,$B$38,$B$39)*100)</f>
        <v>0.75697001492843063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4134.1999999999971</v>
      </c>
      <c r="C39" s="167">
        <f>IF(ISERROR(B39/SUM($B$32,$B$34,$B$35,$B$36,$B$38,$B$39)*100),0,B39/SUM($B$32,$B$34,$B$35,$B$36,$B$38,$B$39)*100)</f>
        <v>1.7668276422069307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180936</v>
      </c>
      <c r="C44" s="34" t="s">
        <v>110</v>
      </c>
      <c r="D44" s="174"/>
    </row>
    <row r="45" spans="1:7">
      <c r="A45" s="171" t="s">
        <v>71</v>
      </c>
      <c r="B45" s="33" t="str">
        <f t="shared" si="0"/>
        <v>-</v>
      </c>
      <c r="C45" s="34" t="s">
        <v>110</v>
      </c>
      <c r="D45" s="174"/>
    </row>
    <row r="46" spans="1:7">
      <c r="A46" s="171" t="s">
        <v>72</v>
      </c>
      <c r="B46" s="33">
        <f t="shared" si="0"/>
        <v>1848.2443178410797</v>
      </c>
      <c r="C46" s="34" t="s">
        <v>110</v>
      </c>
      <c r="D46" s="174"/>
    </row>
    <row r="47" spans="1:7">
      <c r="A47" s="171" t="s">
        <v>73</v>
      </c>
      <c r="B47" s="33">
        <f t="shared" si="0"/>
        <v>45300.321544227889</v>
      </c>
      <c r="C47" s="34" t="s">
        <v>110</v>
      </c>
      <c r="D47" s="174"/>
    </row>
    <row r="48" spans="1:7">
      <c r="A48" s="171" t="s">
        <v>74</v>
      </c>
      <c r="B48" s="33">
        <f t="shared" si="0"/>
        <v>1771.2341379310349</v>
      </c>
      <c r="C48" s="33">
        <f>B48*10</f>
        <v>17712.34137931035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4134.1999999999971</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1113</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153</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1111624.328584</v>
      </c>
      <c r="C5" s="17">
        <f>IF(ISERROR('Eigen informatie GS &amp; warmtenet'!B60),0,'Eigen informatie GS &amp; warmtenet'!B60)</f>
        <v>0</v>
      </c>
      <c r="D5" s="30">
        <f>SUM(D6:D12)</f>
        <v>1536150.812385574</v>
      </c>
      <c r="E5" s="17">
        <f>SUM(E6:E12)</f>
        <v>13863.643399716155</v>
      </c>
      <c r="F5" s="17">
        <f>SUM(F6:F12)</f>
        <v>129049.96974226891</v>
      </c>
      <c r="G5" s="18"/>
      <c r="H5" s="17"/>
      <c r="I5" s="17"/>
      <c r="J5" s="17">
        <f>SUM(J6:J12)</f>
        <v>1.4111755769798291</v>
      </c>
      <c r="K5" s="17"/>
      <c r="L5" s="17"/>
      <c r="M5" s="17"/>
      <c r="N5" s="17">
        <f>SUM(N6:N12)</f>
        <v>56032.22774202354</v>
      </c>
      <c r="O5" s="17">
        <f>B38*B39*B40</f>
        <v>83.253433019299621</v>
      </c>
      <c r="P5" s="17">
        <f>B46*B47*B48/1000-B46*B47*B48/1000/B49</f>
        <v>3099.8091600832063</v>
      </c>
      <c r="R5" s="32"/>
    </row>
    <row r="6" spans="1:18">
      <c r="A6" s="32" t="s">
        <v>53</v>
      </c>
      <c r="B6" s="37">
        <f>B26</f>
        <v>534208.910087</v>
      </c>
      <c r="C6" s="33"/>
      <c r="D6" s="37">
        <f>IF(ISERROR(TER_kantoor_gas_kWh/1000),0,TER_kantoor_gas_kWh/1000)*0.902</f>
        <v>834880.74470602989</v>
      </c>
      <c r="E6" s="33">
        <f>$C$26*'E Balans VL '!I12/100/3.6*1000000</f>
        <v>4298.6078185995984</v>
      </c>
      <c r="F6" s="33">
        <f>$C$26*('E Balans VL '!L12+'E Balans VL '!N12)/100/3.6*1000000</f>
        <v>65312.658955951534</v>
      </c>
      <c r="G6" s="34"/>
      <c r="H6" s="33"/>
      <c r="I6" s="33"/>
      <c r="J6" s="33">
        <f>$C$26*('E Balans VL '!D12+'E Balans VL '!E12)/100/3.6*1000000</f>
        <v>0</v>
      </c>
      <c r="K6" s="33"/>
      <c r="L6" s="33"/>
      <c r="M6" s="33"/>
      <c r="N6" s="33">
        <f>$C$26*'E Balans VL '!Y12/100/3.6*1000000</f>
        <v>287.11098223025925</v>
      </c>
      <c r="O6" s="33"/>
      <c r="P6" s="33"/>
      <c r="R6" s="32"/>
    </row>
    <row r="7" spans="1:18">
      <c r="A7" s="32" t="s">
        <v>52</v>
      </c>
      <c r="B7" s="37">
        <f t="shared" ref="B7:B12" si="0">B27</f>
        <v>98057.207580000017</v>
      </c>
      <c r="C7" s="33"/>
      <c r="D7" s="37">
        <f>IF(ISERROR(TER_horeca_gas_kWh/1000),0,TER_horeca_gas_kWh/1000)*0.902</f>
        <v>116753.94087548401</v>
      </c>
      <c r="E7" s="33">
        <f>$C$27*'E Balans VL '!I9/100/3.6*1000000</f>
        <v>1052.8936230036538</v>
      </c>
      <c r="F7" s="33">
        <f>$C$27*('E Balans VL '!L9+'E Balans VL '!N9)/100/3.6*1000000</f>
        <v>11793.904312779843</v>
      </c>
      <c r="G7" s="34"/>
      <c r="H7" s="33"/>
      <c r="I7" s="33"/>
      <c r="J7" s="33">
        <f>$C$27*('E Balans VL '!D9+'E Balans VL '!E9)/100/3.6*1000000</f>
        <v>0</v>
      </c>
      <c r="K7" s="33"/>
      <c r="L7" s="33"/>
      <c r="M7" s="33"/>
      <c r="N7" s="33">
        <f>$C$27*'E Balans VL '!Y9/100/3.6*1000000</f>
        <v>14.700762805106717</v>
      </c>
      <c r="O7" s="33"/>
      <c r="P7" s="33"/>
      <c r="R7" s="32"/>
    </row>
    <row r="8" spans="1:18">
      <c r="A8" s="6" t="s">
        <v>51</v>
      </c>
      <c r="B8" s="37">
        <f t="shared" si="0"/>
        <v>231466.29514700003</v>
      </c>
      <c r="C8" s="33"/>
      <c r="D8" s="37">
        <f>IF(ISERROR(TER_handel_gas_kWh/1000),0,TER_handel_gas_kWh/1000)*0.902</f>
        <v>148029.74240872401</v>
      </c>
      <c r="E8" s="33">
        <f>$C$28*'E Balans VL '!I13/100/3.6*1000000</f>
        <v>6211.8467345571344</v>
      </c>
      <c r="F8" s="33">
        <f>$C$28*('E Balans VL '!L13+'E Balans VL '!N13)/100/3.6*1000000</f>
        <v>22089.018532188027</v>
      </c>
      <c r="G8" s="34"/>
      <c r="H8" s="33"/>
      <c r="I8" s="33"/>
      <c r="J8" s="33">
        <f>$C$28*('E Balans VL '!D13+'E Balans VL '!E13)/100/3.6*1000000</f>
        <v>0</v>
      </c>
      <c r="K8" s="33"/>
      <c r="L8" s="33"/>
      <c r="M8" s="33"/>
      <c r="N8" s="33">
        <f>$C$28*'E Balans VL '!Y13/100/3.6*1000000</f>
        <v>91.755871257272418</v>
      </c>
      <c r="O8" s="33"/>
      <c r="P8" s="33"/>
      <c r="R8" s="32"/>
    </row>
    <row r="9" spans="1:18">
      <c r="A9" s="32" t="s">
        <v>50</v>
      </c>
      <c r="B9" s="37">
        <f t="shared" si="0"/>
        <v>60341.407979999996</v>
      </c>
      <c r="C9" s="33"/>
      <c r="D9" s="37">
        <f>IF(ISERROR(TER_gezond_gas_kWh/1000),0,TER_gezond_gas_kWh/1000)*0.902</f>
        <v>111088.9783652</v>
      </c>
      <c r="E9" s="33">
        <f>$C$29*'E Balans VL '!I10/100/3.6*1000000</f>
        <v>113.09944657014974</v>
      </c>
      <c r="F9" s="33">
        <f>$C$29*('E Balans VL '!L10+'E Balans VL '!N10)/100/3.6*1000000</f>
        <v>4960.6143088803483</v>
      </c>
      <c r="G9" s="34"/>
      <c r="H9" s="33"/>
      <c r="I9" s="33"/>
      <c r="J9" s="33">
        <f>$C$29*('E Balans VL '!D10+'E Balans VL '!E10)/100/3.6*1000000</f>
        <v>0</v>
      </c>
      <c r="K9" s="33"/>
      <c r="L9" s="33"/>
      <c r="M9" s="33"/>
      <c r="N9" s="33">
        <f>$C$29*'E Balans VL '!Y10/100/3.6*1000000</f>
        <v>469.50117524370631</v>
      </c>
      <c r="O9" s="33"/>
      <c r="P9" s="33"/>
      <c r="R9" s="32"/>
    </row>
    <row r="10" spans="1:18">
      <c r="A10" s="32" t="s">
        <v>49</v>
      </c>
      <c r="B10" s="37">
        <f t="shared" si="0"/>
        <v>76229.906610000005</v>
      </c>
      <c r="C10" s="33"/>
      <c r="D10" s="37">
        <f>IF(ISERROR(TER_ander_gas_kWh/1000),0,TER_ander_gas_kWh/1000)*0.902</f>
        <v>82764.763673812005</v>
      </c>
      <c r="E10" s="33">
        <f>$C$30*'E Balans VL '!I14/100/3.6*1000000</f>
        <v>117.50917346502372</v>
      </c>
      <c r="F10" s="33">
        <f>$C$30*('E Balans VL '!L14+'E Balans VL '!N14)/100/3.6*1000000</f>
        <v>11834.714045625218</v>
      </c>
      <c r="G10" s="34"/>
      <c r="H10" s="33"/>
      <c r="I10" s="33"/>
      <c r="J10" s="33">
        <f>$C$30*('E Balans VL '!D14+'E Balans VL '!E14)/100/3.6*1000000</f>
        <v>1.2940830586547498</v>
      </c>
      <c r="K10" s="33"/>
      <c r="L10" s="33"/>
      <c r="M10" s="33"/>
      <c r="N10" s="33">
        <f>$C$30*'E Balans VL '!Y14/100/3.6*1000000</f>
        <v>50431.263063008351</v>
      </c>
      <c r="O10" s="33"/>
      <c r="P10" s="33"/>
      <c r="R10" s="32"/>
    </row>
    <row r="11" spans="1:18">
      <c r="A11" s="32" t="s">
        <v>54</v>
      </c>
      <c r="B11" s="37">
        <f t="shared" si="0"/>
        <v>50221.852959999997</v>
      </c>
      <c r="C11" s="33"/>
      <c r="D11" s="37">
        <f>IF(ISERROR(TER_onderwijs_gas_kWh/1000),0,TER_onderwijs_gas_kWh/1000)*0.902</f>
        <v>108113.860136524</v>
      </c>
      <c r="E11" s="33">
        <f>$C$31*'E Balans VL '!I11/100/3.6*1000000</f>
        <v>1281.0002685699039</v>
      </c>
      <c r="F11" s="33">
        <f>$C$31*('E Balans VL '!L11+'E Balans VL '!N11)/100/3.6*1000000</f>
        <v>6039.6505245213375</v>
      </c>
      <c r="G11" s="34"/>
      <c r="H11" s="33"/>
      <c r="I11" s="33"/>
      <c r="J11" s="33">
        <f>$C$31*('E Balans VL '!D11+'E Balans VL '!E11)/100/3.6*1000000</f>
        <v>0</v>
      </c>
      <c r="K11" s="33"/>
      <c r="L11" s="33"/>
      <c r="M11" s="33"/>
      <c r="N11" s="33">
        <f>$C$31*'E Balans VL '!Y11/100/3.6*1000000</f>
        <v>111.69217555926868</v>
      </c>
      <c r="O11" s="33"/>
      <c r="P11" s="33"/>
      <c r="R11" s="32"/>
    </row>
    <row r="12" spans="1:18">
      <c r="A12" s="32" t="s">
        <v>259</v>
      </c>
      <c r="B12" s="37">
        <f t="shared" si="0"/>
        <v>61098.748220000001</v>
      </c>
      <c r="C12" s="33"/>
      <c r="D12" s="37">
        <f>IF(ISERROR(TER_rest_gas_kWh/1000),0,TER_rest_gas_kWh/1000)*0.902</f>
        <v>134518.78221979999</v>
      </c>
      <c r="E12" s="33">
        <f>$C$32*'E Balans VL '!I8/100/3.6*1000000</f>
        <v>788.68633495069162</v>
      </c>
      <c r="F12" s="33">
        <f>$C$32*('E Balans VL '!L8+'E Balans VL '!N8)/100/3.6*1000000</f>
        <v>7019.4090623225948</v>
      </c>
      <c r="G12" s="34"/>
      <c r="H12" s="33"/>
      <c r="I12" s="33"/>
      <c r="J12" s="33">
        <f>$C$32*('E Balans VL '!D8+'E Balans VL '!E8)/100/3.6*1000000</f>
        <v>0.11709251832507919</v>
      </c>
      <c r="K12" s="33"/>
      <c r="L12" s="33"/>
      <c r="M12" s="33"/>
      <c r="N12" s="33">
        <f>$C$32*'E Balans VL '!Y8/100/3.6*1000000</f>
        <v>4626.2037119195747</v>
      </c>
      <c r="O12" s="33"/>
      <c r="P12" s="33"/>
      <c r="R12" s="32"/>
    </row>
    <row r="13" spans="1:18">
      <c r="A13" s="16" t="s">
        <v>482</v>
      </c>
      <c r="B13" s="247">
        <f ca="1">'lokale energieproductie'!N91+'lokale energieproductie'!N60</f>
        <v>27772.875</v>
      </c>
      <c r="C13" s="247">
        <f ca="1">'lokale energieproductie'!O91+'lokale energieproductie'!O60</f>
        <v>11434.89527027027</v>
      </c>
      <c r="D13" s="310">
        <f ca="1">('lokale energieproductie'!P60+'lokale energieproductie'!P91)*(-1)</f>
        <v>-22845.152027027027</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-56481.428571428572</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1139397.203584</v>
      </c>
      <c r="C16" s="21">
        <f t="shared" ca="1" si="1"/>
        <v>11434.89527027027</v>
      </c>
      <c r="D16" s="21">
        <f t="shared" ca="1" si="1"/>
        <v>1513305.660358547</v>
      </c>
      <c r="E16" s="21">
        <f t="shared" si="1"/>
        <v>13863.643399716155</v>
      </c>
      <c r="F16" s="21">
        <f t="shared" ca="1" si="1"/>
        <v>129049.96974226891</v>
      </c>
      <c r="G16" s="21">
        <f t="shared" si="1"/>
        <v>0</v>
      </c>
      <c r="H16" s="21">
        <f t="shared" si="1"/>
        <v>0</v>
      </c>
      <c r="I16" s="21">
        <f t="shared" si="1"/>
        <v>0</v>
      </c>
      <c r="J16" s="21">
        <f t="shared" si="1"/>
        <v>1.4111755769798291</v>
      </c>
      <c r="K16" s="21">
        <f t="shared" si="1"/>
        <v>0</v>
      </c>
      <c r="L16" s="21">
        <f t="shared" ca="1" si="1"/>
        <v>0</v>
      </c>
      <c r="M16" s="21">
        <f t="shared" si="1"/>
        <v>0</v>
      </c>
      <c r="N16" s="21">
        <f t="shared" ca="1" si="1"/>
        <v>0</v>
      </c>
      <c r="O16" s="21">
        <f>O5</f>
        <v>83.253433019299621</v>
      </c>
      <c r="P16" s="21">
        <f>P5</f>
        <v>3099.8091600832063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0.19707015713014234</v>
      </c>
      <c r="C18" s="25">
        <f ca="1">'EF ele_warmte'!B22</f>
        <v>0.23747130305759009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224541.18594394365</v>
      </c>
      <c r="C20" s="23">
        <f t="shared" ref="C20:P20" ca="1" si="2">C16*C18</f>
        <v>2715.4594801581547</v>
      </c>
      <c r="D20" s="23">
        <f t="shared" ca="1" si="2"/>
        <v>305687.74339242652</v>
      </c>
      <c r="E20" s="23">
        <f t="shared" si="2"/>
        <v>3147.047051735567</v>
      </c>
      <c r="F20" s="23">
        <f t="shared" ca="1" si="2"/>
        <v>34456.341921185798</v>
      </c>
      <c r="G20" s="23">
        <f t="shared" si="2"/>
        <v>0</v>
      </c>
      <c r="H20" s="23">
        <f t="shared" si="2"/>
        <v>0</v>
      </c>
      <c r="I20" s="23">
        <f t="shared" si="2"/>
        <v>0</v>
      </c>
      <c r="J20" s="23">
        <f t="shared" si="2"/>
        <v>0.49955615425085947</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534208.910087</v>
      </c>
      <c r="C26" s="39">
        <f>IF(ISERROR(B26*3.6/1000000/'E Balans VL '!Z12*100),0,B26*3.6/1000000/'E Balans VL '!Z12*100)</f>
        <v>11.332753282467358</v>
      </c>
      <c r="D26" s="237" t="s">
        <v>716</v>
      </c>
      <c r="F26" s="6"/>
    </row>
    <row r="27" spans="1:18">
      <c r="A27" s="231" t="s">
        <v>52</v>
      </c>
      <c r="B27" s="33">
        <f>IF(ISERROR(TER_horeca_ele_kWh/1000),0,TER_horeca_ele_kWh/1000)</f>
        <v>98057.207580000017</v>
      </c>
      <c r="C27" s="39">
        <f>IF(ISERROR(B27*3.6/1000000/'E Balans VL '!Z9*100),0,B27*3.6/1000000/'E Balans VL '!Z9*100)</f>
        <v>7.3845763711903682</v>
      </c>
      <c r="D27" s="237" t="s">
        <v>716</v>
      </c>
      <c r="F27" s="6"/>
    </row>
    <row r="28" spans="1:18">
      <c r="A28" s="171" t="s">
        <v>51</v>
      </c>
      <c r="B28" s="33">
        <f>IF(ISERROR(TER_handel_ele_kWh/1000),0,TER_handel_ele_kWh/1000)</f>
        <v>231466.29514700003</v>
      </c>
      <c r="C28" s="39">
        <f>IF(ISERROR(B28*3.6/1000000/'E Balans VL '!Z13*100),0,B28*3.6/1000000/'E Balans VL '!Z13*100)</f>
        <v>6.7186463990441956</v>
      </c>
      <c r="D28" s="237" t="s">
        <v>716</v>
      </c>
      <c r="F28" s="6"/>
    </row>
    <row r="29" spans="1:18">
      <c r="A29" s="231" t="s">
        <v>50</v>
      </c>
      <c r="B29" s="33">
        <f>IF(ISERROR(TER_gezond_ele_kWh/1000),0,TER_gezond_ele_kWh/1000)</f>
        <v>60341.407979999996</v>
      </c>
      <c r="C29" s="39">
        <f>IF(ISERROR(B29*3.6/1000000/'E Balans VL '!Z10*100),0,B29*3.6/1000000/'E Balans VL '!Z10*100)</f>
        <v>6.0855029548428847</v>
      </c>
      <c r="D29" s="237" t="s">
        <v>716</v>
      </c>
      <c r="F29" s="6"/>
    </row>
    <row r="30" spans="1:18">
      <c r="A30" s="231" t="s">
        <v>49</v>
      </c>
      <c r="B30" s="33">
        <f>IF(ISERROR(TER_ander_ele_kWh/1000),0,TER_ander_ele_kWh/1000)</f>
        <v>76229.906610000005</v>
      </c>
      <c r="C30" s="39">
        <f>IF(ISERROR(B30*3.6/1000000/'E Balans VL '!Z14*100),0,B30*3.6/1000000/'E Balans VL '!Z14*100)</f>
        <v>5.5315196911648261</v>
      </c>
      <c r="D30" s="237" t="s">
        <v>716</v>
      </c>
      <c r="F30" s="6"/>
    </row>
    <row r="31" spans="1:18">
      <c r="A31" s="231" t="s">
        <v>54</v>
      </c>
      <c r="B31" s="33">
        <f>IF(ISERROR(TER_onderwijs_ele_kWh/1000),0,TER_onderwijs_ele_kWh/1000)</f>
        <v>50221.852959999997</v>
      </c>
      <c r="C31" s="39">
        <f>IF(ISERROR(B31*3.6/1000000/'E Balans VL '!Z11*100),0,B31*3.6/1000000/'E Balans VL '!Z11*100)</f>
        <v>14.315273222681157</v>
      </c>
      <c r="D31" s="237" t="s">
        <v>716</v>
      </c>
    </row>
    <row r="32" spans="1:18">
      <c r="A32" s="231" t="s">
        <v>259</v>
      </c>
      <c r="B32" s="33">
        <f>IF(ISERROR(TER_rest_ele_kWh/1000),0,TER_rest_ele_kWh/1000)</f>
        <v>61098.748220000001</v>
      </c>
      <c r="C32" s="39">
        <f>IF(ISERROR(B32*3.6/1000000/'E Balans VL '!Z8*100),0,B32*3.6/1000000/'E Balans VL '!Z8*100)</f>
        <v>0.50050850018588666</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17</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59</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353277.36188600003</v>
      </c>
      <c r="C5" s="17">
        <f>IF(ISERROR('Eigen informatie GS &amp; warmtenet'!B61),0,'Eigen informatie GS &amp; warmtenet'!B61)</f>
        <v>0</v>
      </c>
      <c r="D5" s="30">
        <f>SUM(D6:D15)</f>
        <v>313449.00725045596</v>
      </c>
      <c r="E5" s="17">
        <f>SUM(E6:E15)</f>
        <v>20634.009439365167</v>
      </c>
      <c r="F5" s="17">
        <f>SUM(F6:F15)</f>
        <v>82506.394836593696</v>
      </c>
      <c r="G5" s="18"/>
      <c r="H5" s="17"/>
      <c r="I5" s="17"/>
      <c r="J5" s="17">
        <f>SUM(J6:J15)</f>
        <v>1186.4303432272263</v>
      </c>
      <c r="K5" s="17"/>
      <c r="L5" s="17"/>
      <c r="M5" s="17"/>
      <c r="N5" s="17">
        <f>SUM(N6:N15)</f>
        <v>18954.604628849615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635.71500000000003</v>
      </c>
      <c r="C7" s="33"/>
      <c r="D7" s="37">
        <f>IF( ISERROR(IND_nonf_gas_kWhh/1000),0,IND_nonf_gas_kWh/1000)*0.902</f>
        <v>0</v>
      </c>
      <c r="E7" s="33">
        <f>C29*'E Balans VL '!I17/100/3.6*1000000</f>
        <v>2.0363921211927578</v>
      </c>
      <c r="F7" s="33">
        <f>C29*'E Balans VL '!L17/100/3.6*1000000+C29*'E Balans VL '!N17/100/3.6*1000000</f>
        <v>32.880989634612433</v>
      </c>
      <c r="G7" s="34"/>
      <c r="H7" s="33"/>
      <c r="I7" s="33"/>
      <c r="J7" s="40">
        <f>C29*'E Balans VL '!D17/100/3.6*1000000+C29*'E Balans VL '!E17/100/3.6*1000000</f>
        <v>70.537309334385057</v>
      </c>
      <c r="K7" s="33"/>
      <c r="L7" s="33"/>
      <c r="M7" s="33"/>
      <c r="N7" s="33">
        <f>C29*'E Balans VL '!Y17/100/3.6*1000000</f>
        <v>0</v>
      </c>
      <c r="O7" s="33"/>
      <c r="P7" s="33"/>
      <c r="R7" s="32"/>
    </row>
    <row r="8" spans="1:18">
      <c r="A8" s="6" t="s">
        <v>35</v>
      </c>
      <c r="B8" s="37">
        <f t="shared" si="0"/>
        <v>110603.88208</v>
      </c>
      <c r="C8" s="33"/>
      <c r="D8" s="37">
        <f>IF( ISERROR(IND_metaal_Gas_kWH/1000),0,IND_metaal_Gas_kWH/1000)*0.902</f>
        <v>8727.958693300001</v>
      </c>
      <c r="E8" s="33">
        <f>C30*'E Balans VL '!I18/100/3.6*1000000</f>
        <v>797.92938014757829</v>
      </c>
      <c r="F8" s="33">
        <f>C30*'E Balans VL '!L18/100/3.6*1000000+C30*'E Balans VL '!N18/100/3.6*1000000</f>
        <v>10461.087852042338</v>
      </c>
      <c r="G8" s="34"/>
      <c r="H8" s="33"/>
      <c r="I8" s="33"/>
      <c r="J8" s="40">
        <f>C30*'E Balans VL '!D18/100/3.6*1000000+C30*'E Balans VL '!E18/100/3.6*1000000</f>
        <v>111.24602733713526</v>
      </c>
      <c r="K8" s="33"/>
      <c r="L8" s="33"/>
      <c r="M8" s="33"/>
      <c r="N8" s="33">
        <f>C30*'E Balans VL '!Y18/100/3.6*1000000</f>
        <v>1398.3256984729626</v>
      </c>
      <c r="O8" s="33"/>
      <c r="P8" s="33"/>
      <c r="R8" s="32"/>
    </row>
    <row r="9" spans="1:18">
      <c r="A9" s="6" t="s">
        <v>32</v>
      </c>
      <c r="B9" s="37">
        <f t="shared" si="0"/>
        <v>56905.196284999998</v>
      </c>
      <c r="C9" s="33"/>
      <c r="D9" s="37">
        <f>IF( ISERROR(IND_andere_gas_kWh/1000),0,IND_andere_gas_kWh/1000)*0.902</f>
        <v>31018.78743018</v>
      </c>
      <c r="E9" s="33">
        <f>C31*'E Balans VL '!I19/100/3.6*1000000</f>
        <v>15769.190808377309</v>
      </c>
      <c r="F9" s="33">
        <f>C31*'E Balans VL '!L19/100/3.6*1000000+C31*'E Balans VL '!N19/100/3.6*1000000</f>
        <v>47163.149654084911</v>
      </c>
      <c r="G9" s="34"/>
      <c r="H9" s="33"/>
      <c r="I9" s="33"/>
      <c r="J9" s="40">
        <f>C31*'E Balans VL '!D19/100/3.6*1000000+C31*'E Balans VL '!E19/100/3.6*1000000</f>
        <v>0</v>
      </c>
      <c r="K9" s="33"/>
      <c r="L9" s="33"/>
      <c r="M9" s="33"/>
      <c r="N9" s="33">
        <f>C31*'E Balans VL '!Y19/100/3.6*1000000</f>
        <v>4130.6212243898781</v>
      </c>
      <c r="O9" s="33"/>
      <c r="P9" s="33"/>
      <c r="R9" s="32"/>
    </row>
    <row r="10" spans="1:18">
      <c r="A10" s="6" t="s">
        <v>40</v>
      </c>
      <c r="B10" s="37">
        <f t="shared" si="0"/>
        <v>94304.452039999989</v>
      </c>
      <c r="C10" s="33"/>
      <c r="D10" s="37">
        <f>IF( ISERROR(IND_voed_gas_kWh/1000),0,IND_voed_gas_kWh/1000)*0.902</f>
        <v>20918.297803040001</v>
      </c>
      <c r="E10" s="33">
        <f>C32*'E Balans VL '!I20/100/3.6*1000000</f>
        <v>166.95082307666092</v>
      </c>
      <c r="F10" s="33">
        <f>C32*'E Balans VL '!L20/100/3.6*1000000+C32*'E Balans VL '!N20/100/3.6*1000000</f>
        <v>5093.2762230210647</v>
      </c>
      <c r="G10" s="34"/>
      <c r="H10" s="33"/>
      <c r="I10" s="33"/>
      <c r="J10" s="40">
        <f>C32*'E Balans VL '!D20/100/3.6*1000000+C32*'E Balans VL '!E20/100/3.6*1000000</f>
        <v>0</v>
      </c>
      <c r="K10" s="33"/>
      <c r="L10" s="33"/>
      <c r="M10" s="33"/>
      <c r="N10" s="33">
        <f>C32*'E Balans VL '!Y20/100/3.6*1000000</f>
        <v>5479.808875598711</v>
      </c>
      <c r="O10" s="33"/>
      <c r="P10" s="33"/>
      <c r="R10" s="32"/>
    </row>
    <row r="11" spans="1:18">
      <c r="A11" s="6" t="s">
        <v>39</v>
      </c>
      <c r="B11" s="37">
        <f t="shared" si="0"/>
        <v>1491.5423740000001</v>
      </c>
      <c r="C11" s="33"/>
      <c r="D11" s="37">
        <f>IF( ISERROR(IND_textiel_gas_kWh/1000),0,IND_textiel_gas_kWh/1000)*0.902</f>
        <v>1284.3465015479999</v>
      </c>
      <c r="E11" s="33">
        <f>C33*'E Balans VL '!I21/100/3.6*1000000</f>
        <v>5.2578416829461077</v>
      </c>
      <c r="F11" s="33">
        <f>C33*'E Balans VL '!L21/100/3.6*1000000+C33*'E Balans VL '!N21/100/3.6*1000000</f>
        <v>43.778999071704185</v>
      </c>
      <c r="G11" s="34"/>
      <c r="H11" s="33"/>
      <c r="I11" s="33"/>
      <c r="J11" s="40">
        <f>C33*'E Balans VL '!D21/100/3.6*1000000+C33*'E Balans VL '!E21/100/3.6*1000000</f>
        <v>0</v>
      </c>
      <c r="K11" s="33"/>
      <c r="L11" s="33"/>
      <c r="M11" s="33"/>
      <c r="N11" s="33">
        <f>C33*'E Balans VL '!Y21/100/3.6*1000000</f>
        <v>65.717143489702892</v>
      </c>
      <c r="O11" s="33"/>
      <c r="P11" s="33"/>
      <c r="R11" s="32"/>
    </row>
    <row r="12" spans="1:18">
      <c r="A12" s="6" t="s">
        <v>36</v>
      </c>
      <c r="B12" s="37">
        <f t="shared" si="0"/>
        <v>22368.789408000001</v>
      </c>
      <c r="C12" s="33"/>
      <c r="D12" s="37">
        <f>IF( ISERROR(IND_min_gas_kWh/1000),0,IND_min_gas_kWh/1000)*0.902</f>
        <v>0</v>
      </c>
      <c r="E12" s="33">
        <f>C34*'E Balans VL '!I22/100/3.6*1000000</f>
        <v>985.04169529628848</v>
      </c>
      <c r="F12" s="33">
        <f>C34*'E Balans VL '!L22/100/3.6*1000000+C34*'E Balans VL '!N22/100/3.6*1000000</f>
        <v>8747.1000346054007</v>
      </c>
      <c r="G12" s="34"/>
      <c r="H12" s="33"/>
      <c r="I12" s="33"/>
      <c r="J12" s="40">
        <f>C34*'E Balans VL '!D22/100/3.6*1000000+C34*'E Balans VL '!E22/100/3.6*1000000</f>
        <v>6.7919593606964304</v>
      </c>
      <c r="K12" s="33"/>
      <c r="L12" s="33"/>
      <c r="M12" s="33"/>
      <c r="N12" s="33">
        <f>C34*'E Balans VL '!Y22/100/3.6*1000000</f>
        <v>5533.3606115868806</v>
      </c>
      <c r="O12" s="33"/>
      <c r="P12" s="33"/>
      <c r="R12" s="32"/>
    </row>
    <row r="13" spans="1:18">
      <c r="A13" s="6" t="s">
        <v>38</v>
      </c>
      <c r="B13" s="37">
        <f t="shared" si="0"/>
        <v>4489.8211200000005</v>
      </c>
      <c r="C13" s="33"/>
      <c r="D13" s="37">
        <f>IF( ISERROR(IND_papier_gas_kWh/1000),0,IND_papier_gas_kWh/1000)*0.902</f>
        <v>6365.5677332719997</v>
      </c>
      <c r="E13" s="33">
        <f>C35*'E Balans VL '!I23/100/3.6*1000000</f>
        <v>6.6060685830867714</v>
      </c>
      <c r="F13" s="33">
        <f>C35*'E Balans VL '!L23/100/3.6*1000000+C35*'E Balans VL '!N23/100/3.6*1000000</f>
        <v>48.073890985720332</v>
      </c>
      <c r="G13" s="34"/>
      <c r="H13" s="33"/>
      <c r="I13" s="33"/>
      <c r="J13" s="40">
        <f>C35*'E Balans VL '!D23/100/3.6*1000000+C35*'E Balans VL '!E23/100/3.6*1000000</f>
        <v>491.21160812731836</v>
      </c>
      <c r="K13" s="33"/>
      <c r="L13" s="33"/>
      <c r="M13" s="33"/>
      <c r="N13" s="33">
        <f>C35*'E Balans VL '!Y23/100/3.6*1000000</f>
        <v>-40.673932164586311</v>
      </c>
      <c r="O13" s="33"/>
      <c r="P13" s="33"/>
      <c r="R13" s="32"/>
    </row>
    <row r="14" spans="1:18">
      <c r="A14" s="6" t="s">
        <v>33</v>
      </c>
      <c r="B14" s="37">
        <f t="shared" si="0"/>
        <v>1149.995379</v>
      </c>
      <c r="C14" s="33"/>
      <c r="D14" s="37">
        <f>IF( ISERROR(IND_chemie_gas_kWh/1000),0,IND_chemie_gas_kWh/1000)*0.902</f>
        <v>587.05836371600003</v>
      </c>
      <c r="E14" s="33">
        <f>C36*'E Balans VL '!I24/100/3.6*1000000</f>
        <v>2.6010579163203209</v>
      </c>
      <c r="F14" s="33">
        <f>C36*'E Balans VL '!L24/100/3.6*1000000+C36*'E Balans VL '!N24/100/3.6*1000000</f>
        <v>13.577962327769489</v>
      </c>
      <c r="G14" s="34"/>
      <c r="H14" s="33"/>
      <c r="I14" s="33"/>
      <c r="J14" s="40">
        <f>C36*'E Balans VL '!D24/100/3.6*1000000+C36*'E Balans VL '!E24/100/3.6*1000000</f>
        <v>0</v>
      </c>
      <c r="K14" s="33"/>
      <c r="L14" s="33"/>
      <c r="M14" s="33"/>
      <c r="N14" s="33">
        <f>C36*'E Balans VL '!Y24/100/3.6*1000000</f>
        <v>0.63167524893784777</v>
      </c>
      <c r="O14" s="33"/>
      <c r="P14" s="33"/>
      <c r="R14" s="32"/>
    </row>
    <row r="15" spans="1:18">
      <c r="A15" s="6" t="s">
        <v>269</v>
      </c>
      <c r="B15" s="37">
        <f t="shared" si="0"/>
        <v>61327.968200000003</v>
      </c>
      <c r="C15" s="33"/>
      <c r="D15" s="37">
        <f>IF( ISERROR(IND_rest_gas_kWh/1000),0,IND_rest_gas_kWh/1000)*0.902</f>
        <v>244546.99072539998</v>
      </c>
      <c r="E15" s="33">
        <f>C37*'E Balans VL '!I15/100/3.6*1000000</f>
        <v>2898.3953721637881</v>
      </c>
      <c r="F15" s="33">
        <f>C37*'E Balans VL '!L15/100/3.6*1000000+C37*'E Balans VL '!N15/100/3.6*1000000</f>
        <v>10903.469230820176</v>
      </c>
      <c r="G15" s="34"/>
      <c r="H15" s="33"/>
      <c r="I15" s="33"/>
      <c r="J15" s="40">
        <f>C37*'E Balans VL '!D15/100/3.6*1000000+C37*'E Balans VL '!E15/100/3.6*1000000</f>
        <v>506.64343906769125</v>
      </c>
      <c r="K15" s="33"/>
      <c r="L15" s="33"/>
      <c r="M15" s="33"/>
      <c r="N15" s="33">
        <f>C37*'E Balans VL '!Y15/100/3.6*1000000</f>
        <v>2386.8133322271333</v>
      </c>
      <c r="O15" s="33"/>
      <c r="P15" s="33"/>
      <c r="R15" s="32"/>
    </row>
    <row r="16" spans="1:18">
      <c r="A16" s="16" t="s">
        <v>482</v>
      </c>
      <c r="B16" s="247">
        <f>'lokale energieproductie'!N90+'lokale energieproductie'!N59</f>
        <v>3627</v>
      </c>
      <c r="C16" s="247">
        <f>'lokale energieproductie'!O90+'lokale energieproductie'!O59</f>
        <v>5181.4285714285716</v>
      </c>
      <c r="D16" s="310">
        <f>('lokale energieproductie'!P59+'lokale energieproductie'!P90)*(-1)</f>
        <v>-10362.857142857143</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356904.36188600003</v>
      </c>
      <c r="C18" s="21">
        <f>C5+C16</f>
        <v>5181.4285714285716</v>
      </c>
      <c r="D18" s="21">
        <f>MAX((D5+D16),0)</f>
        <v>303086.15010759881</v>
      </c>
      <c r="E18" s="21">
        <f>MAX((E5+E16),0)</f>
        <v>20634.009439365167</v>
      </c>
      <c r="F18" s="21">
        <f>MAX((F5+F16),0)</f>
        <v>82506.394836593696</v>
      </c>
      <c r="G18" s="21"/>
      <c r="H18" s="21"/>
      <c r="I18" s="21"/>
      <c r="J18" s="21">
        <f>MAX((J5+J16),0)</f>
        <v>1186.4303432272263</v>
      </c>
      <c r="K18" s="21"/>
      <c r="L18" s="21">
        <f>MAX((L5+L16),0)</f>
        <v>0</v>
      </c>
      <c r="M18" s="21"/>
      <c r="N18" s="21">
        <f>MAX((N5+N16),0)</f>
        <v>18954.604628849615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0.19707015713014234</v>
      </c>
      <c r="C20" s="25">
        <f ca="1">'EF ele_warmte'!B22</f>
        <v>0.23747130305759009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70335.198677307213</v>
      </c>
      <c r="C22" s="23">
        <f ca="1">C18*C20</f>
        <v>1230.4405945569704</v>
      </c>
      <c r="D22" s="23">
        <f>D18*D20</f>
        <v>61223.40232173496</v>
      </c>
      <c r="E22" s="23">
        <f>E18*E20</f>
        <v>4683.920142735893</v>
      </c>
      <c r="F22" s="23">
        <f>F18*F20</f>
        <v>22029.207421370516</v>
      </c>
      <c r="G22" s="23"/>
      <c r="H22" s="23"/>
      <c r="I22" s="23"/>
      <c r="J22" s="23">
        <f>J18*J20</f>
        <v>419.9963415024381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635.71500000000003</v>
      </c>
      <c r="C29" s="39">
        <f>IF(ISERROR(B29*3.6/1000000/'E Balans VL '!Z17*100),0,B29*3.6/1000000/'E Balans VL '!Z17*100)</f>
        <v>0.15564659916381818</v>
      </c>
      <c r="D29" s="237" t="s">
        <v>716</v>
      </c>
    </row>
    <row r="30" spans="1:18">
      <c r="A30" s="171" t="s">
        <v>35</v>
      </c>
      <c r="B30" s="37">
        <f>IF( ISERROR(IND_metaal_ele_kWh/1000),0,IND_metaal_ele_kWh/1000)</f>
        <v>110603.88208</v>
      </c>
      <c r="C30" s="39">
        <f>IF(ISERROR(B30*3.6/1000000/'E Balans VL '!Z18*100),0,B30*3.6/1000000/'E Balans VL '!Z18*100)</f>
        <v>6.3849895319689463</v>
      </c>
      <c r="D30" s="237" t="s">
        <v>716</v>
      </c>
    </row>
    <row r="31" spans="1:18">
      <c r="A31" s="6" t="s">
        <v>32</v>
      </c>
      <c r="B31" s="37">
        <f>IF( ISERROR(IND_ander_ele_kWh/1000),0,IND_ander_ele_kWh/1000)</f>
        <v>56905.196284999998</v>
      </c>
      <c r="C31" s="39">
        <f>IF(ISERROR(B31*3.6/1000000/'E Balans VL '!Z19*100),0,B31*3.6/1000000/'E Balans VL '!Z19*100)</f>
        <v>2.8621469220838667</v>
      </c>
      <c r="D31" s="237" t="s">
        <v>716</v>
      </c>
    </row>
    <row r="32" spans="1:18">
      <c r="A32" s="171" t="s">
        <v>40</v>
      </c>
      <c r="B32" s="37">
        <f>IF( ISERROR(IND_voed_ele_kWh/1000),0,IND_voed_ele_kWh/1000)</f>
        <v>94304.452039999989</v>
      </c>
      <c r="C32" s="39">
        <f>IF(ISERROR(B32*3.6/1000000/'E Balans VL '!Z20*100),0,B32*3.6/1000000/'E Balans VL '!Z20*100)</f>
        <v>3.1408982561637675</v>
      </c>
      <c r="D32" s="237" t="s">
        <v>716</v>
      </c>
    </row>
    <row r="33" spans="1:5">
      <c r="A33" s="171" t="s">
        <v>39</v>
      </c>
      <c r="B33" s="37">
        <f>IF( ISERROR(IND_textiel_ele_kWh/1000),0,IND_textiel_ele_kWh/1000)</f>
        <v>1491.5423740000001</v>
      </c>
      <c r="C33" s="39">
        <f>IF(ISERROR(B33*3.6/1000000/'E Balans VL '!Z21*100),0,B33*3.6/1000000/'E Balans VL '!Z21*100)</f>
        <v>0.23255043961003169</v>
      </c>
      <c r="D33" s="237" t="s">
        <v>716</v>
      </c>
    </row>
    <row r="34" spans="1:5">
      <c r="A34" s="171" t="s">
        <v>36</v>
      </c>
      <c r="B34" s="37">
        <f>IF( ISERROR(IND_min_ele_kWh/1000),0,IND_min_ele_kWh/1000)</f>
        <v>22368.789408000001</v>
      </c>
      <c r="C34" s="39">
        <f>IF(ISERROR(B34*3.6/1000000/'E Balans VL '!Z22*100),0,B34*3.6/1000000/'E Balans VL '!Z22*100)</f>
        <v>4.172534760837177</v>
      </c>
      <c r="D34" s="237" t="s">
        <v>716</v>
      </c>
    </row>
    <row r="35" spans="1:5">
      <c r="A35" s="171" t="s">
        <v>38</v>
      </c>
      <c r="B35" s="37">
        <f>IF( ISERROR(IND_papier_ele_kWh/1000),0,IND_papier_ele_kWh/1000)</f>
        <v>4489.8211200000005</v>
      </c>
      <c r="C35" s="39">
        <f>IF(ISERROR(B35*3.6/1000000/'E Balans VL '!Z22*100),0,B35*3.6/1000000/'E Balans VL '!Z22*100)</f>
        <v>0.83750328868673063</v>
      </c>
      <c r="D35" s="237" t="s">
        <v>716</v>
      </c>
    </row>
    <row r="36" spans="1:5">
      <c r="A36" s="171" t="s">
        <v>33</v>
      </c>
      <c r="B36" s="37">
        <f>IF( ISERROR(IND_chemie_ele_kWh/1000),0,IND_chemie_ele_kWh/1000)</f>
        <v>1149.995379</v>
      </c>
      <c r="C36" s="39">
        <f>IF(ISERROR(B36*3.6/1000000/'E Balans VL '!Z24*100),0,B36*3.6/1000000/'E Balans VL '!Z24*100)</f>
        <v>3.0332544967003477E-2</v>
      </c>
      <c r="D36" s="237" t="s">
        <v>716</v>
      </c>
    </row>
    <row r="37" spans="1:5">
      <c r="A37" s="171" t="s">
        <v>269</v>
      </c>
      <c r="B37" s="37">
        <f>IF( ISERROR(IND_rest_ele_kWh/1000),0,IND_rest_ele_kWh/1000)</f>
        <v>61327.968200000003</v>
      </c>
      <c r="C37" s="39">
        <f>IF(ISERROR(B37*3.6/1000000/'E Balans VL '!Z15*100),0,B37*3.6/1000000/'E Balans VL '!Z15*100)</f>
        <v>0.47852586133484987</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23498.443350999998</v>
      </c>
      <c r="C5" s="17">
        <f>'Eigen informatie GS &amp; warmtenet'!B62</f>
        <v>0</v>
      </c>
      <c r="D5" s="30">
        <f>IF(ISERROR(SUM(LB_lb_gas_kWh,LB_rest_gas_kWh)/1000),0,SUM(LB_lb_gas_kWh,LB_rest_gas_kWh)/1000)*0.902</f>
        <v>18862.208104036003</v>
      </c>
      <c r="E5" s="17">
        <f>B17*'E Balans VL '!I25/3.6*1000000/100</f>
        <v>733.37866815404982</v>
      </c>
      <c r="F5" s="17">
        <f>B17*('E Balans VL '!L25/3.6*1000000+'E Balans VL '!N25/3.6*1000000)/100</f>
        <v>83046.101889767553</v>
      </c>
      <c r="G5" s="18"/>
      <c r="H5" s="17"/>
      <c r="I5" s="17"/>
      <c r="J5" s="17">
        <f>('E Balans VL '!D25+'E Balans VL '!E25)/3.6*1000000*landbouw!B17/100</f>
        <v>6473.9841034769661</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23498.443350999998</v>
      </c>
      <c r="C8" s="21">
        <f>C5+C6</f>
        <v>0</v>
      </c>
      <c r="D8" s="21">
        <f>MAX((D5+D6),0)</f>
        <v>18862.208104036003</v>
      </c>
      <c r="E8" s="21">
        <f>MAX((E5+E6),0)</f>
        <v>733.37866815404982</v>
      </c>
      <c r="F8" s="21">
        <f>MAX((F5+F6),0)</f>
        <v>83046.101889767553</v>
      </c>
      <c r="G8" s="21"/>
      <c r="H8" s="21"/>
      <c r="I8" s="21"/>
      <c r="J8" s="21">
        <f>MAX((J5+J6),0)</f>
        <v>6473.9841034769661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0.19707015713014234</v>
      </c>
      <c r="C10" s="31">
        <f ca="1">'EF ele_warmte'!B22</f>
        <v>0.23747130305759009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4630.841923495318</v>
      </c>
      <c r="C12" s="23">
        <f ca="1">C8*C10</f>
        <v>0</v>
      </c>
      <c r="D12" s="23">
        <f>D8*D10</f>
        <v>3810.1660370152727</v>
      </c>
      <c r="E12" s="23">
        <f>E8*E10</f>
        <v>166.47695767096931</v>
      </c>
      <c r="F12" s="23">
        <f>F8*F10</f>
        <v>22173.309204567937</v>
      </c>
      <c r="G12" s="23"/>
      <c r="H12" s="23"/>
      <c r="I12" s="23"/>
      <c r="J12" s="23">
        <f>J8*J10</f>
        <v>2291.7903726308459</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3.4932120569243059</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74.171851678370643</v>
      </c>
      <c r="C26" s="247">
        <f>B26*'GWP N2O_CH4'!B5</f>
        <v>1557.6088852457835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6.6285772835388022</v>
      </c>
      <c r="C27" s="247">
        <f>B27*'GWP N2O_CH4'!B5</f>
        <v>139.20012295431485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0.94017387110067985</v>
      </c>
      <c r="C28" s="247">
        <f>B28*'GWP N2O_CH4'!B4</f>
        <v>291.45390004121077</v>
      </c>
      <c r="D28" s="50"/>
    </row>
    <row r="29" spans="1:4">
      <c r="A29" s="41" t="s">
        <v>276</v>
      </c>
      <c r="B29" s="247">
        <f>B34*'ha_N2O bodem landbouw'!B4</f>
        <v>8.4704092074379407</v>
      </c>
      <c r="C29" s="247">
        <f>B29*'GWP N2O_CH4'!B4</f>
        <v>2625.8268543057616</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1.8574082329024363E-3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5.7402969057049995E-3</v>
      </c>
      <c r="C5" s="463" t="s">
        <v>210</v>
      </c>
      <c r="D5" s="448">
        <f>SUM(D6:D11)</f>
        <v>2.2495197094615952E-2</v>
      </c>
      <c r="E5" s="448">
        <f>SUM(E6:E11)</f>
        <v>1.977011791444035E-2</v>
      </c>
      <c r="F5" s="461" t="s">
        <v>210</v>
      </c>
      <c r="G5" s="448">
        <f>SUM(G6:G11)</f>
        <v>8.4950784121690326</v>
      </c>
      <c r="H5" s="448">
        <f>SUM(H6:H11)</f>
        <v>1.7177967462755406</v>
      </c>
      <c r="I5" s="463" t="s">
        <v>210</v>
      </c>
      <c r="J5" s="463" t="s">
        <v>210</v>
      </c>
      <c r="K5" s="463" t="s">
        <v>210</v>
      </c>
      <c r="L5" s="463" t="s">
        <v>210</v>
      </c>
      <c r="M5" s="448">
        <f>SUM(M6:M11)</f>
        <v>0.60271764463510402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1.6820751829149999E-3</v>
      </c>
      <c r="C6" s="449"/>
      <c r="D6" s="917">
        <f>vkm_2011_GW_PW*SUMIFS(TableVerdeelsleutelVkm[CNG],TableVerdeelsleutelVkm[Voertuigtype],"Lichte voertuigen")*SUMIFS(TableECFTransport[EnergieConsumptieFactor (PJ per km)],TableECFTransport[Index],CONCATENATE($A6,"_CNG_CNG"))</f>
        <v>5.8488619230342839E-3</v>
      </c>
      <c r="E6" s="917">
        <f>vkm_2011_GW_PW*SUMIFS(TableVerdeelsleutelVkm[LPG],TableVerdeelsleutelVkm[Voertuigtype],"Lichte voertuigen")*SUMIFS(TableECFTransport[EnergieConsumptieFactor (PJ per km)],TableECFTransport[Index],CONCATENATE($A6,"_LPG_LPG"))</f>
        <v>4.6079395650228004E-3</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1.2543347281436237</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0.43893384389556828</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0.10118343996175286</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0.50298921551430209</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1.2671919214409647E-4</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2.9003929614296219E-2</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7.5521892615500001E-4</v>
      </c>
      <c r="C8" s="449"/>
      <c r="D8" s="451">
        <f>vkm_2011_NGW_PW*SUMIFS(TableVerdeelsleutelVkm[CNG],TableVerdeelsleutelVkm[Voertuigtype],"Lichte voertuigen")*SUMIFS(TableECFTransport[EnergieConsumptieFactor (PJ per km)],TableECFTransport[Index],CONCATENATE($A8,"_CNG_CNG"))</f>
        <v>4.6473893538256797E-3</v>
      </c>
      <c r="E8" s="451">
        <f>vkm_2011_NGW_PW*SUMIFS(TableVerdeelsleutelVkm[LPG],TableVerdeelsleutelVkm[Voertuigtype],"Lichte voertuigen")*SUMIFS(TableECFTransport[EnergieConsumptieFactor (PJ per km)],TableECFTransport[Index],CONCATENATE($A8,"_LPG_LPG"))</f>
        <v>3.3943227718257253E-3</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0.85741982587871124</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0.3398423963044967</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7.178390998215238E-2</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0.15793686885262245</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3.7543463602524523E-5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9.1069855385826071E-3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3.3030027966349999E-3</v>
      </c>
      <c r="C10" s="449"/>
      <c r="D10" s="451">
        <f>vkm_2011_SW_PW*SUMIFS(TableVerdeelsleutelVkm[CNG],TableVerdeelsleutelVkm[Voertuigtype],"Lichte voertuigen")*SUMIFS(TableECFTransport[EnergieConsumptieFactor (PJ per km)],TableECFTransport[Index],CONCATENATE($A10,"_CNG_CNG"))</f>
        <v>1.1998945817755988E-2</v>
      </c>
      <c r="E10" s="451">
        <f>vkm_2011_SW_PW*SUMIFS(TableVerdeelsleutelVkm[LPG],TableVerdeelsleutelVkm[Voertuigtype],"Lichte voertuigen")*SUMIFS(TableECFTransport[EnergieConsumptieFactor (PJ per km)],TableECFTransport[Index],CONCATENATE($A10,"_LPG_LPG"))</f>
        <v>1.1767855577591824E-2</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2.8455302857813356</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0.93807125375639344</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0.22574625102540735</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2.8768674879984362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7.8498966333563809E-4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0.16589312851291263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1594.5269182513887</v>
      </c>
      <c r="C14" s="21"/>
      <c r="D14" s="21">
        <f t="shared" ref="D14:M14" si="0">((D5)*10^9/3600)+D12</f>
        <v>6248.6658596155421</v>
      </c>
      <c r="E14" s="21">
        <f t="shared" si="0"/>
        <v>5491.6994206778745</v>
      </c>
      <c r="F14" s="21"/>
      <c r="G14" s="21">
        <f t="shared" si="0"/>
        <v>2359744.003380287</v>
      </c>
      <c r="H14" s="21">
        <f t="shared" si="0"/>
        <v>477165.76285431685</v>
      </c>
      <c r="I14" s="21"/>
      <c r="J14" s="21"/>
      <c r="K14" s="21"/>
      <c r="L14" s="21"/>
      <c r="M14" s="21">
        <f t="shared" si="0"/>
        <v>167421.56795419558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0.19707015713014234</v>
      </c>
      <c r="C16" s="56">
        <f ca="1">'EF ele_warmte'!B22</f>
        <v>0.23747130305759009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314.23367032804282</v>
      </c>
      <c r="C18" s="23"/>
      <c r="D18" s="23">
        <f t="shared" ref="D18:M18" si="1">D14*D16</f>
        <v>1262.2305036423395</v>
      </c>
      <c r="E18" s="23">
        <f t="shared" si="1"/>
        <v>1246.6157684938776</v>
      </c>
      <c r="F18" s="23"/>
      <c r="G18" s="23">
        <f t="shared" si="1"/>
        <v>630051.6489025366</v>
      </c>
      <c r="H18" s="23">
        <f t="shared" si="1"/>
        <v>118814.2749507249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0.12550312287000001</v>
      </c>
      <c r="C50" s="321">
        <f t="shared" ref="C50:P50" si="2">SUM(C51:C52)</f>
        <v>0</v>
      </c>
      <c r="D50" s="321">
        <f t="shared" si="2"/>
        <v>0</v>
      </c>
      <c r="E50" s="321">
        <f t="shared" si="2"/>
        <v>0</v>
      </c>
      <c r="F50" s="321">
        <f t="shared" si="2"/>
        <v>0</v>
      </c>
      <c r="G50" s="321">
        <f t="shared" si="2"/>
        <v>0.16084708236616982</v>
      </c>
      <c r="H50" s="321">
        <f t="shared" si="2"/>
        <v>0</v>
      </c>
      <c r="I50" s="321">
        <f t="shared" si="2"/>
        <v>0</v>
      </c>
      <c r="J50" s="321">
        <f t="shared" si="2"/>
        <v>0</v>
      </c>
      <c r="K50" s="321">
        <f t="shared" si="2"/>
        <v>0</v>
      </c>
      <c r="L50" s="321">
        <f t="shared" si="2"/>
        <v>0</v>
      </c>
      <c r="M50" s="321">
        <f t="shared" si="2"/>
        <v>8.9398986346637174E-3</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0.16084708236616982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8.9398986346637174E-3</v>
      </c>
      <c r="N51" s="323"/>
      <c r="O51" s="323"/>
      <c r="P51" s="326"/>
    </row>
    <row r="52" spans="1:18">
      <c r="A52" s="4" t="s">
        <v>329</v>
      </c>
      <c r="B52" s="918">
        <f>vkm_2011_tram*SUMIFS(TableECFTransport[EnergieConsumptieFactor (PJ per km)],TableECFTransport[Index],"Tram_gemiddeld_Electric_Electric")</f>
        <v>0.12550312287000001</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34861.978575000001</v>
      </c>
      <c r="C54" s="21">
        <f t="shared" ref="C54:P54" si="3">(C50)*10^9/3600</f>
        <v>0</v>
      </c>
      <c r="D54" s="21">
        <f t="shared" si="3"/>
        <v>0</v>
      </c>
      <c r="E54" s="21">
        <f t="shared" si="3"/>
        <v>0</v>
      </c>
      <c r="F54" s="21">
        <f t="shared" si="3"/>
        <v>0</v>
      </c>
      <c r="G54" s="21">
        <f t="shared" si="3"/>
        <v>44679.745101713837</v>
      </c>
      <c r="H54" s="21">
        <f t="shared" si="3"/>
        <v>0</v>
      </c>
      <c r="I54" s="21">
        <f t="shared" si="3"/>
        <v>0</v>
      </c>
      <c r="J54" s="21">
        <f t="shared" si="3"/>
        <v>0</v>
      </c>
      <c r="K54" s="21">
        <f t="shared" si="3"/>
        <v>0</v>
      </c>
      <c r="L54" s="21">
        <f t="shared" si="3"/>
        <v>0</v>
      </c>
      <c r="M54" s="21">
        <f t="shared" si="3"/>
        <v>2483.3051762954774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0.19707015713014234</v>
      </c>
      <c r="C56" s="56">
        <f ca="1">'EF ele_warmte'!B22</f>
        <v>0.23747130305759009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6870.255595642906</v>
      </c>
      <c r="C58" s="23">
        <f t="shared" ref="C58:P58" ca="1" si="4">C54*C56</f>
        <v>0</v>
      </c>
      <c r="D58" s="23">
        <f t="shared" si="4"/>
        <v>0</v>
      </c>
      <c r="E58" s="23">
        <f t="shared" si="4"/>
        <v>0</v>
      </c>
      <c r="F58" s="23">
        <f t="shared" si="4"/>
        <v>0</v>
      </c>
      <c r="G58" s="23">
        <f t="shared" si="4"/>
        <v>11929.491942157596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5"/>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165745.50111458794</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60776.86169446975</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11631.375</v>
      </c>
      <c r="C8" s="574">
        <f>B101</f>
        <v>13673.850384165728</v>
      </c>
      <c r="D8" s="575"/>
      <c r="E8" s="575">
        <f>E101</f>
        <v>0</v>
      </c>
      <c r="F8" s="576"/>
      <c r="G8" s="577"/>
      <c r="H8" s="575">
        <f>I101</f>
        <v>0</v>
      </c>
      <c r="I8" s="575">
        <f>G101+F101</f>
        <v>0</v>
      </c>
      <c r="J8" s="575">
        <f>H101+D101+C101</f>
        <v>0</v>
      </c>
      <c r="K8" s="575"/>
      <c r="L8" s="575"/>
      <c r="M8" s="575"/>
      <c r="N8" s="578"/>
      <c r="O8" s="579">
        <f>C8*$C$12+D8*$D$12+E8*$E$12+F8*$F$12+G8*$G$12+H8*$H$12+I8*$I$12+J8*$J$12</f>
        <v>2762.117777601477</v>
      </c>
      <c r="P8" s="1291"/>
      <c r="Q8" s="1292"/>
      <c r="S8" s="569"/>
      <c r="T8" s="1288"/>
      <c r="U8" s="1288"/>
    </row>
    <row r="9" spans="1:21" s="560" customFormat="1" ht="17.45" customHeight="1" thickBot="1">
      <c r="A9" s="580" t="s">
        <v>247</v>
      </c>
      <c r="B9" s="581">
        <f>N89+'Eigen informatie GS &amp; warmtenet'!B12</f>
        <v>19768.5</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56481.428571428572</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257922.2378090577</v>
      </c>
      <c r="C10" s="589">
        <f t="shared" ref="C10:L10" si="0">SUM(C8:C9)</f>
        <v>13673.850384165728</v>
      </c>
      <c r="D10" s="589">
        <f t="shared" si="0"/>
        <v>0</v>
      </c>
      <c r="E10" s="589">
        <f t="shared" si="0"/>
        <v>0</v>
      </c>
      <c r="F10" s="589">
        <f t="shared" si="0"/>
        <v>0</v>
      </c>
      <c r="G10" s="589">
        <f t="shared" si="0"/>
        <v>0</v>
      </c>
      <c r="H10" s="589">
        <f t="shared" si="0"/>
        <v>0</v>
      </c>
      <c r="I10" s="589">
        <f t="shared" si="0"/>
        <v>0</v>
      </c>
      <c r="J10" s="589">
        <f t="shared" si="0"/>
        <v>56481.428571428572</v>
      </c>
      <c r="K10" s="589">
        <f t="shared" si="0"/>
        <v>0</v>
      </c>
      <c r="L10" s="589">
        <f t="shared" si="0"/>
        <v>0</v>
      </c>
      <c r="M10" s="1004"/>
      <c r="N10" s="1004"/>
      <c r="O10" s="590">
        <f>SUM(O4:O9)</f>
        <v>2762.117777601477</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16616.323841698842</v>
      </c>
      <c r="C17" s="605">
        <f>B102</f>
        <v>19534.158785718442</v>
      </c>
      <c r="D17" s="606"/>
      <c r="E17" s="606">
        <f>E102</f>
        <v>0</v>
      </c>
      <c r="F17" s="607"/>
      <c r="G17" s="608"/>
      <c r="H17" s="605">
        <f>I102</f>
        <v>0</v>
      </c>
      <c r="I17" s="606">
        <f>G102+F102</f>
        <v>0</v>
      </c>
      <c r="J17" s="606">
        <f>H102+D102+C102</f>
        <v>0</v>
      </c>
      <c r="K17" s="606"/>
      <c r="L17" s="606"/>
      <c r="M17" s="606"/>
      <c r="N17" s="1005"/>
      <c r="O17" s="609">
        <f>C17*$C$22+E17*$E$22+H17*$H$22+I17*$I$22+J17*$J$22+D17*$D$22+F17*$F$22+G17*$G$22+K17*$K$22+L17*$L$22</f>
        <v>3945.9000747151254</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16616.323841698842</v>
      </c>
      <c r="C20" s="588">
        <f>SUM(C17:C19)</f>
        <v>19534.158785718442</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3945.9000747151254</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51">
      <c r="A28" s="618"/>
      <c r="B28" s="817">
        <v>11002</v>
      </c>
      <c r="C28" s="817">
        <v>2018</v>
      </c>
      <c r="D28" s="666" t="s">
        <v>886</v>
      </c>
      <c r="E28" s="665" t="s">
        <v>887</v>
      </c>
      <c r="F28" s="665" t="s">
        <v>888</v>
      </c>
      <c r="G28" s="665" t="s">
        <v>889</v>
      </c>
      <c r="H28" s="665" t="s">
        <v>890</v>
      </c>
      <c r="I28" s="665" t="s">
        <v>887</v>
      </c>
      <c r="J28" s="816">
        <v>39370</v>
      </c>
      <c r="K28" s="816">
        <v>39448</v>
      </c>
      <c r="L28" s="665" t="s">
        <v>891</v>
      </c>
      <c r="M28" s="665">
        <v>220</v>
      </c>
      <c r="N28" s="665">
        <v>990</v>
      </c>
      <c r="O28" s="665">
        <v>1414.2857142857142</v>
      </c>
      <c r="P28" s="665">
        <v>2828.5714285714289</v>
      </c>
      <c r="Q28" s="665">
        <v>0</v>
      </c>
      <c r="R28" s="665">
        <v>0</v>
      </c>
      <c r="S28" s="665">
        <v>0</v>
      </c>
      <c r="T28" s="665">
        <v>0</v>
      </c>
      <c r="U28" s="665">
        <v>0</v>
      </c>
      <c r="V28" s="665">
        <v>0</v>
      </c>
      <c r="W28" s="665">
        <v>0</v>
      </c>
      <c r="X28" s="665">
        <v>1500</v>
      </c>
      <c r="Y28" s="665" t="s">
        <v>50</v>
      </c>
      <c r="Z28" s="667" t="s">
        <v>155</v>
      </c>
    </row>
    <row r="29" spans="1:26" s="619" customFormat="1" ht="25.5">
      <c r="A29" s="618"/>
      <c r="B29" s="817">
        <v>11002</v>
      </c>
      <c r="C29" s="817">
        <v>2170</v>
      </c>
      <c r="D29" s="666" t="s">
        <v>892</v>
      </c>
      <c r="E29" s="665" t="s">
        <v>893</v>
      </c>
      <c r="F29" s="665" t="s">
        <v>894</v>
      </c>
      <c r="G29" s="665" t="s">
        <v>889</v>
      </c>
      <c r="H29" s="665" t="s">
        <v>890</v>
      </c>
      <c r="I29" s="665" t="s">
        <v>893</v>
      </c>
      <c r="J29" s="816">
        <v>39797</v>
      </c>
      <c r="K29" s="816">
        <v>39812</v>
      </c>
      <c r="L29" s="665" t="s">
        <v>891</v>
      </c>
      <c r="M29" s="665">
        <v>806</v>
      </c>
      <c r="N29" s="665">
        <v>3627</v>
      </c>
      <c r="O29" s="665">
        <v>5181.4285714285716</v>
      </c>
      <c r="P29" s="665">
        <v>10362.857142857143</v>
      </c>
      <c r="Q29" s="665">
        <v>0</v>
      </c>
      <c r="R29" s="665">
        <v>0</v>
      </c>
      <c r="S29" s="665">
        <v>0</v>
      </c>
      <c r="T29" s="665">
        <v>0</v>
      </c>
      <c r="U29" s="665">
        <v>0</v>
      </c>
      <c r="V29" s="665">
        <v>0</v>
      </c>
      <c r="W29" s="665">
        <v>0</v>
      </c>
      <c r="X29" s="665">
        <v>500</v>
      </c>
      <c r="Y29" s="665" t="s">
        <v>40</v>
      </c>
      <c r="Z29" s="667" t="s">
        <v>388</v>
      </c>
    </row>
    <row r="30" spans="1:26" s="619" customFormat="1" ht="51">
      <c r="A30" s="618"/>
      <c r="B30" s="817">
        <v>11002</v>
      </c>
      <c r="C30" s="817">
        <v>2020</v>
      </c>
      <c r="D30" s="666" t="s">
        <v>895</v>
      </c>
      <c r="E30" s="665" t="s">
        <v>896</v>
      </c>
      <c r="F30" s="665" t="s">
        <v>897</v>
      </c>
      <c r="G30" s="665" t="s">
        <v>889</v>
      </c>
      <c r="H30" s="665" t="s">
        <v>890</v>
      </c>
      <c r="I30" s="665" t="s">
        <v>896</v>
      </c>
      <c r="J30" s="816">
        <v>40483</v>
      </c>
      <c r="K30" s="816">
        <v>40603</v>
      </c>
      <c r="L30" s="665" t="s">
        <v>891</v>
      </c>
      <c r="M30" s="665">
        <v>834</v>
      </c>
      <c r="N30" s="665">
        <v>3753</v>
      </c>
      <c r="O30" s="665">
        <v>5361.4285714285716</v>
      </c>
      <c r="P30" s="665">
        <v>10722.857142857143</v>
      </c>
      <c r="Q30" s="665">
        <v>0</v>
      </c>
      <c r="R30" s="665">
        <v>0</v>
      </c>
      <c r="S30" s="665">
        <v>0</v>
      </c>
      <c r="T30" s="665">
        <v>0</v>
      </c>
      <c r="U30" s="665">
        <v>0</v>
      </c>
      <c r="V30" s="665">
        <v>0</v>
      </c>
      <c r="W30" s="665">
        <v>0</v>
      </c>
      <c r="X30" s="665">
        <v>1500</v>
      </c>
      <c r="Y30" s="665" t="s">
        <v>50</v>
      </c>
      <c r="Z30" s="667" t="s">
        <v>155</v>
      </c>
    </row>
    <row r="31" spans="1:26" s="619" customFormat="1" ht="51">
      <c r="A31" s="618"/>
      <c r="B31" s="817">
        <v>11002</v>
      </c>
      <c r="C31" s="817">
        <v>2018</v>
      </c>
      <c r="D31" s="666" t="s">
        <v>898</v>
      </c>
      <c r="E31" s="665" t="s">
        <v>899</v>
      </c>
      <c r="F31" s="665" t="s">
        <v>900</v>
      </c>
      <c r="G31" s="665" t="s">
        <v>889</v>
      </c>
      <c r="H31" s="665" t="s">
        <v>890</v>
      </c>
      <c r="I31" s="665" t="s">
        <v>899</v>
      </c>
      <c r="J31" s="816">
        <v>40470</v>
      </c>
      <c r="K31" s="816">
        <v>40756</v>
      </c>
      <c r="L31" s="665" t="s">
        <v>891</v>
      </c>
      <c r="M31" s="665">
        <v>60</v>
      </c>
      <c r="N31" s="665">
        <v>270</v>
      </c>
      <c r="O31" s="665">
        <v>385.71428571428572</v>
      </c>
      <c r="P31" s="665">
        <v>771.42857142857144</v>
      </c>
      <c r="Q31" s="665">
        <v>0</v>
      </c>
      <c r="R31" s="665">
        <v>0</v>
      </c>
      <c r="S31" s="665">
        <v>0</v>
      </c>
      <c r="T31" s="665">
        <v>0</v>
      </c>
      <c r="U31" s="665">
        <v>0</v>
      </c>
      <c r="V31" s="665">
        <v>0</v>
      </c>
      <c r="W31" s="665">
        <v>0</v>
      </c>
      <c r="X31" s="665">
        <v>1500</v>
      </c>
      <c r="Y31" s="665" t="s">
        <v>50</v>
      </c>
      <c r="Z31" s="667" t="s">
        <v>155</v>
      </c>
    </row>
    <row r="32" spans="1:26" s="619" customFormat="1" ht="63.75">
      <c r="A32" s="618"/>
      <c r="B32" s="817">
        <v>11002</v>
      </c>
      <c r="C32" s="817">
        <v>2170</v>
      </c>
      <c r="D32" s="666" t="s">
        <v>901</v>
      </c>
      <c r="E32" s="665" t="s">
        <v>902</v>
      </c>
      <c r="F32" s="665" t="s">
        <v>903</v>
      </c>
      <c r="G32" s="665" t="s">
        <v>889</v>
      </c>
      <c r="H32" s="665" t="s">
        <v>890</v>
      </c>
      <c r="I32" s="665" t="s">
        <v>904</v>
      </c>
      <c r="J32" s="816">
        <v>41023</v>
      </c>
      <c r="K32" s="816">
        <v>40942</v>
      </c>
      <c r="L32" s="665" t="s">
        <v>891</v>
      </c>
      <c r="M32" s="665">
        <v>70</v>
      </c>
      <c r="N32" s="665">
        <v>315.00000000000006</v>
      </c>
      <c r="O32" s="665">
        <v>450.00000000000011</v>
      </c>
      <c r="P32" s="665">
        <v>900.00000000000023</v>
      </c>
      <c r="Q32" s="665">
        <v>0</v>
      </c>
      <c r="R32" s="665">
        <v>0</v>
      </c>
      <c r="S32" s="665">
        <v>0</v>
      </c>
      <c r="T32" s="665">
        <v>0</v>
      </c>
      <c r="U32" s="665">
        <v>0</v>
      </c>
      <c r="V32" s="665">
        <v>0</v>
      </c>
      <c r="W32" s="665">
        <v>0</v>
      </c>
      <c r="X32" s="665">
        <v>1600</v>
      </c>
      <c r="Y32" s="665" t="s">
        <v>49</v>
      </c>
      <c r="Z32" s="667" t="s">
        <v>155</v>
      </c>
    </row>
    <row r="33" spans="1:26" s="619" customFormat="1" ht="63.75">
      <c r="A33" s="618"/>
      <c r="B33" s="817">
        <v>11002</v>
      </c>
      <c r="C33" s="817">
        <v>2610</v>
      </c>
      <c r="D33" s="666" t="s">
        <v>901</v>
      </c>
      <c r="E33" s="665" t="s">
        <v>902</v>
      </c>
      <c r="F33" s="665" t="s">
        <v>905</v>
      </c>
      <c r="G33" s="665" t="s">
        <v>889</v>
      </c>
      <c r="H33" s="665" t="s">
        <v>890</v>
      </c>
      <c r="I33" s="665" t="s">
        <v>906</v>
      </c>
      <c r="J33" s="816">
        <v>40963</v>
      </c>
      <c r="K33" s="816">
        <v>41153</v>
      </c>
      <c r="L33" s="665" t="s">
        <v>891</v>
      </c>
      <c r="M33" s="665">
        <v>70</v>
      </c>
      <c r="N33" s="665">
        <v>315.00000000000006</v>
      </c>
      <c r="O33" s="665">
        <v>450.00000000000011</v>
      </c>
      <c r="P33" s="665">
        <v>900.00000000000023</v>
      </c>
      <c r="Q33" s="665">
        <v>0</v>
      </c>
      <c r="R33" s="665">
        <v>0</v>
      </c>
      <c r="S33" s="665">
        <v>0</v>
      </c>
      <c r="T33" s="665">
        <v>0</v>
      </c>
      <c r="U33" s="665">
        <v>0</v>
      </c>
      <c r="V33" s="665">
        <v>0</v>
      </c>
      <c r="W33" s="665">
        <v>0</v>
      </c>
      <c r="X33" s="665">
        <v>1600</v>
      </c>
      <c r="Y33" s="665" t="s">
        <v>49</v>
      </c>
      <c r="Z33" s="667" t="s">
        <v>155</v>
      </c>
    </row>
    <row r="34" spans="1:26" s="619" customFormat="1" ht="63.75">
      <c r="A34" s="618"/>
      <c r="B34" s="817">
        <v>11002</v>
      </c>
      <c r="C34" s="817">
        <v>2018</v>
      </c>
      <c r="D34" s="666" t="s">
        <v>901</v>
      </c>
      <c r="E34" s="665" t="s">
        <v>902</v>
      </c>
      <c r="F34" s="665" t="s">
        <v>907</v>
      </c>
      <c r="G34" s="665" t="s">
        <v>889</v>
      </c>
      <c r="H34" s="665" t="s">
        <v>890</v>
      </c>
      <c r="I34" s="665" t="s">
        <v>908</v>
      </c>
      <c r="J34" s="816">
        <v>40963</v>
      </c>
      <c r="K34" s="816">
        <v>41183</v>
      </c>
      <c r="L34" s="665" t="s">
        <v>891</v>
      </c>
      <c r="M34" s="665">
        <v>199</v>
      </c>
      <c r="N34" s="665">
        <v>895.5</v>
      </c>
      <c r="O34" s="665">
        <v>1279.2857142857142</v>
      </c>
      <c r="P34" s="665">
        <v>2558.5714285714289</v>
      </c>
      <c r="Q34" s="665">
        <v>0</v>
      </c>
      <c r="R34" s="665">
        <v>0</v>
      </c>
      <c r="S34" s="665">
        <v>0</v>
      </c>
      <c r="T34" s="665">
        <v>0</v>
      </c>
      <c r="U34" s="665">
        <v>0</v>
      </c>
      <c r="V34" s="665">
        <v>0</v>
      </c>
      <c r="W34" s="665">
        <v>0</v>
      </c>
      <c r="X34" s="665">
        <v>1600</v>
      </c>
      <c r="Y34" s="665" t="s">
        <v>49</v>
      </c>
      <c r="Z34" s="667" t="s">
        <v>155</v>
      </c>
    </row>
    <row r="35" spans="1:26" s="619" customFormat="1" ht="63.75">
      <c r="A35" s="618"/>
      <c r="B35" s="817">
        <v>11002</v>
      </c>
      <c r="C35" s="817">
        <v>2660</v>
      </c>
      <c r="D35" s="666" t="s">
        <v>901</v>
      </c>
      <c r="E35" s="665" t="s">
        <v>902</v>
      </c>
      <c r="F35" s="665" t="s">
        <v>909</v>
      </c>
      <c r="G35" s="665" t="s">
        <v>889</v>
      </c>
      <c r="H35" s="665" t="s">
        <v>890</v>
      </c>
      <c r="I35" s="665" t="s">
        <v>910</v>
      </c>
      <c r="J35" s="816">
        <v>41257</v>
      </c>
      <c r="K35" s="816">
        <v>41183</v>
      </c>
      <c r="L35" s="665" t="s">
        <v>911</v>
      </c>
      <c r="M35" s="665">
        <v>70</v>
      </c>
      <c r="N35" s="665">
        <v>315.00000000000006</v>
      </c>
      <c r="O35" s="665">
        <v>450.00000000000011</v>
      </c>
      <c r="P35" s="665">
        <v>900.00000000000023</v>
      </c>
      <c r="Q35" s="665">
        <v>0</v>
      </c>
      <c r="R35" s="665">
        <v>0</v>
      </c>
      <c r="S35" s="665">
        <v>0</v>
      </c>
      <c r="T35" s="665">
        <v>0</v>
      </c>
      <c r="U35" s="665">
        <v>0</v>
      </c>
      <c r="V35" s="665">
        <v>0</v>
      </c>
      <c r="W35" s="665">
        <v>0</v>
      </c>
      <c r="X35" s="665">
        <v>1600</v>
      </c>
      <c r="Y35" s="665" t="s">
        <v>49</v>
      </c>
      <c r="Z35" s="667" t="s">
        <v>155</v>
      </c>
    </row>
    <row r="36" spans="1:26" s="619" customFormat="1" ht="63.75">
      <c r="A36" s="618"/>
      <c r="B36" s="817">
        <v>11002</v>
      </c>
      <c r="C36" s="817">
        <v>2140</v>
      </c>
      <c r="D36" s="666" t="s">
        <v>901</v>
      </c>
      <c r="E36" s="665" t="s">
        <v>902</v>
      </c>
      <c r="F36" s="665" t="s">
        <v>912</v>
      </c>
      <c r="G36" s="665" t="s">
        <v>889</v>
      </c>
      <c r="H36" s="665" t="s">
        <v>890</v>
      </c>
      <c r="I36" s="665" t="s">
        <v>913</v>
      </c>
      <c r="J36" s="816">
        <v>41753</v>
      </c>
      <c r="K36" s="816">
        <v>41629</v>
      </c>
      <c r="L36" s="665" t="s">
        <v>891</v>
      </c>
      <c r="M36" s="665">
        <v>70</v>
      </c>
      <c r="N36" s="665">
        <v>315.00000000000006</v>
      </c>
      <c r="O36" s="665">
        <v>450.00000000000011</v>
      </c>
      <c r="P36" s="665">
        <v>900.00000000000023</v>
      </c>
      <c r="Q36" s="665">
        <v>0</v>
      </c>
      <c r="R36" s="665">
        <v>0</v>
      </c>
      <c r="S36" s="665">
        <v>0</v>
      </c>
      <c r="T36" s="665">
        <v>0</v>
      </c>
      <c r="U36" s="665">
        <v>0</v>
      </c>
      <c r="V36" s="665">
        <v>0</v>
      </c>
      <c r="W36" s="665">
        <v>0</v>
      </c>
      <c r="X36" s="665">
        <v>1600</v>
      </c>
      <c r="Y36" s="665" t="s">
        <v>49</v>
      </c>
      <c r="Z36" s="667" t="s">
        <v>155</v>
      </c>
    </row>
    <row r="37" spans="1:26" s="619" customFormat="1" ht="25.5">
      <c r="A37" s="618"/>
      <c r="B37" s="817">
        <v>11002</v>
      </c>
      <c r="C37" s="817">
        <v>2000</v>
      </c>
      <c r="D37" s="666" t="s">
        <v>914</v>
      </c>
      <c r="E37" s="665" t="s">
        <v>915</v>
      </c>
      <c r="F37" s="665" t="s">
        <v>916</v>
      </c>
      <c r="G37" s="665" t="s">
        <v>889</v>
      </c>
      <c r="H37" s="665" t="s">
        <v>890</v>
      </c>
      <c r="I37" s="665" t="s">
        <v>917</v>
      </c>
      <c r="J37" s="816">
        <v>41654</v>
      </c>
      <c r="K37" s="816">
        <v>41656</v>
      </c>
      <c r="L37" s="665" t="s">
        <v>911</v>
      </c>
      <c r="M37" s="665">
        <v>5.5</v>
      </c>
      <c r="N37" s="665">
        <v>24.75</v>
      </c>
      <c r="O37" s="665">
        <v>35.357142857142861</v>
      </c>
      <c r="P37" s="665">
        <v>70.714285714285722</v>
      </c>
      <c r="Q37" s="665">
        <v>0</v>
      </c>
      <c r="R37" s="665">
        <v>0</v>
      </c>
      <c r="S37" s="665">
        <v>0</v>
      </c>
      <c r="T37" s="665">
        <v>0</v>
      </c>
      <c r="U37" s="665">
        <v>0</v>
      </c>
      <c r="V37" s="665">
        <v>0</v>
      </c>
      <c r="W37" s="665">
        <v>0</v>
      </c>
      <c r="X37" s="665">
        <v>1300</v>
      </c>
      <c r="Y37" s="665" t="s">
        <v>53</v>
      </c>
      <c r="Z37" s="667" t="s">
        <v>155</v>
      </c>
    </row>
    <row r="38" spans="1:26" s="619" customFormat="1" ht="63.75">
      <c r="A38" s="618"/>
      <c r="B38" s="817">
        <v>11002</v>
      </c>
      <c r="C38" s="817">
        <v>2000</v>
      </c>
      <c r="D38" s="666"/>
      <c r="E38" s="665"/>
      <c r="F38" s="665" t="s">
        <v>918</v>
      </c>
      <c r="G38" s="665" t="s">
        <v>889</v>
      </c>
      <c r="H38" s="665" t="s">
        <v>890</v>
      </c>
      <c r="I38" s="665" t="s">
        <v>919</v>
      </c>
      <c r="J38" s="816">
        <v>42321</v>
      </c>
      <c r="K38" s="816">
        <v>42303</v>
      </c>
      <c r="L38" s="665" t="s">
        <v>891</v>
      </c>
      <c r="M38" s="665">
        <v>33</v>
      </c>
      <c r="N38" s="665">
        <v>148.5</v>
      </c>
      <c r="O38" s="665">
        <v>212.14285714285714</v>
      </c>
      <c r="P38" s="665">
        <v>424.28571428571433</v>
      </c>
      <c r="Q38" s="665">
        <v>0</v>
      </c>
      <c r="R38" s="665">
        <v>0</v>
      </c>
      <c r="S38" s="665">
        <v>0</v>
      </c>
      <c r="T38" s="665">
        <v>0</v>
      </c>
      <c r="U38" s="665">
        <v>0</v>
      </c>
      <c r="V38" s="665">
        <v>0</v>
      </c>
      <c r="W38" s="665">
        <v>0</v>
      </c>
      <c r="X38" s="665">
        <v>1600</v>
      </c>
      <c r="Y38" s="665" t="s">
        <v>49</v>
      </c>
      <c r="Z38" s="667" t="s">
        <v>155</v>
      </c>
    </row>
    <row r="39" spans="1:26" s="619" customFormat="1" ht="38.25">
      <c r="A39" s="618"/>
      <c r="B39" s="817">
        <v>11002</v>
      </c>
      <c r="C39" s="817">
        <v>2000</v>
      </c>
      <c r="D39" s="666" t="s">
        <v>920</v>
      </c>
      <c r="E39" s="665" t="s">
        <v>921</v>
      </c>
      <c r="F39" s="665" t="s">
        <v>922</v>
      </c>
      <c r="G39" s="665" t="s">
        <v>923</v>
      </c>
      <c r="H39" s="665" t="s">
        <v>923</v>
      </c>
      <c r="I39" s="665" t="s">
        <v>921</v>
      </c>
      <c r="J39" s="816">
        <v>42328</v>
      </c>
      <c r="K39" s="816">
        <v>42328</v>
      </c>
      <c r="L39" s="665" t="s">
        <v>891</v>
      </c>
      <c r="M39" s="665">
        <v>1.7</v>
      </c>
      <c r="N39" s="665">
        <v>8.5</v>
      </c>
      <c r="O39" s="665">
        <v>12.175675675675675</v>
      </c>
      <c r="P39" s="665">
        <v>22.972972972972972</v>
      </c>
      <c r="Q39" s="665">
        <v>0</v>
      </c>
      <c r="R39" s="665">
        <v>0</v>
      </c>
      <c r="S39" s="665">
        <v>0</v>
      </c>
      <c r="T39" s="665">
        <v>0</v>
      </c>
      <c r="U39" s="665">
        <v>0</v>
      </c>
      <c r="V39" s="665">
        <v>0</v>
      </c>
      <c r="W39" s="665">
        <v>0</v>
      </c>
      <c r="X39" s="665">
        <v>1300</v>
      </c>
      <c r="Y39" s="665" t="s">
        <v>53</v>
      </c>
      <c r="Z39" s="667" t="s">
        <v>155</v>
      </c>
    </row>
    <row r="40" spans="1:26" s="619" customFormat="1" ht="25.5">
      <c r="A40" s="618"/>
      <c r="B40" s="817">
        <v>11002</v>
      </c>
      <c r="C40" s="817">
        <v>2000</v>
      </c>
      <c r="D40" s="666" t="s">
        <v>924</v>
      </c>
      <c r="E40" s="665"/>
      <c r="F40" s="665" t="s">
        <v>925</v>
      </c>
      <c r="G40" s="665" t="s">
        <v>926</v>
      </c>
      <c r="H40" s="665" t="s">
        <v>890</v>
      </c>
      <c r="I40" s="665" t="s">
        <v>927</v>
      </c>
      <c r="J40" s="816">
        <v>42740</v>
      </c>
      <c r="K40" s="816">
        <v>42712</v>
      </c>
      <c r="L40" s="665" t="s">
        <v>928</v>
      </c>
      <c r="M40" s="665">
        <v>143</v>
      </c>
      <c r="N40" s="665">
        <v>643.5</v>
      </c>
      <c r="O40" s="665">
        <v>919.28571428571433</v>
      </c>
      <c r="P40" s="665">
        <v>1838.5714285714287</v>
      </c>
      <c r="Q40" s="665">
        <v>0</v>
      </c>
      <c r="R40" s="665">
        <v>0</v>
      </c>
      <c r="S40" s="665">
        <v>0</v>
      </c>
      <c r="T40" s="665">
        <v>0</v>
      </c>
      <c r="U40" s="665">
        <v>0</v>
      </c>
      <c r="V40" s="665">
        <v>0</v>
      </c>
      <c r="W40" s="665">
        <v>0</v>
      </c>
      <c r="X40" s="665">
        <v>1100</v>
      </c>
      <c r="Y40" s="665" t="s">
        <v>51</v>
      </c>
      <c r="Z40" s="667" t="s">
        <v>155</v>
      </c>
    </row>
    <row r="41" spans="1:26" s="619" customFormat="1" ht="63.75">
      <c r="A41" s="618"/>
      <c r="B41" s="817">
        <v>11002</v>
      </c>
      <c r="C41" s="817">
        <v>2020</v>
      </c>
      <c r="D41" s="666" t="s">
        <v>929</v>
      </c>
      <c r="E41" s="665"/>
      <c r="F41" s="665" t="s">
        <v>930</v>
      </c>
      <c r="G41" s="665" t="s">
        <v>931</v>
      </c>
      <c r="H41" s="665" t="s">
        <v>923</v>
      </c>
      <c r="I41" s="665" t="s">
        <v>932</v>
      </c>
      <c r="J41" s="816">
        <v>42923</v>
      </c>
      <c r="K41" s="816">
        <v>42923</v>
      </c>
      <c r="L41" s="665" t="s">
        <v>928</v>
      </c>
      <c r="M41" s="665">
        <v>5.0999999999999996</v>
      </c>
      <c r="N41" s="665">
        <v>10.625</v>
      </c>
      <c r="O41" s="665">
        <v>15.219594594594595</v>
      </c>
      <c r="P41" s="665">
        <v>7.1790540540540544</v>
      </c>
      <c r="Q41" s="665">
        <v>0</v>
      </c>
      <c r="R41" s="665">
        <v>0</v>
      </c>
      <c r="S41" s="665">
        <v>0</v>
      </c>
      <c r="T41" s="665">
        <v>0</v>
      </c>
      <c r="U41" s="665">
        <v>0</v>
      </c>
      <c r="V41" s="665">
        <v>0</v>
      </c>
      <c r="W41" s="665">
        <v>0</v>
      </c>
      <c r="X41" s="665">
        <v>1600</v>
      </c>
      <c r="Y41" s="665" t="s">
        <v>49</v>
      </c>
      <c r="Z41" s="667" t="s">
        <v>155</v>
      </c>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2587.2999999999997</v>
      </c>
      <c r="N58" s="623">
        <f>SUM(N28:N57)</f>
        <v>11631.375</v>
      </c>
      <c r="O58" s="623">
        <f t="shared" ref="O58:W58" si="2">SUM(O28:O57)</f>
        <v>16616.323841698842</v>
      </c>
      <c r="P58" s="623">
        <f t="shared" si="2"/>
        <v>33208.009169884172</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806</v>
      </c>
      <c r="N59" s="623">
        <f t="shared" si="3"/>
        <v>3627</v>
      </c>
      <c r="O59" s="623">
        <f t="shared" si="3"/>
        <v>5181.4285714285716</v>
      </c>
      <c r="P59" s="623">
        <f t="shared" si="3"/>
        <v>10362.857142857143</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1781.3</v>
      </c>
      <c r="N60" s="623">
        <f ca="1">SUMIF($Z$28:AD57,"tertiair",N28:N57)</f>
        <v>8004.375</v>
      </c>
      <c r="O60" s="623">
        <f ca="1">SUMIF($Z$28:AE57,"tertiair",O28:O57)</f>
        <v>11434.89527027027</v>
      </c>
      <c r="P60" s="623">
        <f ca="1">SUMIF($Z$28:AF57,"tertiair",P28:P57)</f>
        <v>22845.152027027027</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63.75">
      <c r="A64" s="620"/>
      <c r="B64" s="817">
        <v>11002</v>
      </c>
      <c r="C64" s="817">
        <v>2020</v>
      </c>
      <c r="D64" s="668" t="s">
        <v>933</v>
      </c>
      <c r="E64" s="668" t="s">
        <v>934</v>
      </c>
      <c r="F64" s="668" t="s">
        <v>935</v>
      </c>
      <c r="G64" s="668" t="s">
        <v>936</v>
      </c>
      <c r="H64" s="668" t="s">
        <v>937</v>
      </c>
      <c r="I64" s="668" t="s">
        <v>938</v>
      </c>
      <c r="J64" s="816">
        <v>38169</v>
      </c>
      <c r="K64" s="816">
        <v>38261</v>
      </c>
      <c r="L64" s="668" t="s">
        <v>911</v>
      </c>
      <c r="M64" s="668">
        <v>300</v>
      </c>
      <c r="N64" s="668">
        <v>1350</v>
      </c>
      <c r="O64" s="668">
        <v>0</v>
      </c>
      <c r="P64" s="668">
        <v>0</v>
      </c>
      <c r="Q64" s="668">
        <v>3857.1428571428573</v>
      </c>
      <c r="R64" s="668">
        <v>0</v>
      </c>
      <c r="S64" s="668">
        <v>0</v>
      </c>
      <c r="T64" s="668">
        <v>0</v>
      </c>
      <c r="U64" s="668">
        <v>0</v>
      </c>
      <c r="V64" s="668">
        <v>0</v>
      </c>
      <c r="W64" s="668">
        <v>0</v>
      </c>
      <c r="X64" s="668">
        <v>1600</v>
      </c>
      <c r="Y64" s="668" t="s">
        <v>49</v>
      </c>
      <c r="Z64" s="669" t="s">
        <v>155</v>
      </c>
    </row>
    <row r="65" spans="1:26" s="634" customFormat="1" ht="63.75">
      <c r="A65" s="620"/>
      <c r="B65" s="817">
        <v>11002</v>
      </c>
      <c r="C65" s="817">
        <v>2030</v>
      </c>
      <c r="D65" s="668" t="s">
        <v>939</v>
      </c>
      <c r="E65" s="668" t="s">
        <v>940</v>
      </c>
      <c r="F65" s="668" t="s">
        <v>941</v>
      </c>
      <c r="G65" s="668" t="s">
        <v>942</v>
      </c>
      <c r="H65" s="668" t="s">
        <v>937</v>
      </c>
      <c r="I65" s="668" t="s">
        <v>943</v>
      </c>
      <c r="J65" s="816">
        <v>38183</v>
      </c>
      <c r="K65" s="816">
        <v>38200</v>
      </c>
      <c r="L65" s="668" t="s">
        <v>891</v>
      </c>
      <c r="M65" s="668">
        <v>4093</v>
      </c>
      <c r="N65" s="668">
        <v>18418.5</v>
      </c>
      <c r="O65" s="668">
        <v>0</v>
      </c>
      <c r="P65" s="668">
        <v>0</v>
      </c>
      <c r="Q65" s="668">
        <v>0</v>
      </c>
      <c r="R65" s="668">
        <v>52624.285714285717</v>
      </c>
      <c r="S65" s="668">
        <v>0</v>
      </c>
      <c r="T65" s="668">
        <v>0</v>
      </c>
      <c r="U65" s="668">
        <v>0</v>
      </c>
      <c r="V65" s="668">
        <v>0</v>
      </c>
      <c r="W65" s="668">
        <v>0</v>
      </c>
      <c r="X65" s="668">
        <v>1600</v>
      </c>
      <c r="Y65" s="668" t="s">
        <v>49</v>
      </c>
      <c r="Z65" s="669" t="s">
        <v>155</v>
      </c>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4393</v>
      </c>
      <c r="N89" s="623">
        <f t="shared" ref="N89:W89" si="5">SUM(N64:N88)</f>
        <v>19768.5</v>
      </c>
      <c r="O89" s="623">
        <f t="shared" si="5"/>
        <v>0</v>
      </c>
      <c r="P89" s="623">
        <f t="shared" si="5"/>
        <v>0</v>
      </c>
      <c r="Q89" s="623">
        <f t="shared" si="5"/>
        <v>3857.1428571428573</v>
      </c>
      <c r="R89" s="623">
        <f t="shared" si="5"/>
        <v>52624.285714285717</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4393</v>
      </c>
      <c r="N91" s="623">
        <f t="shared" si="7"/>
        <v>19768.5</v>
      </c>
      <c r="O91" s="623">
        <f t="shared" si="7"/>
        <v>0</v>
      </c>
      <c r="P91" s="623">
        <f t="shared" si="7"/>
        <v>0</v>
      </c>
      <c r="Q91" s="623">
        <f t="shared" si="7"/>
        <v>3857.1428571428573</v>
      </c>
      <c r="R91" s="623">
        <f t="shared" si="7"/>
        <v>52624.285714285717</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0.58823637050286259</v>
      </c>
      <c r="C98" s="648">
        <f>IF(ISERROR(N58/(O58+N58)),0,N58/(N58+O58))</f>
        <v>0.41176362949713741</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13673.850384165728</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19534.158785718442</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2019-08-12T08:37:33Z</dcterms:modified>
</cp:coreProperties>
</file>