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N77" i="14" s="1"/>
  <c r="I9" i="18"/>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Q14" i="48"/>
  <c r="E90" i="14"/>
  <c r="E18" i="61"/>
  <c r="L90" i="14"/>
  <c r="L18" i="61"/>
  <c r="O10"/>
  <c r="E20"/>
  <c r="L20" i="18"/>
  <c r="O77" i="14"/>
  <c r="O9" i="61" s="1"/>
  <c r="K90" i="14"/>
  <c r="P27" i="48"/>
  <c r="B10" i="18"/>
  <c r="D20"/>
  <c r="M77" i="14"/>
  <c r="M9" i="61" s="1"/>
  <c r="H9" i="18"/>
  <c r="O9" s="1"/>
  <c r="L20" i="61"/>
  <c r="O31" i="48"/>
  <c r="P31"/>
  <c r="K10" i="18"/>
  <c r="L78" i="14"/>
  <c r="L8" i="61"/>
  <c r="L10" s="1"/>
  <c r="K78" i="14"/>
  <c r="K8" i="61"/>
  <c r="K10" s="1"/>
  <c r="N10"/>
  <c r="C98" i="18"/>
  <c r="E101" s="1"/>
  <c r="E8" s="1"/>
  <c r="N20" i="61"/>
  <c r="J22" i="14"/>
  <c r="P22"/>
  <c r="E10" i="61"/>
  <c r="B17" i="18"/>
  <c r="B20" s="1"/>
  <c r="F13" i="15"/>
  <c r="O22" i="14"/>
  <c r="G77"/>
  <c r="G9" i="61" s="1"/>
  <c r="G10" s="1"/>
  <c r="H20"/>
  <c r="P25" i="48"/>
  <c r="I77" i="14"/>
  <c r="I9" i="61" s="1"/>
  <c r="L13" i="15"/>
  <c r="B13"/>
  <c r="H90" i="14"/>
  <c r="N13" i="15"/>
  <c r="F77" i="14"/>
  <c r="F9" i="61" s="1"/>
  <c r="G101" i="18"/>
  <c r="I8" s="1"/>
  <c r="F101"/>
  <c r="H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C101" i="18"/>
  <c r="B101"/>
  <c r="C8" s="1"/>
  <c r="H78" i="14"/>
  <c r="H9" i="61"/>
  <c r="H10" s="1"/>
  <c r="D101" i="18"/>
  <c r="J8" s="1"/>
  <c r="G78" i="14"/>
  <c r="I101" i="18"/>
  <c r="H8" s="1"/>
  <c r="M76" i="14" s="1"/>
  <c r="B88"/>
  <c r="B18" i="61" s="1"/>
  <c r="B77" i="14"/>
  <c r="B9" i="61" s="1"/>
  <c r="Q77" i="14"/>
  <c r="P9" i="61" s="1"/>
  <c r="J17" i="18"/>
  <c r="H20"/>
  <c r="M87" i="14"/>
  <c r="E20" i="18"/>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M90" i="14"/>
  <c r="M17" i="61"/>
  <c r="M20" s="1"/>
  <c r="O8" i="18"/>
  <c r="O10" s="1"/>
  <c r="H10"/>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78" i="14"/>
  <c r="B8" i="61"/>
  <c r="B10" s="1"/>
  <c r="B90" i="14"/>
  <c r="B17" i="61"/>
  <c r="B2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C4"/>
  <c r="D11" i="14"/>
  <c r="F30" i="48"/>
  <c r="F24"/>
  <c r="F31"/>
  <c r="F32"/>
  <c r="F29"/>
  <c r="F28"/>
  <c r="F27"/>
  <c r="N31"/>
  <c r="N30"/>
  <c r="N32"/>
  <c r="N24"/>
  <c r="N29"/>
  <c r="N27"/>
  <c r="N28"/>
  <c r="B10"/>
  <c r="C19" i="14"/>
  <c r="E29" i="48"/>
  <c r="E31"/>
  <c r="E24"/>
  <c r="E30"/>
  <c r="E28"/>
  <c r="E32"/>
  <c r="M29"/>
  <c r="M26"/>
  <c r="M24"/>
  <c r="M30"/>
  <c r="M32"/>
  <c r="M22"/>
  <c r="M25"/>
  <c r="M23"/>
  <c r="K5"/>
  <c r="L10" i="14"/>
  <c r="L16" s="1"/>
  <c r="L27" s="1"/>
  <c r="D30" i="48"/>
  <c r="D28"/>
  <c r="D32"/>
  <c r="D24"/>
  <c r="D29"/>
  <c r="D31"/>
  <c r="L29"/>
  <c r="L32"/>
  <c r="L31"/>
  <c r="L27"/>
  <c r="L28"/>
  <c r="L22"/>
  <c r="L30"/>
  <c r="L24"/>
  <c r="P5"/>
  <c r="P23" s="1"/>
  <c r="Q10" i="14"/>
  <c r="I27" i="48"/>
  <c r="I28"/>
  <c r="I30"/>
  <c r="I32"/>
  <c r="I31"/>
  <c r="I29"/>
  <c r="I24"/>
  <c r="I25"/>
  <c r="I22"/>
  <c r="I26"/>
  <c r="E11" i="14"/>
  <c r="D4" i="48"/>
  <c r="D22" s="1"/>
  <c r="H29"/>
  <c r="H25"/>
  <c r="H32"/>
  <c r="H30"/>
  <c r="H24"/>
  <c r="H22"/>
  <c r="H28"/>
  <c r="H26"/>
  <c r="H23"/>
  <c r="G23"/>
  <c r="G30"/>
  <c r="G32"/>
  <c r="G24"/>
  <c r="G29"/>
  <c r="G25"/>
  <c r="G26"/>
  <c r="G22"/>
  <c r="B4"/>
  <c r="C11" i="14"/>
  <c r="K32" i="48"/>
  <c r="K24"/>
  <c r="K27"/>
  <c r="K26"/>
  <c r="K22"/>
  <c r="K29"/>
  <c r="K28"/>
  <c r="K31"/>
  <c r="K25"/>
  <c r="K30"/>
  <c r="C24" i="14"/>
  <c r="C26" s="1"/>
  <c r="B7" i="48"/>
  <c r="J32"/>
  <c r="J30"/>
  <c r="J24"/>
  <c r="J31"/>
  <c r="J29"/>
  <c r="J27"/>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Q13" i="14"/>
  <c r="Q16" s="1"/>
  <c r="Q27" s="1"/>
  <c r="P8" i="48"/>
  <c r="P26" s="1"/>
  <c r="D9"/>
  <c r="D27" s="1"/>
  <c r="E20" i="14"/>
  <c r="E22" s="1"/>
  <c r="P10"/>
  <c r="O5" i="48"/>
  <c r="O23" s="1"/>
  <c r="B9"/>
  <c r="C20" i="14"/>
  <c r="K24"/>
  <c r="K26" s="1"/>
  <c r="J7" i="48"/>
  <c r="J25" s="1"/>
  <c r="P22"/>
  <c r="L46" i="14"/>
  <c r="L61" s="1"/>
  <c r="L63" s="1"/>
  <c r="O22" i="48"/>
  <c r="K23"/>
  <c r="K15"/>
  <c r="C22" i="14"/>
  <c r="E9" i="48"/>
  <c r="E27" s="1"/>
  <c r="F20" i="14"/>
  <c r="F22" s="1"/>
  <c r="G11"/>
  <c r="F4" i="48"/>
  <c r="F22" s="1"/>
  <c r="I5"/>
  <c r="J10" i="14"/>
  <c r="J16" s="1"/>
  <c r="J27" s="1"/>
  <c r="J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N19" l="1"/>
  <c r="N22" s="1"/>
  <c r="N27" s="1"/>
  <c r="M10" i="48"/>
  <c r="M28" s="1"/>
  <c r="F11" i="14"/>
  <c r="E4" i="48"/>
  <c r="P13" i="14"/>
  <c r="O8" i="48"/>
  <c r="J4"/>
  <c r="K11" i="14"/>
  <c r="O11"/>
  <c r="N4" i="48"/>
  <c r="N22" s="1"/>
  <c r="I23"/>
  <c r="I33" s="1"/>
  <c r="I15"/>
  <c r="P16" i="14"/>
  <c r="P27" s="1"/>
  <c r="Q63"/>
  <c r="M14" i="22"/>
  <c r="P15" i="48"/>
  <c r="H14" i="22"/>
  <c r="P33" i="48"/>
  <c r="H19" i="14"/>
  <c r="G10" i="48"/>
  <c r="E7"/>
  <c r="E25" s="1"/>
  <c r="F24" i="14"/>
  <c r="F26" s="1"/>
  <c r="I20"/>
  <c r="I22" s="1"/>
  <c r="I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G9" i="48"/>
  <c r="H20" i="14"/>
  <c r="R20" s="1"/>
  <c r="E22" i="48"/>
  <c r="Q4"/>
  <c r="F10" i="14"/>
  <c r="E5" i="48"/>
  <c r="E23" s="1"/>
  <c r="H22" i="14"/>
  <c r="H27" s="1"/>
  <c r="R19"/>
  <c r="R22" s="1"/>
  <c r="O26" i="48"/>
  <c r="O33" s="1"/>
  <c r="O15"/>
  <c r="R11" i="14"/>
  <c r="K10"/>
  <c r="J5" i="48"/>
  <c r="J23" s="1"/>
  <c r="G28"/>
  <c r="Q10"/>
  <c r="J22"/>
  <c r="M15"/>
  <c r="M27"/>
  <c r="M33" s="1"/>
  <c r="H15"/>
  <c r="H27"/>
  <c r="H33" s="1"/>
  <c r="N63" i="14"/>
  <c r="R24"/>
  <c r="R26" s="1"/>
  <c r="N18" i="16"/>
  <c r="E20" i="15"/>
  <c r="F40" i="14" s="1"/>
  <c r="F18" i="16"/>
  <c r="J18"/>
  <c r="E18"/>
  <c r="G18" i="22"/>
  <c r="H50" i="14" s="1"/>
  <c r="H18" i="22"/>
  <c r="I50" i="14" s="1"/>
  <c r="I52" s="1"/>
  <c r="I61" s="1"/>
  <c r="I63" s="1"/>
  <c r="J8" i="48" l="1"/>
  <c r="K13" i="14"/>
  <c r="H63"/>
  <c r="F13"/>
  <c r="E8" i="48"/>
  <c r="G27"/>
  <c r="G33" s="1"/>
  <c r="G15"/>
  <c r="K16" i="14"/>
  <c r="K27" s="1"/>
  <c r="K63" s="1"/>
  <c r="F16"/>
  <c r="F27" s="1"/>
  <c r="Q9" i="48"/>
  <c r="N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<sst xmlns="http://schemas.openxmlformats.org/spreadsheetml/2006/main" count="2383" uniqueCount="881">
  <si>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</si>
  <si>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</si>
  <si>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</si>
  <si>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</si>
  <si>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</si>
  <si>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</si>
  <si>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</si>
  <si>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</si>
  <si>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</si>
  <si>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</si>
  <si>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</si>
  <si>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</si>
  <si>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</si>
  <si>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</si>
  <si>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</si>
  <si>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</si>
  <si>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</si>
  <si>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</si>
  <si>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</si>
  <si>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</si>
  <si>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</si>
  <si>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</si>
  <si>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</si>
  <si>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</si>
  <si>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</si>
  <si>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</si>
  <si>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</si>
  <si>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</si>
  <si>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</si>
  <si>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</si>
  <si>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</si>
  <si>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</si>
  <si>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</si>
  <si>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</si>
  <si>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</si>
  <si>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</si>
  <si>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</si>
  <si>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</si>
  <si>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</si>
  <si>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</si>
  <si>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</si>
  <si>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</si>
  <si>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</si>
  <si>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</si>
  <si>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</si>
  <si>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</si>
  <si>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</si>
  <si>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</si>
  <si>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</si>
  <si>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</si>
  <si>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</si>
  <si>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</si>
  <si>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</si>
  <si>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</si>
  <si>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</si>
  <si>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</si>
  <si>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</si>
  <si>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</si>
  <si>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</si>
  <si>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</si>
  <si>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</si>
  <si>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</si>
  <si>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</si>
  <si>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</si>
  <si>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</si>
  <si>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</si>
  <si>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</si>
  <si>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</si>
  <si>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</si>
  <si>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</si>
  <si>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</si>
  <si>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</si>
  <si>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</si>
  <si>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</si>
  <si>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</si>
  <si>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</si>
  <si>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</si>
  <si>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</si>
  <si>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</si>
  <si>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</si>
  <si>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</si>
  <si>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</si>
  <si>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</si>
  <si>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</si>
  <si>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</si>
  <si>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</si>
  <si>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</si>
  <si>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</si>
  <si>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</si>
  <si>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</si>
  <si>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</si>
  <si>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</si>
  <si>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</si>
  <si>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</si>
  <si>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</si>
  <si>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</si>
  <si>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</si>
  <si>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</si>
  <si>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</si>
  <si>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</si>
  <si>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</si>
  <si>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</si>
  <si>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</si>
  <si>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</si>
  <si>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</si>
  <si>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</si>
  <si>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</si>
  <si>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</si>
  <si>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</si>
  <si>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</si>
  <si>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</si>
  <si>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</si>
  <si>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</si>
  <si>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</si>
  <si>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</si>
  <si>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</si>
  <si>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</si>
  <si>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</si>
  <si>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</si>
  <si>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</si>
  <si>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</si>
  <si>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</si>
  <si>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</si>
  <si>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</si>
  <si>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</si>
  <si>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</si>
  <si>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</si>
  <si>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</si>
  <si>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</si>
  <si>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</si>
  <si>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</si>
  <si>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</si>
  <si>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</si>
  <si>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</si>
  <si>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</si>
  <si>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</si>
  <si>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</si>
  <si>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</si>
  <si>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</si>
  <si>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</si>
  <si>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</si>
  <si>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</si>
  <si>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</si>
  <si>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</si>
  <si>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</si>
  <si>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</si>
  <si>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</si>
  <si>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</si>
  <si>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</si>
  <si>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</si>
  <si>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</si>
  <si>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</si>
  <si>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</si>
  <si>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</si>
  <si>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</si>
  <si>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</si>
  <si>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</si>
  <si>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</si>
  <si>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</si>
  <si>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</si>
  <si>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</si>
  <si>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</si>
  <si>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</si>
  <si>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</si>
  <si>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</si>
  <si>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</si>
  <si>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</si>
  <si>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</si>
  <si>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</si>
  <si>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</si>
  <si>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</si>
  <si>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</si>
  <si>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</si>
  <si>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</si>
  <si>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</si>
  <si>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</si>
  <si>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</si>
  <si>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</si>
  <si>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</si>
  <si>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</si>
  <si>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</si>
  <si>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</si>
  <si>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</si>
  <si>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</si>
  <si>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</si>
  <si>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</si>
  <si>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</si>
  <si>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</si>
  <si>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</si>
  <si>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</si>
  <si>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</si>
  <si>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</si>
  <si>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</si>
  <si>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</si>
  <si>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</si>
  <si>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</si>
  <si>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</si>
  <si>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</si>
  <si>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</si>
  <si>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</si>
  <si>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</si>
  <si>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</si>
  <si>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</si>
  <si>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</si>
  <si>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</si>
  <si>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</si>
  <si>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</si>
  <si>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</si>
  <si>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</si>
  <si>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</si>
  <si>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</si>
  <si>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</si>
  <si>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</si>
  <si>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</si>
  <si>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</si>
  <si>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</si>
  <si>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</si>
  <si>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</si>
  <si>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</si>
  <si>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</si>
  <si>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</si>
  <si>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</si>
  <si>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</si>
  <si>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</si>
  <si>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</si>
  <si>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</si>
  <si>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</si>
  <si>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</si>
  <si>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</si>
  <si>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</si>
  <si>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</si>
  <si>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</si>
  <si>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</si>
  <si>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</si>
  <si>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</si>
  <si>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</si>
  <si>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</si>
  <si>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</si>
  <si>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</si>
  <si>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</si>
  <si>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</si>
  <si>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</si>
  <si>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</si>
  <si>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</si>
  <si>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</si>
  <si>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</si>
  <si>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</si>
  <si>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</si>
  <si>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</si>
  <si>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</si>
  <si>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</si>
  <si>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</si>
  <si>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</si>
  <si>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</si>
  <si>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</si>
  <si>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</si>
  <si>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</si>
  <si>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</si>
  <si>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</si>
  <si>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</si>
  <si>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</si>
  <si>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</si>
  <si>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</si>
  <si>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</si>
  <si>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</si>
  <si>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</si>
  <si>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</si>
  <si>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</si>
  <si>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</si>
  <si>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</si>
  <si>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</si>
  <si>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</si>
  <si>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</si>
  <si>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</si>
  <si>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</si>
  <si>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</si>
  <si>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</si>
  <si>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</si>
  <si>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</si>
  <si>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</si>
  <si>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</si>
  <si>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</si>
  <si>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</si>
  <si>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</si>
  <si>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</si>
  <si>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</si>
  <si>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</si>
  <si>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</si>
  <si>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</si>
  <si>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</si>
  <si>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</si>
  <si>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</si>
  <si>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</si>
  <si>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</si>
  <si>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</si>
  <si>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</si>
  <si>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</si>
  <si>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</si>
  <si>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</si>
  <si>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</si>
  <si>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</si>
  <si>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</si>
  <si>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</si>
  <si>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</si>
  <si>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</si>
  <si>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</si>
  <si>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</si>
  <si>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</si>
  <si>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</si>
  <si>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</si>
  <si>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</si>
  <si>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</si>
  <si>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</si>
  <si>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</si>
  <si>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</si>
  <si>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</si>
  <si>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</si>
  <si>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</si>
  <si>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</si>
  <si>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</si>
  <si>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</si>
  <si>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</si>
  <si>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</si>
  <si>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</si>
  <si>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</si>
  <si>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</si>
  <si>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</si>
  <si>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</si>
  <si>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</si>
  <si>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</si>
  <si>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</si>
  <si>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</si>
  <si>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</si>
  <si>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</si>
  <si>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</si>
  <si>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</si>
  <si>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</si>
  <si>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</si>
  <si>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</si>
  <si>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</si>
  <si>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</si>
  <si>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</si>
  <si>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</si>
  <si>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</si>
  <si>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</si>
  <si>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</si>
  <si>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</si>
  <si>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</si>
  <si>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</si>
  <si>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</si>
  <si>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</si>
  <si>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</si>
  <si>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</si>
  <si>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</si>
  <si>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</si>
  <si>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</si>
  <si>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</si>
  <si>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</si>
  <si>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</si>
  <si>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</si>
  <si>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</si>
  <si>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</si>
  <si>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</si>
  <si>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</si>
  <si>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</si>
  <si>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</si>
  <si>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</si>
  <si>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</si>
  <si>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</si>
  <si>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</si>
  <si>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</si>
  <si>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</si>
  <si>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</si>
  <si>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</si>
  <si>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</si>
  <si>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</si>
  <si>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</si>
  <si>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</si>
  <si>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</si>
  <si>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</si>
  <si>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</si>
  <si>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</si>
  <si>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</si>
  <si>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</si>
  <si>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</si>
  <si>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</si>
  <si>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</si>
  <si>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</si>
  <si>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</si>
  <si>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</si>
  <si>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</si>
  <si>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</si>
  <si>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</si>
  <si>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</si>
  <si>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</si>
  <si>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</si>
  <si>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</si>
  <si>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</si>
  <si>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</si>
  <si>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</si>
  <si>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</si>
  <si>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</si>
  <si>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</si>
  <si>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</si>
  <si>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</si>
  <si>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</si>
  <si>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</si>
  <si>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</si>
  <si>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</si>
  <si>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</si>
  <si>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</si>
  <si>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</si>
  <si>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</si>
  <si>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</si>
  <si>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</si>
  <si>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</si>
  <si>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</si>
  <si>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</si>
  <si>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</si>
  <si>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</si>
  <si>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</si>
  <si>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</si>
  <si>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</si>
  <si>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</si>
  <si>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</si>
  <si>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</si>
  <si>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</si>
  <si>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</si>
  <si>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</si>
  <si>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</si>
  <si>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</si>
  <si>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</si>
  <si>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</si>
  <si>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</si>
  <si>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</si>
  <si>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</si>
  <si>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</si>
  <si>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</si>
  <si>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</si>
  <si>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</si>
  <si>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</si>
  <si>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</si>
  <si>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</si>
  <si>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</si>
  <si>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</si>
  <si>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</si>
  <si>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</si>
  <si>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</si>
  <si>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</si>
  <si>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</si>
  <si>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</si>
  <si>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</si>
  <si>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</si>
  <si>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</si>
  <si>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</si>
  <si>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</si>
  <si>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</si>
  <si>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</si>
  <si>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</si>
  <si>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</si>
  <si>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</si>
  <si>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</si>
  <si>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</si>
  <si>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</si>
  <si>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</si>
  <si>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</si>
  <si>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</si>
  <si>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</si>
  <si>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</si>
  <si>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</si>
  <si>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</si>
  <si>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</si>
  <si>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</si>
  <si>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</si>
  <si>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</si>
  <si>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</si>
  <si>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</si>
  <si>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</si>
  <si>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</si>
  <si>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</si>
  <si>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</si>
  <si>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</si>
  <si>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</si>
  <si>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</si>
  <si>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</si>
  <si>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</si>
  <si>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</si>
  <si>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</si>
  <si>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</si>
  <si>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</si>
  <si>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</si>
  <si>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</si>
  <si>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</si>
  <si>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</si>
  <si>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</si>
  <si>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</si>
  <si>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</si>
  <si>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</si>
  <si>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</si>
  <si>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</si>
  <si>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</si>
  <si>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</si>
  <si>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</si>
  <si>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</si>
  <si>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</si>
  <si>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</si>
  <si>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</si>
  <si>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</si>
  <si>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</si>
  <si>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</si>
  <si>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</si>
  <si>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</si>
  <si>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</si>
  <si>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</si>
  <si>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</si>
  <si>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</si>
  <si>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</si>
  <si>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</si>
  <si>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</si>
  <si>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</si>
  <si>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</si>
  <si>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</si>
  <si>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</si>
  <si>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</si>
  <si>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</si>
  <si>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</si>
  <si>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</si>
  <si>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</si>
  <si>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</si>
  <si>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</si>
  <si>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</si>
  <si>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</si>
  <si>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</si>
  <si>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</si>
  <si>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</si>
  <si>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</si>
  <si>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</si>
  <si>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</si>
  <si>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</si>
  <si>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</si>
  <si>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</si>
  <si>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</si>
  <si>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</si>
  <si>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</si>
  <si>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</si>
  <si>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</si>
  <si>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</si>
  <si>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</si>
  <si>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</si>
  <si>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</si>
  <si>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</si>
  <si>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</si>
  <si>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</si>
  <si>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</si>
  <si>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</si>
  <si>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</si>
  <si>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</si>
  <si>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</si>
  <si>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</si>
  <si>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</si>
  <si>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</si>
  <si>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</si>
  <si>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</si>
  <si>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</si>
  <si>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</si>
  <si>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</si>
  <si>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</si>
  <si>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</si>
  <si>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</si>
  <si>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</si>
  <si>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</si>
  <si>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</si>
  <si>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</si>
  <si>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</si>
  <si>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</si>
  <si>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</si>
  <si>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</si>
  <si>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</si>
  <si>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</si>
  <si>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</si>
  <si>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</si>
  <si>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</si>
  <si>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</si>
  <si>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</si>
  <si>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</si>
  <si>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</si>
  <si>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</si>
  <si>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</si>
  <si>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</si>
  <si>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</si>
  <si>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</si>
  <si>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</si>
  <si>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</si>
  <si>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</si>
  <si>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</si>
  <si>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</si>
  <si>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</si>
  <si>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</si>
  <si>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</si>
  <si>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</si>
  <si>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</si>
  <si>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</si>
  <si>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</si>
  <si>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</si>
  <si>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</si>
  <si>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</si>
  <si>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</si>
  <si>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</si>
  <si>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</si>
  <si>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</si>
  <si>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</si>
  <si>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</si>
  <si>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</si>
  <si>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</si>
  <si>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</si>
  <si>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</si>
  <si>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</si>
  <si>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</si>
  <si>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</si>
  <si>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</si>
  <si>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</si>
  <si>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</si>
  <si>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</si>
  <si>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</si>
  <si>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</si>
  <si>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</si>
  <si>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</si>
  <si>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</si>
  <si>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</si>
  <si>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</si>
  <si>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</si>
  <si>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</si>
  <si>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</si>
  <si>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</si>
  <si>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</si>
  <si>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</si>
  <si>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</si>
  <si>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</si>
  <si>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</si>
  <si>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</si>
  <si>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</si>
  <si>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</si>
  <si>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</si>
  <si>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</si>
  <si>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</si>
  <si>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</si>
  <si>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</si>
  <si>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</si>
  <si>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</si>
  <si>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</si>
  <si>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</si>
  <si>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</si>
  <si>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</si>
  <si>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</si>
  <si>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</si>
  <si>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</si>
  <si>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</si>
  <si>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</si>
  <si>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</si>
  <si>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</si>
  <si>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</si>
  <si>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</si>
  <si>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</si>
  <si>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</si>
  <si>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</si>
  <si>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</si>
  <si>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</si>
  <si>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</si>
  <si>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</si>
  <si>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</si>
  <si>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</si>
  <si>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</si>
  <si>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</si>
  <si>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</si>
  <si>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</si>
  <si>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</si>
  <si>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</si>
  <si>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</si>
  <si>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</si>
  <si>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</si>
  <si>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</si>
  <si>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</si>
  <si>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</si>
  <si>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</si>
  <si>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</si>
  <si>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</si>
  <si>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</si>
  <si>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</si>
  <si>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</si>
  <si>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</si>
  <si>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</si>
  <si>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</si>
  <si>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</si>
  <si>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</si>
  <si>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</si>
  <si>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</si>
  <si>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</si>
  <si>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</si>
  <si>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</si>
  <si>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</si>
  <si>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</si>
  <si>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</si>
  <si>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</si>
  <si>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</si>
  <si>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</si>
  <si>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</si>
  <si>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</si>
  <si>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</si>
  <si>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</si>
  <si>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</si>
  <si>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</si>
  <si>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</si>
  <si>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</si>
  <si>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</si>
  <si>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</si>
  <si>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</si>
  <si>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</si>
  <si>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</si>
  <si>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</si>
  <si>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</si>
  <si>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</si>
  <si>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</si>
  <si>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</si>
  <si>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</si>
  <si>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</si>
  <si>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</si>
  <si>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</si>
  <si>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</si>
  <si>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</si>
  <si>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</si>
  <si>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</si>
  <si>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</si>
  <si>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</si>
  <si>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</si>
  <si>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</si>
  <si>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</si>
  <si>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</si>
  <si>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</si>
  <si>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</si>
  <si>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</si>
  <si>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</si>
  <si>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</si>
  <si>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</si>
  <si>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</si>
  <si>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</si>
  <si>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</si>
  <si>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</si>
  <si>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</si>
  <si>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</si>
  <si>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</si>
  <si>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</si>
  <si>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</si>
  <si>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</si>
  <si>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</si>
  <si>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</si>
  <si>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</si>
  <si>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</si>
  <si>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</si>
  <si>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</si>
  <si>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</si>
  <si>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</si>
  <si>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</si>
  <si>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</si>
  <si>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</si>
  <si>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</si>
  <si>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</si>
  <si>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</si>
  <si>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</si>
  <si>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</si>
  <si>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</si>
  <si>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</si>
  <si>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</si>
  <si>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</si>
  <si>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</si>
  <si>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</si>
  <si>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</si>
  <si>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</si>
  <si>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</si>
  <si>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</si>
  <si>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</si>
  <si>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</si>
  <si>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</si>
  <si>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</si>
  <si>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</si>
  <si>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</si>
  <si>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</si>
  <si>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</si>
  <si>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</si>
  <si>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</si>
  <si>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</si>
  <si>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</si>
  <si>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</si>
  <si>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</si>
  <si>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</si>
  <si>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</si>
  <si>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</si>
  <si>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</si>
  <si>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</si>
  <si>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</si>
  <si>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</si>
  <si>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</si>
  <si>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</si>
  <si>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</si>
  <si>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</si>
  <si>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</si>
  <si>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</si>
  <si>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</si>
  <si>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</si>
  <si>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</si>
  <si>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</si>
  <si>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</si>
  <si>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</si>
  <si>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</si>
  <si>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</si>
  <si>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</si>
  <si>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</si>
  <si>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</si>
  <si>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</si>
  <si>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</si>
  <si>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</si>
  <si>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</si>
  <si>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</si>
  <si>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</si>
  <si>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</si>
  <si>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</si>
  <si>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</si>
  <si>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</si>
  <si>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</si>
  <si>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</si>
  <si>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</si>
  <si>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</si>
  <si>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</si>
  <si>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</si>
  <si>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</si>
  <si>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</si>
  <si>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</si>
  <si>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</si>
  <si>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</si>
  <si>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</si>
  <si>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</si>
  <si>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</si>
  <si>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</si>
  <si>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</si>
  <si>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</si>
  <si>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</si>
  <si>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</si>
  <si>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</si>
  <si>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</si>
  <si>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</si>
  <si>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</si>
  <si>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</si>
  <si>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</si>
  <si>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</si>
  <si>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</si>
  <si>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</si>
  <si>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</si>
  <si>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</si>
  <si>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</si>
  <si>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</si>
  <si>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</si>
  <si>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</si>
  <si>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</si>
  <si>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</si>
  <si>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</si>
  <si>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</si>
  <si>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</si>
  <si>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</si>
  <si>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</si>
  <si>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</si>
  <si>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</si>
  <si>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</si>
  <si>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</si>
  <si>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</si>
  <si>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73107</t>
  </si>
  <si>
    <t>MAASMECHELEN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</si>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</sst>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322488.64223376056</c:v>
                </c:pt>
                <c:pt idx="1">
                  <c:v>126311.57715898531</c:v>
                </c:pt>
                <c:pt idx="2">
                  <c:v>1981.5409999999999</c:v>
                </c:pt>
                <c:pt idx="3">
                  <c:v>3234.3131742153992</c:v>
                </c:pt>
                <c:pt idx="4">
                  <c:v>133492.74459993682</c:v>
                </c:pt>
                <c:pt idx="5">
                  <c:v>322758.46897420264</c:v>
                </c:pt>
                <c:pt idx="6">
                  <c:v>4961.0991385041161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322488.64223376056</c:v>
                </c:pt>
                <c:pt idx="1">
                  <c:v>126311.57715898531</c:v>
                </c:pt>
                <c:pt idx="2">
                  <c:v>1981.5409999999999</c:v>
                </c:pt>
                <c:pt idx="3">
                  <c:v>3234.3131742153992</c:v>
                </c:pt>
                <c:pt idx="4">
                  <c:v>133492.74459993682</c:v>
                </c:pt>
                <c:pt idx="5">
                  <c:v>322758.46897420264</c:v>
                </c:pt>
                <c:pt idx="6">
                  <c:v>4961.0991385041161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64870.494818019404</c:v>
                </c:pt>
                <c:pt idx="2">
                  <c:v>23447.065255901831</c:v>
                </c:pt>
                <c:pt idx="3">
                  <c:v>373.00915394298352</c:v>
                </c:pt>
                <c:pt idx="4">
                  <c:v>803.2055466140223</c:v>
                </c:pt>
                <c:pt idx="5">
                  <c:v>25152.330471110083</c:v>
                </c:pt>
                <c:pt idx="6">
                  <c:v>80842.119075840936</c:v>
                </c:pt>
                <c:pt idx="7">
                  <c:v>1253.4244921638551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64870.494818019404</c:v>
                </c:pt>
                <c:pt idx="2">
                  <c:v>23447.065255901831</c:v>
                </c:pt>
                <c:pt idx="3">
                  <c:v>373.00915394298352</c:v>
                </c:pt>
                <c:pt idx="4">
                  <c:v>803.2055466140223</c:v>
                </c:pt>
                <c:pt idx="5">
                  <c:v>25152.330471110083</c:v>
                </c:pt>
                <c:pt idx="6">
                  <c:v>80842.119075840936</c:v>
                </c:pt>
                <c:pt idx="7">
                  <c:v>1253.4244921638551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73107</v>
      </c>
      <c r="B6" s="415"/>
      <c r="C6" s="416"/>
    </row>
    <row r="7" spans="1:7" s="413" customFormat="1" ht="15.75" customHeight="1">
      <c r="A7" s="417" t="str">
        <f>txtMunicipality</f>
        <v>MAASMECHELEN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0.18824195610536623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0.18824195610536623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15027</v>
      </c>
      <c r="C9" s="342">
        <v>15482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1969.28</v>
      </c>
    </row>
    <row r="15" spans="1:6">
      <c r="A15" s="348" t="s">
        <v>184</v>
      </c>
      <c r="B15" s="334">
        <v>5</v>
      </c>
    </row>
    <row r="16" spans="1:6">
      <c r="A16" s="348" t="s">
        <v>6</v>
      </c>
      <c r="B16" s="334">
        <v>407</v>
      </c>
    </row>
    <row r="17" spans="1:6">
      <c r="A17" s="348" t="s">
        <v>7</v>
      </c>
      <c r="B17" s="334">
        <v>131</v>
      </c>
    </row>
    <row r="18" spans="1:6">
      <c r="A18" s="348" t="s">
        <v>8</v>
      </c>
      <c r="B18" s="334">
        <v>333</v>
      </c>
    </row>
    <row r="19" spans="1:6">
      <c r="A19" s="348" t="s">
        <v>9</v>
      </c>
      <c r="B19" s="334">
        <v>376</v>
      </c>
    </row>
    <row r="20" spans="1:6">
      <c r="A20" s="348" t="s">
        <v>10</v>
      </c>
      <c r="B20" s="334">
        <v>170</v>
      </c>
    </row>
    <row r="21" spans="1:6">
      <c r="A21" s="348" t="s">
        <v>11</v>
      </c>
      <c r="B21" s="334">
        <v>1451</v>
      </c>
    </row>
    <row r="22" spans="1:6">
      <c r="A22" s="348" t="s">
        <v>12</v>
      </c>
      <c r="B22" s="334">
        <v>2188</v>
      </c>
    </row>
    <row r="23" spans="1:6">
      <c r="A23" s="348" t="s">
        <v>13</v>
      </c>
      <c r="B23" s="334">
        <v>16</v>
      </c>
    </row>
    <row r="24" spans="1:6">
      <c r="A24" s="348" t="s">
        <v>14</v>
      </c>
      <c r="B24" s="334">
        <v>2</v>
      </c>
    </row>
    <row r="25" spans="1:6">
      <c r="A25" s="348" t="s">
        <v>15</v>
      </c>
      <c r="B25" s="334">
        <v>279</v>
      </c>
    </row>
    <row r="26" spans="1:6">
      <c r="A26" s="348" t="s">
        <v>16</v>
      </c>
      <c r="B26" s="334">
        <v>25</v>
      </c>
    </row>
    <row r="27" spans="1:6">
      <c r="A27" s="348" t="s">
        <v>17</v>
      </c>
      <c r="B27" s="334">
        <v>0</v>
      </c>
    </row>
    <row r="28" spans="1:6" s="356" customFormat="1">
      <c r="A28" s="355" t="s">
        <v>18</v>
      </c>
      <c r="B28" s="355">
        <v>0</v>
      </c>
    </row>
    <row r="29" spans="1:6">
      <c r="A29" s="355" t="s">
        <v>744</v>
      </c>
      <c r="B29" s="355">
        <v>28</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65608</v>
      </c>
      <c r="E36" s="334">
        <v>35</v>
      </c>
      <c r="F36" s="334">
        <v>140366</v>
      </c>
    </row>
    <row r="37" spans="1:6">
      <c r="A37" s="348" t="s">
        <v>25</v>
      </c>
      <c r="B37" s="348" t="s">
        <v>28</v>
      </c>
      <c r="C37" s="334">
        <v>0</v>
      </c>
      <c r="D37" s="334">
        <v>0</v>
      </c>
      <c r="E37" s="334">
        <v>0</v>
      </c>
      <c r="F37" s="334">
        <v>0</v>
      </c>
    </row>
    <row r="38" spans="1:6">
      <c r="A38" s="348" t="s">
        <v>25</v>
      </c>
      <c r="B38" s="348" t="s">
        <v>29</v>
      </c>
      <c r="C38" s="334">
        <v>0</v>
      </c>
      <c r="D38" s="334">
        <v>0</v>
      </c>
      <c r="E38" s="334">
        <v>2</v>
      </c>
      <c r="F38" s="334">
        <v>12480</v>
      </c>
    </row>
    <row r="39" spans="1:6">
      <c r="A39" s="348" t="s">
        <v>30</v>
      </c>
      <c r="B39" s="348" t="s">
        <v>31</v>
      </c>
      <c r="C39" s="334">
        <v>8568</v>
      </c>
      <c r="D39" s="334">
        <v>131275796.59999999</v>
      </c>
      <c r="E39" s="334">
        <v>15223</v>
      </c>
      <c r="F39" s="334">
        <v>47201315.649999999</v>
      </c>
    </row>
    <row r="40" spans="1:6">
      <c r="A40" s="348" t="s">
        <v>30</v>
      </c>
      <c r="B40" s="348" t="s">
        <v>29</v>
      </c>
      <c r="C40" s="334">
        <v>0</v>
      </c>
      <c r="D40" s="334">
        <v>0</v>
      </c>
      <c r="E40" s="334">
        <v>0</v>
      </c>
      <c r="F40" s="334">
        <v>0</v>
      </c>
    </row>
    <row r="41" spans="1:6">
      <c r="A41" s="348" t="s">
        <v>32</v>
      </c>
      <c r="B41" s="348" t="s">
        <v>33</v>
      </c>
      <c r="C41" s="334">
        <v>120</v>
      </c>
      <c r="D41" s="334">
        <v>6695365.4709999999</v>
      </c>
      <c r="E41" s="334">
        <v>272</v>
      </c>
      <c r="F41" s="334">
        <v>5036353.0580000002</v>
      </c>
    </row>
    <row r="42" spans="1:6">
      <c r="A42" s="348" t="s">
        <v>32</v>
      </c>
      <c r="B42" s="348" t="s">
        <v>34</v>
      </c>
      <c r="C42" s="334">
        <v>0</v>
      </c>
      <c r="D42" s="334">
        <v>0</v>
      </c>
      <c r="E42" s="334">
        <v>3</v>
      </c>
      <c r="F42" s="334">
        <v>20773953.103999998</v>
      </c>
    </row>
    <row r="43" spans="1:6">
      <c r="A43" s="348" t="s">
        <v>32</v>
      </c>
      <c r="B43" s="348" t="s">
        <v>35</v>
      </c>
      <c r="C43" s="334">
        <v>0</v>
      </c>
      <c r="D43" s="334">
        <v>0</v>
      </c>
      <c r="E43" s="334">
        <v>0</v>
      </c>
      <c r="F43" s="334">
        <v>0</v>
      </c>
    </row>
    <row r="44" spans="1:6">
      <c r="A44" s="348" t="s">
        <v>32</v>
      </c>
      <c r="B44" s="348" t="s">
        <v>36</v>
      </c>
      <c r="C44" s="334">
        <v>13</v>
      </c>
      <c r="D44" s="334">
        <v>3415127.0290000001</v>
      </c>
      <c r="E44" s="334">
        <v>40</v>
      </c>
      <c r="F44" s="334">
        <v>3514065</v>
      </c>
    </row>
    <row r="45" spans="1:6">
      <c r="A45" s="348" t="s">
        <v>32</v>
      </c>
      <c r="B45" s="348" t="s">
        <v>37</v>
      </c>
      <c r="C45" s="334">
        <v>5</v>
      </c>
      <c r="D45" s="334">
        <v>2864119.514</v>
      </c>
      <c r="E45" s="334">
        <v>12</v>
      </c>
      <c r="F45" s="334">
        <v>11952488.166999999</v>
      </c>
    </row>
    <row r="46" spans="1:6">
      <c r="A46" s="348" t="s">
        <v>32</v>
      </c>
      <c r="B46" s="348" t="s">
        <v>38</v>
      </c>
      <c r="C46" s="334">
        <v>0</v>
      </c>
      <c r="D46" s="334">
        <v>0</v>
      </c>
      <c r="E46" s="334">
        <v>0</v>
      </c>
      <c r="F46" s="334">
        <v>0</v>
      </c>
    </row>
    <row r="47" spans="1:6">
      <c r="A47" s="348" t="s">
        <v>32</v>
      </c>
      <c r="B47" s="348" t="s">
        <v>39</v>
      </c>
      <c r="C47" s="334">
        <v>0</v>
      </c>
      <c r="D47" s="334">
        <v>0</v>
      </c>
      <c r="E47" s="334">
        <v>4</v>
      </c>
      <c r="F47" s="334">
        <v>289818</v>
      </c>
    </row>
    <row r="48" spans="1:6">
      <c r="A48" s="348" t="s">
        <v>32</v>
      </c>
      <c r="B48" s="348" t="s">
        <v>29</v>
      </c>
      <c r="C48" s="334">
        <v>2</v>
      </c>
      <c r="D48" s="334">
        <v>872470</v>
      </c>
      <c r="E48" s="334">
        <v>0</v>
      </c>
      <c r="F48" s="334">
        <v>0</v>
      </c>
    </row>
    <row r="49" spans="1:6">
      <c r="A49" s="348" t="s">
        <v>32</v>
      </c>
      <c r="B49" s="348" t="s">
        <v>40</v>
      </c>
      <c r="C49" s="334">
        <v>0</v>
      </c>
      <c r="D49" s="334">
        <v>0</v>
      </c>
      <c r="E49" s="334">
        <v>6</v>
      </c>
      <c r="F49" s="334">
        <v>141192</v>
      </c>
    </row>
    <row r="50" spans="1:6">
      <c r="A50" s="348" t="s">
        <v>32</v>
      </c>
      <c r="B50" s="348" t="s">
        <v>41</v>
      </c>
      <c r="C50" s="334">
        <v>28</v>
      </c>
      <c r="D50" s="334">
        <v>31474578.978</v>
      </c>
      <c r="E50" s="334">
        <v>39</v>
      </c>
      <c r="F50" s="334">
        <v>30498939.84</v>
      </c>
    </row>
    <row r="51" spans="1:6">
      <c r="A51" s="348" t="s">
        <v>42</v>
      </c>
      <c r="B51" s="348" t="s">
        <v>43</v>
      </c>
      <c r="C51" s="334">
        <v>10</v>
      </c>
      <c r="D51" s="334">
        <v>414281</v>
      </c>
      <c r="E51" s="334">
        <v>41</v>
      </c>
      <c r="F51" s="334">
        <v>535677</v>
      </c>
    </row>
    <row r="52" spans="1:6">
      <c r="A52" s="348" t="s">
        <v>42</v>
      </c>
      <c r="B52" s="348" t="s">
        <v>29</v>
      </c>
      <c r="C52" s="334">
        <v>0</v>
      </c>
      <c r="D52" s="334">
        <v>0</v>
      </c>
      <c r="E52" s="334">
        <v>0</v>
      </c>
      <c r="F52" s="334">
        <v>0</v>
      </c>
    </row>
    <row r="53" spans="1:6">
      <c r="A53" s="348" t="s">
        <v>44</v>
      </c>
      <c r="B53" s="348" t="s">
        <v>45</v>
      </c>
      <c r="C53" s="334">
        <v>103</v>
      </c>
      <c r="D53" s="334">
        <v>2529532.0499999998</v>
      </c>
      <c r="E53" s="334">
        <v>300</v>
      </c>
      <c r="F53" s="334">
        <v>3219713.719</v>
      </c>
    </row>
    <row r="54" spans="1:6">
      <c r="A54" s="348" t="s">
        <v>46</v>
      </c>
      <c r="B54" s="348" t="s">
        <v>47</v>
      </c>
      <c r="C54" s="334">
        <v>0</v>
      </c>
      <c r="D54" s="334">
        <v>0</v>
      </c>
      <c r="E54" s="334">
        <v>3</v>
      </c>
      <c r="F54" s="334">
        <v>1981541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101</v>
      </c>
      <c r="D57" s="334">
        <v>7978700.443</v>
      </c>
      <c r="E57" s="334">
        <v>216</v>
      </c>
      <c r="F57" s="334">
        <v>11641438.793</v>
      </c>
    </row>
    <row r="58" spans="1:6">
      <c r="A58" s="348" t="s">
        <v>49</v>
      </c>
      <c r="B58" s="348" t="s">
        <v>51</v>
      </c>
      <c r="C58" s="334">
        <v>66</v>
      </c>
      <c r="D58" s="334">
        <v>3421074</v>
      </c>
      <c r="E58" s="334">
        <v>84</v>
      </c>
      <c r="F58" s="334">
        <v>1395974</v>
      </c>
    </row>
    <row r="59" spans="1:6">
      <c r="A59" s="348" t="s">
        <v>49</v>
      </c>
      <c r="B59" s="348" t="s">
        <v>52</v>
      </c>
      <c r="C59" s="334">
        <v>241</v>
      </c>
      <c r="D59" s="334">
        <v>11073548.313999999</v>
      </c>
      <c r="E59" s="334">
        <v>531</v>
      </c>
      <c r="F59" s="334">
        <v>20232737.228999998</v>
      </c>
    </row>
    <row r="60" spans="1:6">
      <c r="A60" s="348" t="s">
        <v>49</v>
      </c>
      <c r="B60" s="348" t="s">
        <v>53</v>
      </c>
      <c r="C60" s="334">
        <v>157</v>
      </c>
      <c r="D60" s="334">
        <v>9536731.1429999992</v>
      </c>
      <c r="E60" s="334">
        <v>217</v>
      </c>
      <c r="F60" s="334">
        <v>8110594.9819999998</v>
      </c>
    </row>
    <row r="61" spans="1:6">
      <c r="A61" s="348" t="s">
        <v>49</v>
      </c>
      <c r="B61" s="348" t="s">
        <v>54</v>
      </c>
      <c r="C61" s="334">
        <v>284</v>
      </c>
      <c r="D61" s="334">
        <v>19482786.409000002</v>
      </c>
      <c r="E61" s="334">
        <v>647</v>
      </c>
      <c r="F61" s="334">
        <v>9405831.8920000009</v>
      </c>
    </row>
    <row r="62" spans="1:6">
      <c r="A62" s="348" t="s">
        <v>49</v>
      </c>
      <c r="B62" s="348" t="s">
        <v>55</v>
      </c>
      <c r="C62" s="334">
        <v>29</v>
      </c>
      <c r="D62" s="334">
        <v>7044486.4160000002</v>
      </c>
      <c r="E62" s="334">
        <v>39</v>
      </c>
      <c r="F62" s="334">
        <v>1946727.48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37585</v>
      </c>
      <c r="E65" s="334">
        <v>0</v>
      </c>
      <c r="F65" s="334">
        <v>0</v>
      </c>
    </row>
    <row r="66" spans="1:6">
      <c r="A66" s="348" t="s">
        <v>56</v>
      </c>
      <c r="B66" s="348" t="s">
        <v>58</v>
      </c>
      <c r="C66" s="334">
        <v>0</v>
      </c>
      <c r="D66" s="334">
        <v>0</v>
      </c>
      <c r="E66" s="334">
        <v>30</v>
      </c>
      <c r="F66" s="334">
        <v>766933.05900000001</v>
      </c>
    </row>
    <row r="67" spans="1:6">
      <c r="A67" s="355" t="s">
        <v>56</v>
      </c>
      <c r="B67" s="355" t="s">
        <v>59</v>
      </c>
      <c r="C67" s="334">
        <v>3</v>
      </c>
      <c r="D67" s="334">
        <v>8815</v>
      </c>
      <c r="E67" s="334">
        <v>6</v>
      </c>
      <c r="F67" s="334">
        <v>52035</v>
      </c>
    </row>
    <row r="68" spans="1:6">
      <c r="A68" s="341" t="s">
        <v>56</v>
      </c>
      <c r="B68" s="341" t="s">
        <v>60</v>
      </c>
      <c r="C68" s="334">
        <v>4</v>
      </c>
      <c r="D68" s="334">
        <v>189745</v>
      </c>
      <c r="E68" s="334">
        <v>18</v>
      </c>
      <c r="F68" s="334">
        <v>251812.611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82141328</v>
      </c>
      <c r="E73" s="475">
        <v>83028744.968455166</v>
      </c>
    </row>
    <row r="74" spans="1:6">
      <c r="A74" s="348" t="s">
        <v>64</v>
      </c>
      <c r="B74" s="348" t="s">
        <v>657</v>
      </c>
      <c r="C74" s="1295" t="s">
        <v>659</v>
      </c>
      <c r="D74" s="475">
        <v>3683986.5</v>
      </c>
      <c r="E74" s="475">
        <v>3723685.2682883344</v>
      </c>
    </row>
    <row r="75" spans="1:6">
      <c r="A75" s="348" t="s">
        <v>65</v>
      </c>
      <c r="B75" s="348" t="s">
        <v>656</v>
      </c>
      <c r="C75" s="1295" t="s">
        <v>660</v>
      </c>
      <c r="D75" s="475">
        <v>54504680</v>
      </c>
      <c r="E75" s="475">
        <v>55098335.241859458</v>
      </c>
    </row>
    <row r="76" spans="1:6">
      <c r="A76" s="348" t="s">
        <v>65</v>
      </c>
      <c r="B76" s="348" t="s">
        <v>657</v>
      </c>
      <c r="C76" s="1295" t="s">
        <v>661</v>
      </c>
      <c r="D76" s="475">
        <v>184319.5</v>
      </c>
      <c r="E76" s="475">
        <v>180312.91423421574</v>
      </c>
    </row>
    <row r="77" spans="1:6">
      <c r="A77" s="348" t="s">
        <v>66</v>
      </c>
      <c r="B77" s="348" t="s">
        <v>656</v>
      </c>
      <c r="C77" s="1295" t="s">
        <v>662</v>
      </c>
      <c r="D77" s="475">
        <v>177490472</v>
      </c>
      <c r="E77" s="475">
        <v>194478451.86697337</v>
      </c>
    </row>
    <row r="78" spans="1:6">
      <c r="A78" s="341" t="s">
        <v>66</v>
      </c>
      <c r="B78" s="341" t="s">
        <v>657</v>
      </c>
      <c r="C78" s="341" t="s">
        <v>663</v>
      </c>
      <c r="D78" s="1296">
        <v>36339783</v>
      </c>
      <c r="E78" s="1296">
        <v>38009999.026339144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1345533</v>
      </c>
      <c r="C83" s="475">
        <v>1375873.6667068128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13779.58500203706</v>
      </c>
    </row>
    <row r="91" spans="1:6">
      <c r="A91" s="348" t="s">
        <v>68</v>
      </c>
      <c r="B91" s="334">
        <v>8644.5884106517951</v>
      </c>
    </row>
    <row r="92" spans="1:6">
      <c r="A92" s="341" t="s">
        <v>69</v>
      </c>
      <c r="B92" s="342">
        <v>5241.77806601466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3400</v>
      </c>
    </row>
    <row r="98" spans="1:6">
      <c r="A98" s="348" t="s">
        <v>72</v>
      </c>
      <c r="B98" s="334">
        <v>6</v>
      </c>
    </row>
    <row r="99" spans="1:6">
      <c r="A99" s="348" t="s">
        <v>73</v>
      </c>
      <c r="B99" s="334">
        <v>67</v>
      </c>
    </row>
    <row r="100" spans="1:6">
      <c r="A100" s="348" t="s">
        <v>74</v>
      </c>
      <c r="B100" s="334">
        <v>207</v>
      </c>
    </row>
    <row r="101" spans="1:6">
      <c r="A101" s="348" t="s">
        <v>75</v>
      </c>
      <c r="B101" s="334">
        <v>62</v>
      </c>
    </row>
    <row r="102" spans="1:6">
      <c r="A102" s="348" t="s">
        <v>76</v>
      </c>
      <c r="B102" s="334">
        <v>166</v>
      </c>
    </row>
    <row r="103" spans="1:6">
      <c r="A103" s="348" t="s">
        <v>77</v>
      </c>
      <c r="B103" s="334">
        <v>284</v>
      </c>
    </row>
    <row r="104" spans="1:6">
      <c r="A104" s="348" t="s">
        <v>78</v>
      </c>
      <c r="B104" s="334">
        <v>8734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30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461</v>
      </c>
    </row>
    <row r="130" spans="1:6">
      <c r="A130" s="348" t="s">
        <v>295</v>
      </c>
      <c r="B130" s="334">
        <v>0</v>
      </c>
    </row>
    <row r="131" spans="1:6">
      <c r="A131" s="348" t="s">
        <v>296</v>
      </c>
      <c r="B131" s="334">
        <v>0</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186646.53165676579</v>
      </c>
      <c r="C3" s="43" t="s">
        <v>170</v>
      </c>
      <c r="D3" s="43"/>
      <c r="E3" s="154"/>
      <c r="F3" s="43"/>
      <c r="G3" s="43"/>
      <c r="H3" s="43"/>
      <c r="I3" s="43"/>
      <c r="J3" s="43"/>
      <c r="K3" s="96"/>
    </row>
    <row r="4" spans="1:11">
      <c r="A4" s="383" t="s">
        <v>171</v>
      </c>
      <c r="B4" s="49">
        <f>IF(ISERROR('SEAP template'!B78+'SEAP template'!C78),0,'SEAP template'!B78+'SEAP template'!C78)</f>
        <v>27665.951478703515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0.18824195610536623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1981.5409999999999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1981.5409999999999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0.18824195610536623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373.00915394298352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47201.315649999997</v>
      </c>
      <c r="C5" s="17">
        <f>IF(ISERROR('Eigen informatie GS &amp; warmtenet'!B57),0,'Eigen informatie GS &amp; warmtenet'!B57)</f>
        <v>0</v>
      </c>
      <c r="D5" s="30">
        <f>(SUM(HH_hh_gas_kWh,HH_rest_gas_kWh)/1000)*0.902</f>
        <v>118410.76853320001</v>
      </c>
      <c r="E5" s="17">
        <f>B46*B57</f>
        <v>9770.7459673677658</v>
      </c>
      <c r="F5" s="17">
        <f>B51*B62</f>
        <v>105696.69669989066</v>
      </c>
      <c r="G5" s="18"/>
      <c r="H5" s="17"/>
      <c r="I5" s="17"/>
      <c r="J5" s="17">
        <f>B50*B61+C50*C61</f>
        <v>0</v>
      </c>
      <c r="K5" s="17"/>
      <c r="L5" s="17"/>
      <c r="M5" s="17"/>
      <c r="N5" s="17">
        <f>B48*B59+C48*C59</f>
        <v>30813.233639317004</v>
      </c>
      <c r="O5" s="17">
        <f>B69*B70*B71</f>
        <v>769.16000000000008</v>
      </c>
      <c r="P5" s="17">
        <f>B77*B78*B79/1000-B77*B78*B79/1000/B80</f>
        <v>1182.1333333333332</v>
      </c>
    </row>
    <row r="6" spans="1:16">
      <c r="A6" s="16" t="s">
        <v>621</v>
      </c>
      <c r="B6" s="788">
        <f>kWh_PV_kleiner_dan_10kW</f>
        <v>8644.5884106517951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55845.904060651796</v>
      </c>
      <c r="C8" s="21">
        <f>C5</f>
        <v>0</v>
      </c>
      <c r="D8" s="21">
        <f>D5</f>
        <v>118410.76853320001</v>
      </c>
      <c r="E8" s="21">
        <f>E5</f>
        <v>9770.7459673677658</v>
      </c>
      <c r="F8" s="21">
        <f>F5</f>
        <v>105696.69669989066</v>
      </c>
      <c r="G8" s="21"/>
      <c r="H8" s="21"/>
      <c r="I8" s="21"/>
      <c r="J8" s="21">
        <f>J5</f>
        <v>0</v>
      </c>
      <c r="K8" s="21"/>
      <c r="L8" s="21">
        <f>L5</f>
        <v>0</v>
      </c>
      <c r="M8" s="21">
        <f>M5</f>
        <v>0</v>
      </c>
      <c r="N8" s="21">
        <f>N5</f>
        <v>30813.233639317004</v>
      </c>
      <c r="O8" s="21">
        <f>O5</f>
        <v>769.16000000000008</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0.18824195610536623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10512.542220849709</v>
      </c>
      <c r="C12" s="23">
        <f ca="1">C10*C8</f>
        <v>0</v>
      </c>
      <c r="D12" s="23">
        <f>D8*D10</f>
        <v>23918.975243706405</v>
      </c>
      <c r="E12" s="23">
        <f>E10*E8</f>
        <v>2217.9593345924827</v>
      </c>
      <c r="F12" s="23">
        <f>F10*F8</f>
        <v>28221.018018870807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3400</v>
      </c>
      <c r="C18" s="166" t="s">
        <v>111</v>
      </c>
      <c r="D18" s="228"/>
      <c r="E18" s="15"/>
    </row>
    <row r="19" spans="1:7">
      <c r="A19" s="171" t="s">
        <v>72</v>
      </c>
      <c r="B19" s="37">
        <f>aantalw2001_ander</f>
        <v>6</v>
      </c>
      <c r="C19" s="166" t="s">
        <v>111</v>
      </c>
      <c r="D19" s="229"/>
      <c r="E19" s="15"/>
    </row>
    <row r="20" spans="1:7">
      <c r="A20" s="171" t="s">
        <v>73</v>
      </c>
      <c r="B20" s="37">
        <f>aantalw2001_propaan</f>
        <v>67</v>
      </c>
      <c r="C20" s="167">
        <f>IF(ISERROR(B20/SUM($B$20,$B$21,$B$22)*100),0,B20/SUM($B$20,$B$21,$B$22)*100)</f>
        <v>19.940476190476193</v>
      </c>
      <c r="D20" s="229"/>
      <c r="E20" s="15"/>
    </row>
    <row r="21" spans="1:7">
      <c r="A21" s="171" t="s">
        <v>74</v>
      </c>
      <c r="B21" s="37">
        <f>aantalw2001_elektriciteit</f>
        <v>207</v>
      </c>
      <c r="C21" s="167">
        <f>IF(ISERROR(B21/SUM($B$20,$B$21,$B$22)*100),0,B21/SUM($B$20,$B$21,$B$22)*100)</f>
        <v>61.607142857142861</v>
      </c>
      <c r="D21" s="229"/>
      <c r="E21" s="15"/>
    </row>
    <row r="22" spans="1:7">
      <c r="A22" s="171" t="s">
        <v>75</v>
      </c>
      <c r="B22" s="37">
        <f>aantalw2001_hout</f>
        <v>62</v>
      </c>
      <c r="C22" s="167">
        <f>IF(ISERROR(B22/SUM($B$20,$B$21,$B$22)*100),0,B22/SUM($B$20,$B$21,$B$22)*100)</f>
        <v>18.452380952380953</v>
      </c>
      <c r="D22" s="229"/>
      <c r="E22" s="15"/>
    </row>
    <row r="23" spans="1:7">
      <c r="A23" s="171" t="s">
        <v>76</v>
      </c>
      <c r="B23" s="37">
        <f>aantalw2001_niet_gespec</f>
        <v>166</v>
      </c>
      <c r="C23" s="166" t="s">
        <v>111</v>
      </c>
      <c r="D23" s="228"/>
      <c r="E23" s="15"/>
    </row>
    <row r="24" spans="1:7">
      <c r="A24" s="171" t="s">
        <v>77</v>
      </c>
      <c r="B24" s="37">
        <f>aantalw2001_steenkool</f>
        <v>284</v>
      </c>
      <c r="C24" s="166" t="s">
        <v>111</v>
      </c>
      <c r="D24" s="229"/>
      <c r="E24" s="15"/>
    </row>
    <row r="25" spans="1:7">
      <c r="A25" s="171" t="s">
        <v>78</v>
      </c>
      <c r="B25" s="37">
        <f>aantalw2001_stookolie</f>
        <v>8734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15027</v>
      </c>
      <c r="C28" s="36"/>
      <c r="D28" s="228"/>
    </row>
    <row r="29" spans="1:7" s="15" customFormat="1">
      <c r="A29" s="230" t="s">
        <v>794</v>
      </c>
      <c r="B29" s="37">
        <f>SUM(HH_hh_gas_aantal,HH_rest_gas_aantal)</f>
        <v>8568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8568</v>
      </c>
      <c r="C32" s="167">
        <f>IF(ISERROR(B32/SUM($B$32,$B$34,$B$35,$B$36,$B$38,$B$39)*100),0,B32/SUM($B$32,$B$34,$B$35,$B$36,$B$38,$B$39)*100)</f>
        <v>57.253591713999327</v>
      </c>
      <c r="D32" s="233"/>
      <c r="G32" s="15"/>
    </row>
    <row r="33" spans="1:7">
      <c r="A33" s="171" t="s">
        <v>72</v>
      </c>
      <c r="B33" s="34" t="s">
        <v>111</v>
      </c>
      <c r="C33" s="167"/>
      <c r="D33" s="233"/>
      <c r="G33" s="15"/>
    </row>
    <row r="34" spans="1:7">
      <c r="A34" s="171" t="s">
        <v>73</v>
      </c>
      <c r="B34" s="33">
        <f>IF((($B$28-$B$32-$B$39-$B$77-$B$38)*C20/100)&lt;0,0,($B$28-$B$32-$B$39-$B$77-$B$38)*C20/100)</f>
        <v>461.46249999999998</v>
      </c>
      <c r="C34" s="167">
        <f>IF(ISERROR(B34/SUM($B$32,$B$34,$B$35,$B$36,$B$38,$B$39)*100),0,B34/SUM($B$32,$B$34,$B$35,$B$36,$B$38,$B$39)*100)</f>
        <v>3.0836117607751419</v>
      </c>
      <c r="D34" s="233"/>
      <c r="G34" s="15"/>
    </row>
    <row r="35" spans="1:7">
      <c r="A35" s="171" t="s">
        <v>74</v>
      </c>
      <c r="B35" s="33">
        <f>IF((($B$28-$B$32-$B$39-$B$77-$B$38)*C21/100)&lt;0,0,($B$28-$B$32-$B$39-$B$77-$B$38)*C21/100)</f>
        <v>1425.7125000000001</v>
      </c>
      <c r="C35" s="167">
        <f>IF(ISERROR(B35/SUM($B$32,$B$34,$B$35,$B$36,$B$38,$B$39)*100),0,B35/SUM($B$32,$B$34,$B$35,$B$36,$B$38,$B$39)*100)</f>
        <v>9.5269796191112608</v>
      </c>
      <c r="D35" s="233"/>
      <c r="G35" s="15"/>
    </row>
    <row r="36" spans="1:7">
      <c r="A36" s="171" t="s">
        <v>75</v>
      </c>
      <c r="B36" s="33">
        <f>IF((($B$28-$B$32-$B$39-$B$77-$B$38)*C22/100)&lt;0,0,($B$28-$B$32-$B$39-$B$77-$B$38)*C22/100)</f>
        <v>427.02499999999998</v>
      </c>
      <c r="C36" s="167">
        <f>IF(ISERROR(B36/SUM($B$32,$B$34,$B$35,$B$36,$B$38,$B$39)*100),0,B36/SUM($B$32,$B$34,$B$35,$B$36,$B$38,$B$39)*100)</f>
        <v>2.8534914801202804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4082.8</v>
      </c>
      <c r="C39" s="167">
        <f>IF(ISERROR(B39/SUM($B$32,$B$34,$B$35,$B$36,$B$38,$B$39)*100),0,B39/SUM($B$32,$B$34,$B$35,$B$36,$B$38,$B$39)*100)</f>
        <v>27.282325425993985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8568</v>
      </c>
      <c r="C44" s="34" t="s">
        <v>111</v>
      </c>
      <c r="D44" s="174"/>
    </row>
    <row r="45" spans="1:7">
      <c r="A45" s="171" t="s">
        <v>72</v>
      </c>
      <c r="B45" s="33" t="str">
        <f t="shared" si="0"/>
        <v>-</v>
      </c>
      <c r="C45" s="34" t="s">
        <v>111</v>
      </c>
      <c r="D45" s="174"/>
    </row>
    <row r="46" spans="1:7">
      <c r="A46" s="171" t="s">
        <v>73</v>
      </c>
      <c r="B46" s="33">
        <f t="shared" si="0"/>
        <v>461.46249999999998</v>
      </c>
      <c r="C46" s="34" t="s">
        <v>111</v>
      </c>
      <c r="D46" s="174"/>
    </row>
    <row r="47" spans="1:7">
      <c r="A47" s="171" t="s">
        <v>74</v>
      </c>
      <c r="B47" s="33">
        <f t="shared" si="0"/>
        <v>1425.7125000000001</v>
      </c>
      <c r="C47" s="34" t="s">
        <v>111</v>
      </c>
      <c r="D47" s="174"/>
    </row>
    <row r="48" spans="1:7">
      <c r="A48" s="171" t="s">
        <v>75</v>
      </c>
      <c r="B48" s="33">
        <f t="shared" si="0"/>
        <v>427.02499999999998</v>
      </c>
      <c r="C48" s="33">
        <f>B48*10</f>
        <v>4270.25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4082.8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52733.304376000007</v>
      </c>
      <c r="C5" s="17">
        <f>IF(ISERROR('Eigen informatie GS &amp; warmtenet'!B58),0,'Eigen informatie GS &amp; warmtenet'!B58)</f>
        <v>0</v>
      </c>
      <c r="D5" s="30">
        <f>SUM(D6:D12)</f>
        <v>52800.668705949996</v>
      </c>
      <c r="E5" s="17">
        <f>SUM(E6:E12)</f>
        <v>893.37676907955279</v>
      </c>
      <c r="F5" s="17">
        <f>SUM(F6:F12)</f>
        <v>9931.9244599996</v>
      </c>
      <c r="G5" s="18"/>
      <c r="H5" s="17"/>
      <c r="I5" s="17"/>
      <c r="J5" s="17">
        <f>SUM(J6:J12)</f>
        <v>0.25269000301598299</v>
      </c>
      <c r="K5" s="17"/>
      <c r="L5" s="17"/>
      <c r="M5" s="17"/>
      <c r="N5" s="17">
        <f>SUM(N6:N12)</f>
        <v>9952.0501579531192</v>
      </c>
      <c r="O5" s="17">
        <f>B38*B39*B40</f>
        <v>0</v>
      </c>
      <c r="P5" s="17">
        <f>B46*B47*B48/1000-B46*B47*B48/1000/B49</f>
        <v>0</v>
      </c>
      <c r="R5" s="32"/>
    </row>
    <row r="6" spans="1:18">
      <c r="A6" s="32" t="s">
        <v>54</v>
      </c>
      <c r="B6" s="37">
        <f>B26</f>
        <v>9405.8318920000002</v>
      </c>
      <c r="C6" s="33"/>
      <c r="D6" s="37">
        <f>IF(ISERROR(TER_kantoor_gas_kWh/1000),0,TER_kantoor_gas_kWh/1000)*0.902</f>
        <v>17573.473340918001</v>
      </c>
      <c r="E6" s="33">
        <f>$C$26*'E Balans VL '!I12/100/3.6*1000000</f>
        <v>5.8952625968378441E-2</v>
      </c>
      <c r="F6" s="33">
        <f>$C$26*('E Balans VL '!L12+'E Balans VL '!N12)/100/3.6*1000000</f>
        <v>1413.4337093580227</v>
      </c>
      <c r="G6" s="34"/>
      <c r="H6" s="33"/>
      <c r="I6" s="33"/>
      <c r="J6" s="33">
        <f>$C$26*('E Balans VL '!D12+'E Balans VL '!E12)/100/3.6*1000000</f>
        <v>0</v>
      </c>
      <c r="K6" s="33"/>
      <c r="L6" s="33"/>
      <c r="M6" s="33"/>
      <c r="N6" s="33">
        <f>$C$26*'E Balans VL '!Y12/100/3.6*1000000</f>
        <v>8.995283637074353</v>
      </c>
      <c r="O6" s="33"/>
      <c r="P6" s="33"/>
      <c r="R6" s="32"/>
    </row>
    <row r="7" spans="1:18">
      <c r="A7" s="32" t="s">
        <v>53</v>
      </c>
      <c r="B7" s="37">
        <f t="shared" ref="B7:B12" si="0">B27</f>
        <v>8110.5949819999996</v>
      </c>
      <c r="C7" s="33"/>
      <c r="D7" s="37">
        <f>IF(ISERROR(TER_horeca_gas_kWh/1000),0,TER_horeca_gas_kWh/1000)*0.902</f>
        <v>8602.1314909859993</v>
      </c>
      <c r="E7" s="33">
        <f>$C$27*'E Balans VL '!I9/100/3.6*1000000</f>
        <v>116.14236917501306</v>
      </c>
      <c r="F7" s="33">
        <f>$C$27*('E Balans VL '!L9+'E Balans VL '!N9)/100/3.6*1000000</f>
        <v>1027.0688224492874</v>
      </c>
      <c r="G7" s="34"/>
      <c r="H7" s="33"/>
      <c r="I7" s="33"/>
      <c r="J7" s="33">
        <f>$C$27*('E Balans VL '!D9+'E Balans VL '!E9)/100/3.6*1000000</f>
        <v>0</v>
      </c>
      <c r="K7" s="33"/>
      <c r="L7" s="33"/>
      <c r="M7" s="33"/>
      <c r="N7" s="33">
        <f>$C$27*'E Balans VL '!Y9/100/3.6*1000000</f>
        <v>2.3316172340557761</v>
      </c>
      <c r="O7" s="33"/>
      <c r="P7" s="33"/>
      <c r="R7" s="32"/>
    </row>
    <row r="8" spans="1:18">
      <c r="A8" s="6" t="s">
        <v>52</v>
      </c>
      <c r="B8" s="37">
        <f t="shared" si="0"/>
        <v>20232.737228999998</v>
      </c>
      <c r="C8" s="33"/>
      <c r="D8" s="37">
        <f>IF(ISERROR(TER_handel_gas_kWh/1000),0,TER_handel_gas_kWh/1000)*0.902</f>
        <v>9988.3405792279991</v>
      </c>
      <c r="E8" s="33">
        <f>$C$28*'E Balans VL '!I13/100/3.6*1000000</f>
        <v>733.83888430645436</v>
      </c>
      <c r="F8" s="33">
        <f>$C$28*('E Balans VL '!L13+'E Balans VL '!N13)/100/3.6*1000000</f>
        <v>3897.0300597950391</v>
      </c>
      <c r="G8" s="34"/>
      <c r="H8" s="33"/>
      <c r="I8" s="33"/>
      <c r="J8" s="33">
        <f>$C$28*('E Balans VL '!D13+'E Balans VL '!E13)/100/3.6*1000000</f>
        <v>0</v>
      </c>
      <c r="K8" s="33"/>
      <c r="L8" s="33"/>
      <c r="M8" s="33"/>
      <c r="N8" s="33">
        <f>$C$28*'E Balans VL '!Y13/100/3.6*1000000</f>
        <v>28.026996407379219</v>
      </c>
      <c r="O8" s="33"/>
      <c r="P8" s="33"/>
      <c r="R8" s="32"/>
    </row>
    <row r="9" spans="1:18">
      <c r="A9" s="32" t="s">
        <v>51</v>
      </c>
      <c r="B9" s="37">
        <f t="shared" si="0"/>
        <v>1395.9739999999999</v>
      </c>
      <c r="C9" s="33"/>
      <c r="D9" s="37">
        <f>IF(ISERROR(TER_gezond_gas_kWh/1000),0,TER_gezond_gas_kWh/1000)*0.902</f>
        <v>3085.8087479999999</v>
      </c>
      <c r="E9" s="33">
        <f>$C$29*'E Balans VL '!I10/100/3.6*1000000</f>
        <v>8.7401755153251645E-2</v>
      </c>
      <c r="F9" s="33">
        <f>$C$29*('E Balans VL '!L10+'E Balans VL '!N10)/100/3.6*1000000</f>
        <v>207.37618803604937</v>
      </c>
      <c r="G9" s="34"/>
      <c r="H9" s="33"/>
      <c r="I9" s="33"/>
      <c r="J9" s="33">
        <f>$C$29*('E Balans VL '!D10+'E Balans VL '!E10)/100/3.6*1000000</f>
        <v>0</v>
      </c>
      <c r="K9" s="33"/>
      <c r="L9" s="33"/>
      <c r="M9" s="33"/>
      <c r="N9" s="33">
        <f>$C$29*'E Balans VL '!Y10/100/3.6*1000000</f>
        <v>21.593060531976821</v>
      </c>
      <c r="O9" s="33"/>
      <c r="P9" s="33"/>
      <c r="R9" s="32"/>
    </row>
    <row r="10" spans="1:18">
      <c r="A10" s="32" t="s">
        <v>50</v>
      </c>
      <c r="B10" s="37">
        <f t="shared" si="0"/>
        <v>11641.438792999999</v>
      </c>
      <c r="C10" s="33"/>
      <c r="D10" s="37">
        <f>IF(ISERROR(TER_ander_gas_kWh/1000),0,TER_ander_gas_kWh/1000)*0.902</f>
        <v>7196.7877995859999</v>
      </c>
      <c r="E10" s="33">
        <f>$C$30*'E Balans VL '!I14/100/3.6*1000000</f>
        <v>13.876179046524298</v>
      </c>
      <c r="F10" s="33">
        <f>$C$30*('E Balans VL '!L14+'E Balans VL '!N14)/100/3.6*1000000</f>
        <v>3045.9179259684975</v>
      </c>
      <c r="G10" s="34"/>
      <c r="H10" s="33"/>
      <c r="I10" s="33"/>
      <c r="J10" s="33">
        <f>$C$30*('E Balans VL '!D14+'E Balans VL '!E14)/100/3.6*1000000</f>
        <v>0.25269000301598299</v>
      </c>
      <c r="K10" s="33"/>
      <c r="L10" s="33"/>
      <c r="M10" s="33"/>
      <c r="N10" s="33">
        <f>$C$30*'E Balans VL '!Y14/100/3.6*1000000</f>
        <v>9885.6249610180548</v>
      </c>
      <c r="O10" s="33"/>
      <c r="P10" s="33"/>
      <c r="R10" s="32"/>
    </row>
    <row r="11" spans="1:18">
      <c r="A11" s="32" t="s">
        <v>55</v>
      </c>
      <c r="B11" s="37">
        <f t="shared" si="0"/>
        <v>1946.72748</v>
      </c>
      <c r="C11" s="33"/>
      <c r="D11" s="37">
        <f>IF(ISERROR(TER_onderwijs_gas_kWh/1000),0,TER_onderwijs_gas_kWh/1000)*0.902</f>
        <v>6354.1267472320005</v>
      </c>
      <c r="E11" s="33">
        <f>$C$31*'E Balans VL '!I11/100/3.6*1000000</f>
        <v>29.372982170439457</v>
      </c>
      <c r="F11" s="33">
        <f>$C$31*('E Balans VL '!L11+'E Balans VL '!N11)/100/3.6*1000000</f>
        <v>341.09775439270453</v>
      </c>
      <c r="G11" s="34"/>
      <c r="H11" s="33"/>
      <c r="I11" s="33"/>
      <c r="J11" s="33">
        <f>$C$31*('E Balans VL '!D11+'E Balans VL '!E11)/100/3.6*1000000</f>
        <v>0</v>
      </c>
      <c r="K11" s="33"/>
      <c r="L11" s="33"/>
      <c r="M11" s="33"/>
      <c r="N11" s="33">
        <f>$C$31*'E Balans VL '!Y11/100/3.6*1000000</f>
        <v>5.4782391245789883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52733.304376000007</v>
      </c>
      <c r="C16" s="21">
        <f t="shared" ca="1" si="1"/>
        <v>0</v>
      </c>
      <c r="D16" s="21">
        <f t="shared" ca="1" si="1"/>
        <v>52800.668705949996</v>
      </c>
      <c r="E16" s="21">
        <f t="shared" si="1"/>
        <v>893.37676907955279</v>
      </c>
      <c r="F16" s="21">
        <f t="shared" ca="1" si="1"/>
        <v>9931.9244599996</v>
      </c>
      <c r="G16" s="21">
        <f t="shared" si="1"/>
        <v>0</v>
      </c>
      <c r="H16" s="21">
        <f t="shared" si="1"/>
        <v>0</v>
      </c>
      <c r="I16" s="21">
        <f t="shared" si="1"/>
        <v>0</v>
      </c>
      <c r="J16" s="21">
        <f t="shared" si="1"/>
        <v>0.25269000301598299</v>
      </c>
      <c r="K16" s="21">
        <f t="shared" si="1"/>
        <v>0</v>
      </c>
      <c r="L16" s="21">
        <f t="shared" ca="1" si="1"/>
        <v>0</v>
      </c>
      <c r="M16" s="21">
        <f t="shared" si="1"/>
        <v>0</v>
      </c>
      <c r="N16" s="21">
        <f t="shared" ca="1" si="1"/>
        <v>9952.0501579531192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0.18824195610536623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9926.62036763791</v>
      </c>
      <c r="C20" s="23">
        <f t="shared" ref="C20:P20" ca="1" si="2">C16*C18</f>
        <v>0</v>
      </c>
      <c r="D20" s="23">
        <f t="shared" ca="1" si="2"/>
        <v>10665.7350786019</v>
      </c>
      <c r="E20" s="23">
        <f t="shared" si="2"/>
        <v>202.79652658105849</v>
      </c>
      <c r="F20" s="23">
        <f t="shared" ca="1" si="2"/>
        <v>2651.8238308198934</v>
      </c>
      <c r="G20" s="23">
        <f t="shared" si="2"/>
        <v>0</v>
      </c>
      <c r="H20" s="23">
        <f t="shared" si="2"/>
        <v>0</v>
      </c>
      <c r="I20" s="23">
        <f t="shared" si="2"/>
        <v>0</v>
      </c>
      <c r="J20" s="23">
        <f t="shared" si="2"/>
        <v>8.9452261067657968E-2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9405.8318920000002</v>
      </c>
      <c r="C26" s="39">
        <f>IF(ISERROR(B26*3.6/1000000/'E Balans VL '!Z12*100),0,B26*3.6/1000000/'E Balans VL '!Z12*100)</f>
        <v>0.19882438615561124</v>
      </c>
      <c r="D26" s="237" t="s">
        <v>754</v>
      </c>
      <c r="F26" s="6"/>
    </row>
    <row r="27" spans="1:18">
      <c r="A27" s="231" t="s">
        <v>53</v>
      </c>
      <c r="B27" s="33">
        <f>IF(ISERROR(TER_horeca_ele_kWh/1000),0,TER_horeca_ele_kWh/1000)</f>
        <v>8110.5949819999996</v>
      </c>
      <c r="C27" s="39">
        <f>IF(ISERROR(B27*3.6/1000000/'E Balans VL '!Z9*100),0,B27*3.6/1000000/'E Balans VL '!Z9*100)</f>
        <v>0.63935517945798181</v>
      </c>
      <c r="D27" s="237" t="s">
        <v>754</v>
      </c>
      <c r="F27" s="6"/>
    </row>
    <row r="28" spans="1:18">
      <c r="A28" s="171" t="s">
        <v>52</v>
      </c>
      <c r="B28" s="33">
        <f>IF(ISERROR(TER_handel_ele_kWh/1000),0,TER_handel_ele_kWh/1000)</f>
        <v>20232.737228999998</v>
      </c>
      <c r="C28" s="39">
        <f>IF(ISERROR(B28*3.6/1000000/'E Balans VL '!Z13*100),0,B28*3.6/1000000/'E Balans VL '!Z13*100)</f>
        <v>0.58723578380450658</v>
      </c>
      <c r="D28" s="237" t="s">
        <v>754</v>
      </c>
      <c r="F28" s="6"/>
    </row>
    <row r="29" spans="1:18">
      <c r="A29" s="231" t="s">
        <v>51</v>
      </c>
      <c r="B29" s="33">
        <f>IF(ISERROR(TER_gezond_ele_kWh/1000),0,TER_gezond_ele_kWh/1000)</f>
        <v>1395.9739999999999</v>
      </c>
      <c r="C29" s="39">
        <f>IF(ISERROR(B29*3.6/1000000/'E Balans VL '!Z10*100),0,B29*3.6/1000000/'E Balans VL '!Z10*100)</f>
        <v>0.14701898469814534</v>
      </c>
      <c r="D29" s="237" t="s">
        <v>754</v>
      </c>
      <c r="F29" s="6"/>
    </row>
    <row r="30" spans="1:18">
      <c r="A30" s="231" t="s">
        <v>50</v>
      </c>
      <c r="B30" s="33">
        <f>IF(ISERROR(TER_ander_ele_kWh/1000),0,TER_ander_ele_kWh/1000)</f>
        <v>11641.438792999999</v>
      </c>
      <c r="C30" s="39">
        <f>IF(ISERROR(B30*3.6/1000000/'E Balans VL '!Z14*100),0,B30*3.6/1000000/'E Balans VL '!Z14*100)</f>
        <v>0.85867505387960819</v>
      </c>
      <c r="D30" s="237" t="s">
        <v>754</v>
      </c>
      <c r="F30" s="6"/>
    </row>
    <row r="31" spans="1:18">
      <c r="A31" s="231" t="s">
        <v>55</v>
      </c>
      <c r="B31" s="33">
        <f>IF(ISERROR(TER_onderwijs_ele_kWh/1000),0,TER_onderwijs_ele_kWh/1000)</f>
        <v>1946.72748</v>
      </c>
      <c r="C31" s="39">
        <f>IF(ISERROR(B31*3.6/1000000/'E Balans VL '!Z11*100),0,B31*3.6/1000000/'E Balans VL '!Z11*100)</f>
        <v>0.48346362336953508</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72206.809169</v>
      </c>
      <c r="C5" s="17">
        <f>IF(ISERROR('Eigen informatie GS &amp; warmtenet'!B59),0,'Eigen informatie GS &amp; warmtenet'!B59)</f>
        <v>0</v>
      </c>
      <c r="D5" s="30">
        <f>SUM(D6:D15)</f>
        <v>40880.138214784005</v>
      </c>
      <c r="E5" s="17">
        <f>SUM(E6:E15)</f>
        <v>1967.4769085362691</v>
      </c>
      <c r="F5" s="17">
        <f>SUM(F6:F15)</f>
        <v>10668.933778644589</v>
      </c>
      <c r="G5" s="18"/>
      <c r="H5" s="17"/>
      <c r="I5" s="17"/>
      <c r="J5" s="17">
        <f>SUM(J6:J15)</f>
        <v>19.686362961641315</v>
      </c>
      <c r="K5" s="17"/>
      <c r="L5" s="17"/>
      <c r="M5" s="17"/>
      <c r="N5" s="17">
        <f>SUM(N6:N15)</f>
        <v>7749.700166010316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3514.0650000000001</v>
      </c>
      <c r="C8" s="33"/>
      <c r="D8" s="37">
        <f>IF( ISERROR(IND_metaal_Gas_kWH/1000),0,IND_metaal_Gas_kWH/1000)*0.902</f>
        <v>3080.4445801580005</v>
      </c>
      <c r="E8" s="33">
        <f>C30*'E Balans VL '!I18/100/3.6*1000000</f>
        <v>32.308433758746752</v>
      </c>
      <c r="F8" s="33">
        <f>C30*'E Balans VL '!L18/100/3.6*1000000+C30*'E Balans VL '!N18/100/3.6*1000000</f>
        <v>329.50230193337291</v>
      </c>
      <c r="G8" s="34"/>
      <c r="H8" s="33"/>
      <c r="I8" s="33"/>
      <c r="J8" s="40">
        <f>C30*'E Balans VL '!D18/100/3.6*1000000+C30*'E Balans VL '!E18/100/3.6*1000000</f>
        <v>0</v>
      </c>
      <c r="K8" s="33"/>
      <c r="L8" s="33"/>
      <c r="M8" s="33"/>
      <c r="N8" s="33">
        <f>C30*'E Balans VL '!Y18/100/3.6*1000000</f>
        <v>50.133944461961335</v>
      </c>
      <c r="O8" s="33"/>
      <c r="P8" s="33"/>
      <c r="R8" s="32"/>
    </row>
    <row r="9" spans="1:18">
      <c r="A9" s="6" t="s">
        <v>33</v>
      </c>
      <c r="B9" s="37">
        <f t="shared" si="0"/>
        <v>5036.3530580000006</v>
      </c>
      <c r="C9" s="33"/>
      <c r="D9" s="37">
        <f>IF( ISERROR(IND_andere_gas_kWh/1000),0,IND_andere_gas_kWh/1000)*0.902</f>
        <v>6039.2196548420006</v>
      </c>
      <c r="E9" s="33">
        <f>C31*'E Balans VL '!I19/100/3.6*1000000</f>
        <v>1472.2240450829538</v>
      </c>
      <c r="F9" s="33">
        <f>C31*'E Balans VL '!L19/100/3.6*1000000+C31*'E Balans VL '!N19/100/3.6*1000000</f>
        <v>4047.0908990010262</v>
      </c>
      <c r="G9" s="34"/>
      <c r="H9" s="33"/>
      <c r="I9" s="33"/>
      <c r="J9" s="40">
        <f>C31*'E Balans VL '!D19/100/3.6*1000000+C31*'E Balans VL '!E19/100/3.6*1000000</f>
        <v>0</v>
      </c>
      <c r="K9" s="33"/>
      <c r="L9" s="33"/>
      <c r="M9" s="33"/>
      <c r="N9" s="33">
        <f>C31*'E Balans VL '!Y19/100/3.6*1000000</f>
        <v>1664.0891586612472</v>
      </c>
      <c r="O9" s="33"/>
      <c r="P9" s="33"/>
      <c r="R9" s="32"/>
    </row>
    <row r="10" spans="1:18">
      <c r="A10" s="6" t="s">
        <v>41</v>
      </c>
      <c r="B10" s="37">
        <f t="shared" si="0"/>
        <v>30498.939839999999</v>
      </c>
      <c r="C10" s="33"/>
      <c r="D10" s="37">
        <f>IF( ISERROR(IND_voed_gas_kWh/1000),0,IND_voed_gas_kWh/1000)*0.902</f>
        <v>28390.070238156</v>
      </c>
      <c r="E10" s="33">
        <f>C32*'E Balans VL '!I20/100/3.6*1000000</f>
        <v>64.520980123183094</v>
      </c>
      <c r="F10" s="33">
        <f>C32*'E Balans VL '!L20/100/3.6*1000000+C32*'E Balans VL '!N20/100/3.6*1000000</f>
        <v>1939.153748780677</v>
      </c>
      <c r="G10" s="34"/>
      <c r="H10" s="33"/>
      <c r="I10" s="33"/>
      <c r="J10" s="40">
        <f>C32*'E Balans VL '!D20/100/3.6*1000000+C32*'E Balans VL '!E20/100/3.6*1000000</f>
        <v>0</v>
      </c>
      <c r="K10" s="33"/>
      <c r="L10" s="33"/>
      <c r="M10" s="33"/>
      <c r="N10" s="33">
        <f>C32*'E Balans VL '!Y20/100/3.6*1000000</f>
        <v>2104.7278198524396</v>
      </c>
      <c r="O10" s="33"/>
      <c r="P10" s="33"/>
      <c r="R10" s="32"/>
    </row>
    <row r="11" spans="1:18">
      <c r="A11" s="6" t="s">
        <v>40</v>
      </c>
      <c r="B11" s="37">
        <f t="shared" si="0"/>
        <v>141.19200000000001</v>
      </c>
      <c r="C11" s="33"/>
      <c r="D11" s="37">
        <f>IF( ISERROR(IND_textiel_gas_kWh/1000),0,IND_textiel_gas_kWh/1000)*0.902</f>
        <v>0</v>
      </c>
      <c r="E11" s="33">
        <f>C33*'E Balans VL '!I21/100/3.6*1000000</f>
        <v>0.41932806690941377</v>
      </c>
      <c r="F11" s="33">
        <f>C33*'E Balans VL '!L21/100/3.6*1000000+C33*'E Balans VL '!N21/100/3.6*1000000</f>
        <v>14.264268301632814</v>
      </c>
      <c r="G11" s="34"/>
      <c r="H11" s="33"/>
      <c r="I11" s="33"/>
      <c r="J11" s="40">
        <f>C33*'E Balans VL '!D21/100/3.6*1000000+C33*'E Balans VL '!E21/100/3.6*1000000</f>
        <v>0</v>
      </c>
      <c r="K11" s="33"/>
      <c r="L11" s="33"/>
      <c r="M11" s="33"/>
      <c r="N11" s="33">
        <f>C33*'E Balans VL '!Y21/100/3.6*1000000</f>
        <v>7.787189393689447</v>
      </c>
      <c r="O11" s="33"/>
      <c r="P11" s="33"/>
      <c r="R11" s="32"/>
    </row>
    <row r="12" spans="1:18">
      <c r="A12" s="6" t="s">
        <v>37</v>
      </c>
      <c r="B12" s="37">
        <f t="shared" si="0"/>
        <v>11952.488167</v>
      </c>
      <c r="C12" s="33"/>
      <c r="D12" s="37">
        <f>IF( ISERROR(IND_min_gas_kWh/1000),0,IND_min_gas_kWh/1000)*0.902</f>
        <v>2583.4358016280003</v>
      </c>
      <c r="E12" s="33">
        <f>C34*'E Balans VL '!I22/100/3.6*1000000</f>
        <v>346.45341562952819</v>
      </c>
      <c r="F12" s="33">
        <f>C34*'E Balans VL '!L22/100/3.6*1000000+C34*'E Balans VL '!N22/100/3.6*1000000</f>
        <v>4109.4004979411202</v>
      </c>
      <c r="G12" s="34"/>
      <c r="H12" s="33"/>
      <c r="I12" s="33"/>
      <c r="J12" s="40">
        <f>C34*'E Balans VL '!D22/100/3.6*1000000+C34*'E Balans VL '!E22/100/3.6*1000000</f>
        <v>19.641539886964122</v>
      </c>
      <c r="K12" s="33"/>
      <c r="L12" s="33"/>
      <c r="M12" s="33"/>
      <c r="N12" s="33">
        <f>C34*'E Balans VL '!Y22/100/3.6*1000000</f>
        <v>2616.5960784759236</v>
      </c>
      <c r="O12" s="33"/>
      <c r="P12" s="33"/>
      <c r="R12" s="32"/>
    </row>
    <row r="13" spans="1:18">
      <c r="A13" s="6" t="s">
        <v>39</v>
      </c>
      <c r="B13" s="37">
        <f t="shared" si="0"/>
        <v>289.81799999999998</v>
      </c>
      <c r="C13" s="33"/>
      <c r="D13" s="37">
        <f>IF( ISERROR(IND_papier_gas_kWh/1000),0,IND_papier_gas_kWh/1000)*0.902</f>
        <v>0</v>
      </c>
      <c r="E13" s="33">
        <f>C35*'E Balans VL '!I23/100/3.6*1000000</f>
        <v>0.41118546113793708</v>
      </c>
      <c r="F13" s="33">
        <f>C35*'E Balans VL '!L23/100/3.6*1000000+C35*'E Balans VL '!N23/100/3.6*1000000</f>
        <v>7.0755471659433056</v>
      </c>
      <c r="G13" s="34"/>
      <c r="H13" s="33"/>
      <c r="I13" s="33"/>
      <c r="J13" s="40">
        <f>C35*'E Balans VL '!D23/100/3.6*1000000+C35*'E Balans VL '!E23/100/3.6*1000000</f>
        <v>4.4823074677193424E-2</v>
      </c>
      <c r="K13" s="33"/>
      <c r="L13" s="33"/>
      <c r="M13" s="33"/>
      <c r="N13" s="33">
        <f>C35*'E Balans VL '!Y23/100/3.6*1000000</f>
        <v>842.43232136718393</v>
      </c>
      <c r="O13" s="33"/>
      <c r="P13" s="33"/>
      <c r="R13" s="32"/>
    </row>
    <row r="14" spans="1:18">
      <c r="A14" s="6" t="s">
        <v>34</v>
      </c>
      <c r="B14" s="37">
        <f t="shared" si="0"/>
        <v>20773.953104</v>
      </c>
      <c r="C14" s="33"/>
      <c r="D14" s="37">
        <f>IF( ISERROR(IND_chemie_gas_kWh/1000),0,IND_chemie_gas_kWh/1000)*0.902</f>
        <v>0</v>
      </c>
      <c r="E14" s="33">
        <f>C36*'E Balans VL '!I24/100/3.6*1000000</f>
        <v>51.139520413809699</v>
      </c>
      <c r="F14" s="33">
        <f>C36*'E Balans VL '!L24/100/3.6*1000000+C36*'E Balans VL '!N24/100/3.6*1000000</f>
        <v>222.44651552081623</v>
      </c>
      <c r="G14" s="34"/>
      <c r="H14" s="33"/>
      <c r="I14" s="33"/>
      <c r="J14" s="40">
        <f>C36*'E Balans VL '!D24/100/3.6*1000000+C36*'E Balans VL '!E24/100/3.6*1000000</f>
        <v>0</v>
      </c>
      <c r="K14" s="33"/>
      <c r="L14" s="33"/>
      <c r="M14" s="33"/>
      <c r="N14" s="33">
        <f>C36*'E Balans VL '!Y24/100/3.6*1000000</f>
        <v>463.93365379787105</v>
      </c>
      <c r="O14" s="33"/>
      <c r="P14" s="33"/>
      <c r="R14" s="32"/>
    </row>
    <row r="15" spans="1:18">
      <c r="A15" s="6" t="s">
        <v>270</v>
      </c>
      <c r="B15" s="37">
        <f t="shared" si="0"/>
        <v>0</v>
      </c>
      <c r="C15" s="33"/>
      <c r="D15" s="37">
        <f>IF( ISERROR(IND_rest_gas_kWh/1000),0,IND_rest_gas_kWh/1000)*0.902</f>
        <v>786.96794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72206.809169</v>
      </c>
      <c r="C18" s="21">
        <f>C5+C16</f>
        <v>0</v>
      </c>
      <c r="D18" s="21">
        <f>MAX((D5+D16),0)</f>
        <v>40880.138214784005</v>
      </c>
      <c r="E18" s="21">
        <f>MAX((E5+E16),0)</f>
        <v>1967.4769085362691</v>
      </c>
      <c r="F18" s="21">
        <f>MAX((F5+F16),0)</f>
        <v>10668.933778644589</v>
      </c>
      <c r="G18" s="21"/>
      <c r="H18" s="21"/>
      <c r="I18" s="21"/>
      <c r="J18" s="21">
        <f>MAX((J5+J16),0)</f>
        <v>19.686362961641315</v>
      </c>
      <c r="K18" s="21"/>
      <c r="L18" s="21">
        <f>MAX((L5+L16),0)</f>
        <v>0</v>
      </c>
      <c r="M18" s="21"/>
      <c r="N18" s="21">
        <f>MAX((N5+N16),0)</f>
        <v>7749.700166010316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0.18824195610536623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13592.351002099454</v>
      </c>
      <c r="C22" s="23">
        <f ca="1">C18*C20</f>
        <v>0</v>
      </c>
      <c r="D22" s="23">
        <f>D18*D20</f>
        <v>8257.78791938637</v>
      </c>
      <c r="E22" s="23">
        <f>E18*E20</f>
        <v>446.6172582377331</v>
      </c>
      <c r="F22" s="23">
        <f>F18*F20</f>
        <v>2848.6053188981055</v>
      </c>
      <c r="G22" s="23"/>
      <c r="H22" s="23"/>
      <c r="I22" s="23"/>
      <c r="J22" s="23">
        <f>J18*J20</f>
        <v>6.9689724884210253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3514.0650000000001</v>
      </c>
      <c r="C30" s="39">
        <f>IF(ISERROR(B30*3.6/1000000/'E Balans VL '!Z18*100),0,B30*3.6/1000000/'E Balans VL '!Z18*100)</f>
        <v>0.19915107420200023</v>
      </c>
      <c r="D30" s="237" t="s">
        <v>754</v>
      </c>
    </row>
    <row r="31" spans="1:18">
      <c r="A31" s="6" t="s">
        <v>33</v>
      </c>
      <c r="B31" s="37">
        <f>IF( ISERROR(IND_ander_ele_kWh/1000),0,IND_ander_ele_kWh/1000)</f>
        <v>5036.3530580000006</v>
      </c>
      <c r="C31" s="39">
        <f>IF(ISERROR(B31*3.6/1000000/'E Balans VL '!Z19*100),0,B31*3.6/1000000/'E Balans VL '!Z19*100)</f>
        <v>0.22842800370174057</v>
      </c>
      <c r="D31" s="237" t="s">
        <v>754</v>
      </c>
    </row>
    <row r="32" spans="1:18">
      <c r="A32" s="171" t="s">
        <v>41</v>
      </c>
      <c r="B32" s="37">
        <f>IF( ISERROR(IND_voed_ele_kWh/1000),0,IND_voed_ele_kWh/1000)</f>
        <v>30498.939839999999</v>
      </c>
      <c r="C32" s="39">
        <f>IF(ISERROR(B32*3.6/1000000/'E Balans VL '!Z20*100),0,B32*3.6/1000000/'E Balans VL '!Z20*100)</f>
        <v>0.94347066274768443</v>
      </c>
      <c r="D32" s="237" t="s">
        <v>754</v>
      </c>
    </row>
    <row r="33" spans="1:5">
      <c r="A33" s="171" t="s">
        <v>40</v>
      </c>
      <c r="B33" s="37">
        <f>IF( ISERROR(IND_textiel_ele_kWh/1000),0,IND_textiel_ele_kWh/1000)</f>
        <v>141.19200000000001</v>
      </c>
      <c r="C33" s="39">
        <f>IF(ISERROR(B33*3.6/1000000/'E Balans VL '!Z21*100),0,B33*3.6/1000000/'E Balans VL '!Z21*100)</f>
        <v>1.8409867371004463E-2</v>
      </c>
      <c r="D33" s="237" t="s">
        <v>754</v>
      </c>
    </row>
    <row r="34" spans="1:5">
      <c r="A34" s="171" t="s">
        <v>37</v>
      </c>
      <c r="B34" s="37">
        <f>IF( ISERROR(IND_min_ele_kWh/1000),0,IND_min_ele_kWh/1000)</f>
        <v>11952.488167</v>
      </c>
      <c r="C34" s="39">
        <f>IF(ISERROR(B34*3.6/1000000/'E Balans VL '!Z22*100),0,B34*3.6/1000000/'E Balans VL '!Z22*100)</f>
        <v>2.1498797079073011</v>
      </c>
      <c r="D34" s="237" t="s">
        <v>754</v>
      </c>
    </row>
    <row r="35" spans="1:5">
      <c r="A35" s="171" t="s">
        <v>39</v>
      </c>
      <c r="B35" s="37">
        <f>IF( ISERROR(IND_papier_ele_kWh/1000),0,IND_papier_ele_kWh/1000)</f>
        <v>289.81799999999998</v>
      </c>
      <c r="C35" s="39">
        <f>IF(ISERROR(B35*3.6/1000000/'E Balans VL '!Z22*100),0,B35*3.6/1000000/'E Balans VL '!Z22*100)</f>
        <v>5.212921598253846E-2</v>
      </c>
      <c r="D35" s="237" t="s">
        <v>754</v>
      </c>
    </row>
    <row r="36" spans="1:5">
      <c r="A36" s="171" t="s">
        <v>34</v>
      </c>
      <c r="B36" s="37">
        <f>IF( ISERROR(IND_chemie_ele_kWh/1000),0,IND_chemie_ele_kWh/1000)</f>
        <v>20773.953104</v>
      </c>
      <c r="C36" s="39">
        <f>IF(ISERROR(B36*3.6/1000000/'E Balans VL '!Z24*100),0,B36*3.6/1000000/'E Balans VL '!Z24*100)</f>
        <v>0.63348144255686967</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535.67700000000002</v>
      </c>
      <c r="C5" s="17">
        <f>'Eigen informatie GS &amp; warmtenet'!B60</f>
        <v>0</v>
      </c>
      <c r="D5" s="30">
        <f>IF(ISERROR(SUM(LB_lb_gas_kWh,LB_rest_gas_kWh)/1000),0,SUM(LB_lb_gas_kWh,LB_rest_gas_kWh)/1000)*0.902</f>
        <v>373.68146200000001</v>
      </c>
      <c r="E5" s="17">
        <f>B17*'E Balans VL '!I25/3.6*1000000/100</f>
        <v>15.745183176404469</v>
      </c>
      <c r="F5" s="17">
        <f>B17*('E Balans VL '!L25/3.6*1000000+'E Balans VL '!N25/3.6*1000000)/100</f>
        <v>2231.6014355342522</v>
      </c>
      <c r="G5" s="18"/>
      <c r="H5" s="17"/>
      <c r="I5" s="17"/>
      <c r="J5" s="17">
        <f>('E Balans VL '!D25+'E Balans VL '!E25)/3.6*1000000*landbouw!B17/100</f>
        <v>77.608093504742342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535.67700000000002</v>
      </c>
      <c r="C8" s="21">
        <f>C5+C6</f>
        <v>0</v>
      </c>
      <c r="D8" s="21">
        <f>MAX((D5+D6),0)</f>
        <v>373.68146200000001</v>
      </c>
      <c r="E8" s="21">
        <f>MAX((E5+E6),0)</f>
        <v>15.745183176404469</v>
      </c>
      <c r="F8" s="21">
        <f>MAX((F5+F6),0)</f>
        <v>2231.6014355342522</v>
      </c>
      <c r="G8" s="21"/>
      <c r="H8" s="21"/>
      <c r="I8" s="21"/>
      <c r="J8" s="21">
        <f>MAX((J5+J6),0)</f>
        <v>77.608093504742342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0.18824195610536623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100.83688632065427</v>
      </c>
      <c r="C12" s="23">
        <f ca="1">C8*C10</f>
        <v>0</v>
      </c>
      <c r="D12" s="23">
        <f>D8*D10</f>
        <v>75.483655324000011</v>
      </c>
      <c r="E12" s="23">
        <f>E8*E10</f>
        <v>3.5741565810438147</v>
      </c>
      <c r="F12" s="23">
        <f>F8*F10</f>
        <v>595.83758328764543</v>
      </c>
      <c r="G12" s="23"/>
      <c r="H12" s="23"/>
      <c r="I12" s="23"/>
      <c r="J12" s="23">
        <f>J8*J10</f>
        <v>27.473265100678788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7.6014246935333346E-2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116.43160419784596</v>
      </c>
      <c r="C26" s="247">
        <f>B26*'GWP N2O_CH4'!B5</f>
        <v>2445.0636881547653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34.883038782562359</v>
      </c>
      <c r="C27" s="247">
        <f>B27*'GWP N2O_CH4'!B5</f>
        <v>732.54381443380953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1.4017719364072914</v>
      </c>
      <c r="C28" s="247">
        <f>B28*'GWP N2O_CH4'!B4</f>
        <v>434.54930028626035</v>
      </c>
      <c r="D28" s="50"/>
    </row>
    <row r="29" spans="1:4">
      <c r="A29" s="41" t="s">
        <v>277</v>
      </c>
      <c r="B29" s="247">
        <f>B34*'ha_N2O bodem landbouw'!B4</f>
        <v>12.81260906541071</v>
      </c>
      <c r="C29" s="247">
        <f>B29*'GWP N2O_CH4'!B4</f>
        <v>3971.9088102773198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2.9237932345115925E-3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4.4489639561050965E-4</v>
      </c>
      <c r="C5" s="463" t="s">
        <v>211</v>
      </c>
      <c r="D5" s="448">
        <f>SUM(D6:D11)</f>
        <v>1.5492838476261288E-3</v>
      </c>
      <c r="E5" s="448">
        <f>SUM(E6:E11)</f>
        <v>2.3393741004820705E-3</v>
      </c>
      <c r="F5" s="461" t="s">
        <v>211</v>
      </c>
      <c r="G5" s="448">
        <f>SUM(G6:G11)</f>
        <v>0.91983210152372696</v>
      </c>
      <c r="H5" s="448">
        <f>SUM(H6:H11)</f>
        <v>0.17874986401762419</v>
      </c>
      <c r="I5" s="463" t="s">
        <v>211</v>
      </c>
      <c r="J5" s="463" t="s">
        <v>211</v>
      </c>
      <c r="K5" s="463" t="s">
        <v>211</v>
      </c>
      <c r="L5" s="463" t="s">
        <v>211</v>
      </c>
      <c r="M5" s="448">
        <f>SUM(M6:M11)</f>
        <v>5.9014968422059451E-2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1.1633281418910861E-4</v>
      </c>
      <c r="C6" s="449"/>
      <c r="D6" s="892">
        <f>vkm_2011_GW_PW*SUMIFS(TableVerdeelsleutelVkm[CNG],TableVerdeelsleutelVkm[Voertuigtype],"Lichte voertuigen")*SUMIFS(TableECFTransport[EnergieConsumptieFactor (PJ per km)],TableECFTransport[Index],CONCATENATE($A6,"_CNG_CNG"))</f>
        <v>3.4893167360535197E-4</v>
      </c>
      <c r="E6" s="892">
        <f>vkm_2011_GW_PW*SUMIFS(TableVerdeelsleutelVkm[LPG],TableVerdeelsleutelVkm[Voertuigtype],"Lichte voertuigen")*SUMIFS(TableECFTransport[EnergieConsumptieFactor (PJ per km)],TableECFTransport[Index],CONCATENATE($A6,"_LPG_LPG"))</f>
        <v>4.7669078770972041E-4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0.12325038585638873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3.9686962877812565E-2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8.3716014171570201E-3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3.457071015399886E-2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1.0536449974539099E-5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2.0201956664440126E-3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7.7192358161981805E-5</v>
      </c>
      <c r="C8" s="449"/>
      <c r="D8" s="451">
        <f>vkm_2011_NGW_PW*SUMIFS(TableVerdeelsleutelVkm[CNG],TableVerdeelsleutelVkm[Voertuigtype],"Lichte voertuigen")*SUMIFS(TableECFTransport[EnergieConsumptieFactor (PJ per km)],TableECFTransport[Index],CONCATENATE($A8,"_CNG_CNG"))</f>
        <v>4.1166785895526098E-4</v>
      </c>
      <c r="E8" s="451">
        <f>vkm_2011_NGW_PW*SUMIFS(TableVerdeelsleutelVkm[LPG],TableVerdeelsleutelVkm[Voertuigtype],"Lichte voertuigen")*SUMIFS(TableECFTransport[EnergieConsumptieFactor (PJ per km)],TableECFTransport[Index],CONCATENATE($A8,"_LPG_LPG"))</f>
        <v>5.2084383618662829E-4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0.12549478019499427</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4.5501197130708305E-2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8.6741984211505026E-3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2.2178497849678824E-3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6.3635372172608681E-7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1.2960249097131014E-4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2.5137122325941921E-4</v>
      </c>
      <c r="C10" s="449"/>
      <c r="D10" s="451">
        <f>vkm_2011_SW_PW*SUMIFS(TableVerdeelsleutelVkm[CNG],TableVerdeelsleutelVkm[Voertuigtype],"Lichte voertuigen")*SUMIFS(TableECFTransport[EnergieConsumptieFactor (PJ per km)],TableECFTransport[Index],CONCATENATE($A10,"_CNG_CNG"))</f>
        <v>7.8868431506551589E-4</v>
      </c>
      <c r="E10" s="451">
        <f>vkm_2011_SW_PW*SUMIFS(TableVerdeelsleutelVkm[LPG],TableVerdeelsleutelVkm[Voertuigtype],"Lichte voertuigen")*SUMIFS(TableECFTransport[EnergieConsumptieFactor (PJ per km)],TableECFTransport[Index],CONCATENATE($A10,"_LPG_LPG"))</f>
        <v>1.3418394765857219E-3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0.3092970395554735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9.344356399208098E-2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2.0827155476807458E-2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0.32500133597790387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1.0696721332607143E-4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1.899221494952915E-2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123.58233211403046</v>
      </c>
      <c r="C14" s="21"/>
      <c r="D14" s="21">
        <f t="shared" ref="D14:M14" si="0">((D5)*10^9/3600)+D12</f>
        <v>430.3566243405914</v>
      </c>
      <c r="E14" s="21">
        <f t="shared" si="0"/>
        <v>649.82613902279729</v>
      </c>
      <c r="F14" s="21"/>
      <c r="G14" s="21">
        <f t="shared" si="0"/>
        <v>255508.91708992416</v>
      </c>
      <c r="H14" s="21">
        <f t="shared" si="0"/>
        <v>49652.740004895611</v>
      </c>
      <c r="I14" s="21"/>
      <c r="J14" s="21"/>
      <c r="K14" s="21"/>
      <c r="L14" s="21"/>
      <c r="M14" s="21">
        <f t="shared" si="0"/>
        <v>16393.046783905404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0.18824195610536623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23.263379937208114</v>
      </c>
      <c r="C18" s="23"/>
      <c r="D18" s="23">
        <f t="shared" ref="D18:M18" si="1">D14*D16</f>
        <v>86.932038116799461</v>
      </c>
      <c r="E18" s="23">
        <f t="shared" si="1"/>
        <v>147.51053355817498</v>
      </c>
      <c r="F18" s="23"/>
      <c r="G18" s="23">
        <f t="shared" si="1"/>
        <v>68220.880863009748</v>
      </c>
      <c r="H18" s="23">
        <f t="shared" si="1"/>
        <v>12363.532261219007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1.6900105512321639E-2</v>
      </c>
      <c r="H50" s="321">
        <f t="shared" si="2"/>
        <v>0</v>
      </c>
      <c r="I50" s="321">
        <f t="shared" si="2"/>
        <v>0</v>
      </c>
      <c r="J50" s="321">
        <f t="shared" si="2"/>
        <v>0</v>
      </c>
      <c r="K50" s="321">
        <f t="shared" si="2"/>
        <v>0</v>
      </c>
      <c r="L50" s="321">
        <f t="shared" si="2"/>
        <v>0</v>
      </c>
      <c r="M50" s="321">
        <f t="shared" si="2"/>
        <v>9.5985138629317763E-4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1.6900105512321639E-2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9.5985138629317763E-4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4694.4737534226779</v>
      </c>
      <c r="H54" s="21">
        <f t="shared" si="3"/>
        <v>0</v>
      </c>
      <c r="I54" s="21">
        <f t="shared" si="3"/>
        <v>0</v>
      </c>
      <c r="J54" s="21">
        <f t="shared" si="3"/>
        <v>0</v>
      </c>
      <c r="K54" s="21">
        <f t="shared" si="3"/>
        <v>0</v>
      </c>
      <c r="L54" s="21">
        <f t="shared" si="3"/>
        <v>0</v>
      </c>
      <c r="M54" s="21">
        <f t="shared" si="3"/>
        <v>266.62538508143825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0.18824195610536623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1253.4244921638551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54714.845376000005</v>
      </c>
      <c r="D10" s="1013">
        <f ca="1">tertiair!C16</f>
        <v>0</v>
      </c>
      <c r="E10" s="1013">
        <f ca="1">tertiair!D16</f>
        <v>52800.668705949996</v>
      </c>
      <c r="F10" s="1013">
        <f>tertiair!E16</f>
        <v>893.37676907955279</v>
      </c>
      <c r="G10" s="1013">
        <f ca="1">tertiair!F16</f>
        <v>9931.9244599996</v>
      </c>
      <c r="H10" s="1013">
        <f>tertiair!G16</f>
        <v>0</v>
      </c>
      <c r="I10" s="1013">
        <f>tertiair!H16</f>
        <v>0</v>
      </c>
      <c r="J10" s="1013">
        <f>tertiair!I16</f>
        <v>0</v>
      </c>
      <c r="K10" s="1013">
        <f>tertiair!J16</f>
        <v>0.25269000301598299</v>
      </c>
      <c r="L10" s="1013">
        <f>tertiair!K16</f>
        <v>0</v>
      </c>
      <c r="M10" s="1013">
        <f ca="1">tertiair!L16</f>
        <v>0</v>
      </c>
      <c r="N10" s="1013">
        <f>tertiair!M16</f>
        <v>0</v>
      </c>
      <c r="O10" s="1013">
        <f ca="1">tertiair!N16</f>
        <v>9952.0501579531192</v>
      </c>
      <c r="P10" s="1013">
        <f>tertiair!O16</f>
        <v>0</v>
      </c>
      <c r="Q10" s="1014">
        <f>tertiair!P16</f>
        <v>0</v>
      </c>
      <c r="R10" s="700">
        <f ca="1">SUM(C10:Q10)</f>
        <v>128293.11815898531</v>
      </c>
      <c r="S10" s="67"/>
    </row>
    <row r="11" spans="1:19" s="473" customFormat="1">
      <c r="A11" s="809" t="s">
        <v>225</v>
      </c>
      <c r="B11" s="814"/>
      <c r="C11" s="1013">
        <f>huishoudens!B8</f>
        <v>55845.904060651796</v>
      </c>
      <c r="D11" s="1013">
        <f>huishoudens!C8</f>
        <v>0</v>
      </c>
      <c r="E11" s="1013">
        <f>huishoudens!D8</f>
        <v>118410.76853320001</v>
      </c>
      <c r="F11" s="1013">
        <f>huishoudens!E8</f>
        <v>9770.7459673677658</v>
      </c>
      <c r="G11" s="1013">
        <f>huishoudens!F8</f>
        <v>105696.69669989066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30813.233639317004</v>
      </c>
      <c r="P11" s="1013">
        <f>huishoudens!O8</f>
        <v>769.16000000000008</v>
      </c>
      <c r="Q11" s="1014">
        <f>huishoudens!P8</f>
        <v>1182.1333333333332</v>
      </c>
      <c r="R11" s="700">
        <f>SUM(C11:Q11)</f>
        <v>322488.64223376056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72206.809169</v>
      </c>
      <c r="D13" s="1013">
        <f>industrie!C18</f>
        <v>0</v>
      </c>
      <c r="E13" s="1013">
        <f>industrie!D18</f>
        <v>40880.138214784005</v>
      </c>
      <c r="F13" s="1013">
        <f>industrie!E18</f>
        <v>1967.4769085362691</v>
      </c>
      <c r="G13" s="1013">
        <f>industrie!F18</f>
        <v>10668.933778644589</v>
      </c>
      <c r="H13" s="1013">
        <f>industrie!G18</f>
        <v>0</v>
      </c>
      <c r="I13" s="1013">
        <f>industrie!H18</f>
        <v>0</v>
      </c>
      <c r="J13" s="1013">
        <f>industrie!I18</f>
        <v>0</v>
      </c>
      <c r="K13" s="1013">
        <f>industrie!J18</f>
        <v>19.686362961641315</v>
      </c>
      <c r="L13" s="1013">
        <f>industrie!K18</f>
        <v>0</v>
      </c>
      <c r="M13" s="1013">
        <f>industrie!L18</f>
        <v>0</v>
      </c>
      <c r="N13" s="1013">
        <f>industrie!M18</f>
        <v>0</v>
      </c>
      <c r="O13" s="1013">
        <f>industrie!N18</f>
        <v>7749.700166010316</v>
      </c>
      <c r="P13" s="1013">
        <f>industrie!O18</f>
        <v>0</v>
      </c>
      <c r="Q13" s="1014">
        <f>industrie!P18</f>
        <v>0</v>
      </c>
      <c r="R13" s="700">
        <f>SUM(C13:Q13)</f>
        <v>133492.74459993682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182767.55860565178</v>
      </c>
      <c r="D16" s="732">
        <f t="shared" ref="D16:R16" ca="1" si="0">SUM(D9:D15)</f>
        <v>0</v>
      </c>
      <c r="E16" s="732">
        <f t="shared" ca="1" si="0"/>
        <v>212091.575453934</v>
      </c>
      <c r="F16" s="732">
        <f t="shared" si="0"/>
        <v>12631.599644983587</v>
      </c>
      <c r="G16" s="732">
        <f t="shared" ca="1" si="0"/>
        <v>126297.55493853484</v>
      </c>
      <c r="H16" s="732">
        <f t="shared" si="0"/>
        <v>0</v>
      </c>
      <c r="I16" s="732">
        <f t="shared" si="0"/>
        <v>0</v>
      </c>
      <c r="J16" s="732">
        <f t="shared" si="0"/>
        <v>0</v>
      </c>
      <c r="K16" s="732">
        <f t="shared" si="0"/>
        <v>19.939052964657296</v>
      </c>
      <c r="L16" s="732">
        <f t="shared" si="0"/>
        <v>0</v>
      </c>
      <c r="M16" s="732">
        <f t="shared" ca="1" si="0"/>
        <v>0</v>
      </c>
      <c r="N16" s="732">
        <f t="shared" si="0"/>
        <v>0</v>
      </c>
      <c r="O16" s="732">
        <f t="shared" ca="1" si="0"/>
        <v>48514.983963280436</v>
      </c>
      <c r="P16" s="732">
        <f t="shared" si="0"/>
        <v>769.16000000000008</v>
      </c>
      <c r="Q16" s="732">
        <f t="shared" si="0"/>
        <v>1182.1333333333332</v>
      </c>
      <c r="R16" s="732">
        <f t="shared" ca="1" si="0"/>
        <v>584274.50499268272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4694.4737534226779</v>
      </c>
      <c r="I19" s="1013">
        <f>transport!H54</f>
        <v>0</v>
      </c>
      <c r="J19" s="1013">
        <f>transport!I54</f>
        <v>0</v>
      </c>
      <c r="K19" s="1013">
        <f>transport!J54</f>
        <v>0</v>
      </c>
      <c r="L19" s="1013">
        <f>transport!K54</f>
        <v>0</v>
      </c>
      <c r="M19" s="1013">
        <f>transport!L54</f>
        <v>0</v>
      </c>
      <c r="N19" s="1013">
        <f>transport!M54</f>
        <v>266.62538508143825</v>
      </c>
      <c r="O19" s="1013">
        <f>transport!N54</f>
        <v>0</v>
      </c>
      <c r="P19" s="1013">
        <f>transport!O54</f>
        <v>0</v>
      </c>
      <c r="Q19" s="1014">
        <f>transport!P54</f>
        <v>0</v>
      </c>
      <c r="R19" s="700">
        <f>SUM(C19:Q19)</f>
        <v>4961.0991385041161</v>
      </c>
      <c r="S19" s="67"/>
    </row>
    <row r="20" spans="1:19" s="473" customFormat="1">
      <c r="A20" s="809" t="s">
        <v>307</v>
      </c>
      <c r="B20" s="814"/>
      <c r="C20" s="1013">
        <f>transport!B14</f>
        <v>123.58233211403046</v>
      </c>
      <c r="D20" s="1013">
        <f>transport!C14</f>
        <v>0</v>
      </c>
      <c r="E20" s="1013">
        <f>transport!D14</f>
        <v>430.3566243405914</v>
      </c>
      <c r="F20" s="1013">
        <f>transport!E14</f>
        <v>649.82613902279729</v>
      </c>
      <c r="G20" s="1013">
        <f>transport!F14</f>
        <v>0</v>
      </c>
      <c r="H20" s="1013">
        <f>transport!G14</f>
        <v>255508.91708992416</v>
      </c>
      <c r="I20" s="1013">
        <f>transport!H14</f>
        <v>49652.740004895611</v>
      </c>
      <c r="J20" s="1013">
        <f>transport!I14</f>
        <v>0</v>
      </c>
      <c r="K20" s="1013">
        <f>transport!J14</f>
        <v>0</v>
      </c>
      <c r="L20" s="1013">
        <f>transport!K14</f>
        <v>0</v>
      </c>
      <c r="M20" s="1013">
        <f>transport!L14</f>
        <v>0</v>
      </c>
      <c r="N20" s="1013">
        <f>transport!M14</f>
        <v>16393.046783905404</v>
      </c>
      <c r="O20" s="1013">
        <f>transport!N14</f>
        <v>0</v>
      </c>
      <c r="P20" s="1013">
        <f>transport!O14</f>
        <v>0</v>
      </c>
      <c r="Q20" s="1014">
        <f>transport!P14</f>
        <v>0</v>
      </c>
      <c r="R20" s="700">
        <f>SUM(C20:Q20)</f>
        <v>322758.46897420264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123.58233211403046</v>
      </c>
      <c r="D22" s="812">
        <f t="shared" ref="D22:R22" si="1">SUM(D18:D21)</f>
        <v>0</v>
      </c>
      <c r="E22" s="812">
        <f t="shared" si="1"/>
        <v>430.3566243405914</v>
      </c>
      <c r="F22" s="812">
        <f t="shared" si="1"/>
        <v>649.82613902279729</v>
      </c>
      <c r="G22" s="812">
        <f t="shared" si="1"/>
        <v>0</v>
      </c>
      <c r="H22" s="812">
        <f t="shared" si="1"/>
        <v>260203.39084334683</v>
      </c>
      <c r="I22" s="812">
        <f t="shared" si="1"/>
        <v>49652.740004895611</v>
      </c>
      <c r="J22" s="812">
        <f t="shared" si="1"/>
        <v>0</v>
      </c>
      <c r="K22" s="812">
        <f t="shared" si="1"/>
        <v>0</v>
      </c>
      <c r="L22" s="812">
        <f t="shared" si="1"/>
        <v>0</v>
      </c>
      <c r="M22" s="812">
        <f t="shared" si="1"/>
        <v>0</v>
      </c>
      <c r="N22" s="812">
        <f t="shared" si="1"/>
        <v>16659.672168986843</v>
      </c>
      <c r="O22" s="812">
        <f t="shared" si="1"/>
        <v>0</v>
      </c>
      <c r="P22" s="812">
        <f t="shared" si="1"/>
        <v>0</v>
      </c>
      <c r="Q22" s="812">
        <f t="shared" si="1"/>
        <v>0</v>
      </c>
      <c r="R22" s="812">
        <f t="shared" si="1"/>
        <v>327719.56811270677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535.67700000000002</v>
      </c>
      <c r="D24" s="1013">
        <f>+landbouw!C8</f>
        <v>0</v>
      </c>
      <c r="E24" s="1013">
        <f>+landbouw!D8</f>
        <v>373.68146200000001</v>
      </c>
      <c r="F24" s="1013">
        <f>+landbouw!E8</f>
        <v>15.745183176404469</v>
      </c>
      <c r="G24" s="1013">
        <f>+landbouw!F8</f>
        <v>2231.6014355342522</v>
      </c>
      <c r="H24" s="1013">
        <f>+landbouw!G8</f>
        <v>0</v>
      </c>
      <c r="I24" s="1013">
        <f>+landbouw!H8</f>
        <v>0</v>
      </c>
      <c r="J24" s="1013">
        <f>+landbouw!I8</f>
        <v>0</v>
      </c>
      <c r="K24" s="1013">
        <f>+landbouw!J8</f>
        <v>77.608093504742342</v>
      </c>
      <c r="L24" s="1013">
        <f>+landbouw!K8</f>
        <v>0</v>
      </c>
      <c r="M24" s="1013">
        <f>+landbouw!L8</f>
        <v>0</v>
      </c>
      <c r="N24" s="1013">
        <f>+landbouw!M8</f>
        <v>0</v>
      </c>
      <c r="O24" s="1013">
        <f>+landbouw!N8</f>
        <v>0</v>
      </c>
      <c r="P24" s="1013">
        <f>+landbouw!O8</f>
        <v>0</v>
      </c>
      <c r="Q24" s="1014">
        <f>+landbouw!P8</f>
        <v>0</v>
      </c>
      <c r="R24" s="700">
        <f>SUM(C24:Q24)</f>
        <v>3234.3131742153992</v>
      </c>
      <c r="S24" s="67"/>
    </row>
    <row r="25" spans="1:19" s="473" customFormat="1" ht="15" thickBot="1">
      <c r="A25" s="831" t="s">
        <v>836</v>
      </c>
      <c r="B25" s="1016"/>
      <c r="C25" s="1017">
        <f>IF(Onbekend_ele_kWh="---",0,Onbekend_ele_kWh)/1000+IF(REST_rest_ele_kWh="---",0,REST_rest_ele_kWh)/1000</f>
        <v>3219.7137189999999</v>
      </c>
      <c r="D25" s="1017"/>
      <c r="E25" s="1017">
        <f>IF(onbekend_gas_kWh="---",0,onbekend_gas_kWh)/1000+IF(REST_rest_gas_kWh="---",0,REST_rest_gas_kWh)/1000</f>
        <v>2529.5320499999998</v>
      </c>
      <c r="F25" s="1017"/>
      <c r="G25" s="1017"/>
      <c r="H25" s="1017"/>
      <c r="I25" s="1017"/>
      <c r="J25" s="1017"/>
      <c r="K25" s="1017"/>
      <c r="L25" s="1017"/>
      <c r="M25" s="1017"/>
      <c r="N25" s="1017"/>
      <c r="O25" s="1017"/>
      <c r="P25" s="1017"/>
      <c r="Q25" s="1018"/>
      <c r="R25" s="700">
        <f>SUM(C25:Q25)</f>
        <v>5749.2457689999992</v>
      </c>
      <c r="S25" s="67"/>
    </row>
    <row r="26" spans="1:19" s="473" customFormat="1" ht="15.75" thickBot="1">
      <c r="A26" s="705" t="s">
        <v>837</v>
      </c>
      <c r="B26" s="817"/>
      <c r="C26" s="812">
        <f>SUM(C24:C25)</f>
        <v>3755.390719</v>
      </c>
      <c r="D26" s="812">
        <f t="shared" ref="D26:R26" si="2">SUM(D24:D25)</f>
        <v>0</v>
      </c>
      <c r="E26" s="812">
        <f t="shared" si="2"/>
        <v>2903.2135119999998</v>
      </c>
      <c r="F26" s="812">
        <f t="shared" si="2"/>
        <v>15.745183176404469</v>
      </c>
      <c r="G26" s="812">
        <f t="shared" si="2"/>
        <v>2231.6014355342522</v>
      </c>
      <c r="H26" s="812">
        <f t="shared" si="2"/>
        <v>0</v>
      </c>
      <c r="I26" s="812">
        <f t="shared" si="2"/>
        <v>0</v>
      </c>
      <c r="J26" s="812">
        <f t="shared" si="2"/>
        <v>0</v>
      </c>
      <c r="K26" s="812">
        <f t="shared" si="2"/>
        <v>77.608093504742342</v>
      </c>
      <c r="L26" s="812">
        <f t="shared" si="2"/>
        <v>0</v>
      </c>
      <c r="M26" s="812">
        <f t="shared" si="2"/>
        <v>0</v>
      </c>
      <c r="N26" s="812">
        <f t="shared" si="2"/>
        <v>0</v>
      </c>
      <c r="O26" s="812">
        <f t="shared" si="2"/>
        <v>0</v>
      </c>
      <c r="P26" s="812">
        <f t="shared" si="2"/>
        <v>0</v>
      </c>
      <c r="Q26" s="812">
        <f t="shared" si="2"/>
        <v>0</v>
      </c>
      <c r="R26" s="812">
        <f t="shared" si="2"/>
        <v>8983.5589432153974</v>
      </c>
      <c r="S26" s="67"/>
    </row>
    <row r="27" spans="1:19" s="473" customFormat="1" ht="17.25" thickTop="1" thickBot="1">
      <c r="A27" s="706" t="s">
        <v>116</v>
      </c>
      <c r="B27" s="805"/>
      <c r="C27" s="707">
        <f ca="1">C22+C16+C26</f>
        <v>186646.53165676579</v>
      </c>
      <c r="D27" s="707">
        <f t="shared" ref="D27:R27" ca="1" si="3">D22+D16+D26</f>
        <v>0</v>
      </c>
      <c r="E27" s="707">
        <f t="shared" ca="1" si="3"/>
        <v>215425.14559027457</v>
      </c>
      <c r="F27" s="707">
        <f t="shared" si="3"/>
        <v>13297.17096718279</v>
      </c>
      <c r="G27" s="707">
        <f t="shared" ca="1" si="3"/>
        <v>128529.15637406909</v>
      </c>
      <c r="H27" s="707">
        <f t="shared" si="3"/>
        <v>260203.39084334683</v>
      </c>
      <c r="I27" s="707">
        <f t="shared" si="3"/>
        <v>49652.740004895611</v>
      </c>
      <c r="J27" s="707">
        <f t="shared" si="3"/>
        <v>0</v>
      </c>
      <c r="K27" s="707">
        <f t="shared" si="3"/>
        <v>97.547146469399635</v>
      </c>
      <c r="L27" s="707">
        <f t="shared" si="3"/>
        <v>0</v>
      </c>
      <c r="M27" s="707">
        <f t="shared" ca="1" si="3"/>
        <v>0</v>
      </c>
      <c r="N27" s="707">
        <f t="shared" si="3"/>
        <v>16659.672168986843</v>
      </c>
      <c r="O27" s="707">
        <f t="shared" ca="1" si="3"/>
        <v>48514.983963280436</v>
      </c>
      <c r="P27" s="707">
        <f t="shared" si="3"/>
        <v>769.16000000000008</v>
      </c>
      <c r="Q27" s="707">
        <f t="shared" si="3"/>
        <v>1182.1333333333332</v>
      </c>
      <c r="R27" s="707">
        <f t="shared" ca="1" si="3"/>
        <v>920977.63204860489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10299.629521580893</v>
      </c>
      <c r="D40" s="1013">
        <f ca="1">tertiair!C20</f>
        <v>0</v>
      </c>
      <c r="E40" s="1013">
        <f ca="1">tertiair!D20</f>
        <v>10665.7350786019</v>
      </c>
      <c r="F40" s="1013">
        <f>tertiair!E20</f>
        <v>202.79652658105849</v>
      </c>
      <c r="G40" s="1013">
        <f ca="1">tertiair!F20</f>
        <v>2651.8238308198934</v>
      </c>
      <c r="H40" s="1013">
        <f>tertiair!G20</f>
        <v>0</v>
      </c>
      <c r="I40" s="1013">
        <f>tertiair!H20</f>
        <v>0</v>
      </c>
      <c r="J40" s="1013">
        <f>tertiair!I20</f>
        <v>0</v>
      </c>
      <c r="K40" s="1013">
        <f>tertiair!J20</f>
        <v>8.9452261067657968E-2</v>
      </c>
      <c r="L40" s="1013">
        <f>tertiair!K20</f>
        <v>0</v>
      </c>
      <c r="M40" s="1013">
        <f ca="1">tertiair!L20</f>
        <v>0</v>
      </c>
      <c r="N40" s="1013">
        <f>tertiair!M20</f>
        <v>0</v>
      </c>
      <c r="O40" s="1013">
        <f ca="1">tertiair!N20</f>
        <v>0</v>
      </c>
      <c r="P40" s="1013">
        <f>tertiair!O20</f>
        <v>0</v>
      </c>
      <c r="Q40" s="774">
        <f>tertiair!P20</f>
        <v>0</v>
      </c>
      <c r="R40" s="850">
        <f t="shared" ca="1" si="4"/>
        <v>23820.074409844816</v>
      </c>
    </row>
    <row r="41" spans="1:18">
      <c r="A41" s="822" t="s">
        <v>225</v>
      </c>
      <c r="B41" s="829"/>
      <c r="C41" s="1013">
        <f ca="1">huishoudens!B12</f>
        <v>10512.542220849709</v>
      </c>
      <c r="D41" s="1013">
        <f ca="1">huishoudens!C12</f>
        <v>0</v>
      </c>
      <c r="E41" s="1013">
        <f>huishoudens!D12</f>
        <v>23918.975243706405</v>
      </c>
      <c r="F41" s="1013">
        <f>huishoudens!E12</f>
        <v>2217.9593345924827</v>
      </c>
      <c r="G41" s="1013">
        <f>huishoudens!F12</f>
        <v>28221.018018870807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64870.494818019404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13592.351002099454</v>
      </c>
      <c r="D43" s="1013">
        <f ca="1">industrie!C22</f>
        <v>0</v>
      </c>
      <c r="E43" s="1013">
        <f>industrie!D22</f>
        <v>8257.78791938637</v>
      </c>
      <c r="F43" s="1013">
        <f>industrie!E22</f>
        <v>446.6172582377331</v>
      </c>
      <c r="G43" s="1013">
        <f>industrie!F22</f>
        <v>2848.6053188981055</v>
      </c>
      <c r="H43" s="1013">
        <f>industrie!G22</f>
        <v>0</v>
      </c>
      <c r="I43" s="1013">
        <f>industrie!H22</f>
        <v>0</v>
      </c>
      <c r="J43" s="1013">
        <f>industrie!I22</f>
        <v>0</v>
      </c>
      <c r="K43" s="1013">
        <f>industrie!J22</f>
        <v>6.9689724884210253</v>
      </c>
      <c r="L43" s="1013">
        <f>industrie!K22</f>
        <v>0</v>
      </c>
      <c r="M43" s="1013">
        <f>industrie!L22</f>
        <v>0</v>
      </c>
      <c r="N43" s="1013">
        <f>industrie!M22</f>
        <v>0</v>
      </c>
      <c r="O43" s="1013">
        <f>industrie!N22</f>
        <v>0</v>
      </c>
      <c r="P43" s="1013">
        <f>industrie!O22</f>
        <v>0</v>
      </c>
      <c r="Q43" s="774">
        <f>industrie!P22</f>
        <v>0</v>
      </c>
      <c r="R43" s="849">
        <f t="shared" ca="1" si="4"/>
        <v>25152.330471110083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34404.522744530055</v>
      </c>
      <c r="D46" s="732">
        <f t="shared" ref="D46:Q46" ca="1" si="5">SUM(D39:D45)</f>
        <v>0</v>
      </c>
      <c r="E46" s="732">
        <f t="shared" ca="1" si="5"/>
        <v>42842.498241694673</v>
      </c>
      <c r="F46" s="732">
        <f t="shared" si="5"/>
        <v>2867.3731194112743</v>
      </c>
      <c r="G46" s="732">
        <f t="shared" ca="1" si="5"/>
        <v>33721.447168588806</v>
      </c>
      <c r="H46" s="732">
        <f t="shared" si="5"/>
        <v>0</v>
      </c>
      <c r="I46" s="732">
        <f t="shared" si="5"/>
        <v>0</v>
      </c>
      <c r="J46" s="732">
        <f t="shared" si="5"/>
        <v>0</v>
      </c>
      <c r="K46" s="732">
        <f t="shared" si="5"/>
        <v>7.0584247494886831</v>
      </c>
      <c r="L46" s="732">
        <f t="shared" si="5"/>
        <v>0</v>
      </c>
      <c r="M46" s="732">
        <f t="shared" ca="1" si="5"/>
        <v>0</v>
      </c>
      <c r="N46" s="732">
        <f t="shared" si="5"/>
        <v>0</v>
      </c>
      <c r="O46" s="732">
        <f t="shared" ca="1" si="5"/>
        <v>0</v>
      </c>
      <c r="P46" s="732">
        <f t="shared" si="5"/>
        <v>0</v>
      </c>
      <c r="Q46" s="732">
        <f t="shared" si="5"/>
        <v>0</v>
      </c>
      <c r="R46" s="732">
        <f ca="1">SUM(R39:R45)</f>
        <v>113842.8996989743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1253.4244921638551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1253.4244921638551</v>
      </c>
    </row>
    <row r="50" spans="1:18">
      <c r="A50" s="825" t="s">
        <v>307</v>
      </c>
      <c r="B50" s="835"/>
      <c r="C50" s="703">
        <f ca="1">transport!B18</f>
        <v>23.263379937208114</v>
      </c>
      <c r="D50" s="703">
        <f>transport!C18</f>
        <v>0</v>
      </c>
      <c r="E50" s="703">
        <f>transport!D18</f>
        <v>86.932038116799461</v>
      </c>
      <c r="F50" s="703">
        <f>transport!E18</f>
        <v>147.51053355817498</v>
      </c>
      <c r="G50" s="703">
        <f>transport!F18</f>
        <v>0</v>
      </c>
      <c r="H50" s="703">
        <f>transport!G18</f>
        <v>68220.880863009748</v>
      </c>
      <c r="I50" s="703">
        <f>transport!H18</f>
        <v>12363.532261219007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80842.119075840936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23.263379937208114</v>
      </c>
      <c r="D52" s="732">
        <f t="shared" ref="D52:Q52" ca="1" si="6">SUM(D48:D51)</f>
        <v>0</v>
      </c>
      <c r="E52" s="732">
        <f t="shared" si="6"/>
        <v>86.932038116799461</v>
      </c>
      <c r="F52" s="732">
        <f t="shared" si="6"/>
        <v>147.51053355817498</v>
      </c>
      <c r="G52" s="732">
        <f t="shared" si="6"/>
        <v>0</v>
      </c>
      <c r="H52" s="732">
        <f t="shared" si="6"/>
        <v>69474.305355173608</v>
      </c>
      <c r="I52" s="732">
        <f t="shared" si="6"/>
        <v>12363.532261219007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82095.543568004796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100.83688632065427</v>
      </c>
      <c r="D54" s="703">
        <f ca="1">+landbouw!C12</f>
        <v>0</v>
      </c>
      <c r="E54" s="703">
        <f>+landbouw!D12</f>
        <v>75.483655324000011</v>
      </c>
      <c r="F54" s="703">
        <f>+landbouw!E12</f>
        <v>3.5741565810438147</v>
      </c>
      <c r="G54" s="703">
        <f>+landbouw!F12</f>
        <v>595.83758328764543</v>
      </c>
      <c r="H54" s="703">
        <f>+landbouw!G12</f>
        <v>0</v>
      </c>
      <c r="I54" s="703">
        <f>+landbouw!H12</f>
        <v>0</v>
      </c>
      <c r="J54" s="703">
        <f>+landbouw!I12</f>
        <v>0</v>
      </c>
      <c r="K54" s="703">
        <f>+landbouw!J12</f>
        <v>27.473265100678788</v>
      </c>
      <c r="L54" s="703">
        <f>+landbouw!K12</f>
        <v>0</v>
      </c>
      <c r="M54" s="703">
        <f>+landbouw!L12</f>
        <v>0</v>
      </c>
      <c r="N54" s="703">
        <f>+landbouw!M12</f>
        <v>0</v>
      </c>
      <c r="O54" s="703">
        <f>+landbouw!N12</f>
        <v>0</v>
      </c>
      <c r="P54" s="703">
        <f>+landbouw!O12</f>
        <v>0</v>
      </c>
      <c r="Q54" s="704">
        <f>+landbouw!P12</f>
        <v>0</v>
      </c>
      <c r="R54" s="731">
        <f ca="1">SUM(C54:Q54)</f>
        <v>803.2055466140223</v>
      </c>
    </row>
    <row r="55" spans="1:18" ht="15" thickBot="1">
      <c r="A55" s="825" t="s">
        <v>836</v>
      </c>
      <c r="B55" s="835"/>
      <c r="C55" s="703">
        <f ca="1">C25*'EF ele_warmte'!B12</f>
        <v>606.08520856384348</v>
      </c>
      <c r="D55" s="703"/>
      <c r="E55" s="703">
        <f>E25*EF_CO2_aardgas</f>
        <v>510.96547409999999</v>
      </c>
      <c r="F55" s="703"/>
      <c r="G55" s="703"/>
      <c r="H55" s="703"/>
      <c r="I55" s="703"/>
      <c r="J55" s="703"/>
      <c r="K55" s="703"/>
      <c r="L55" s="703"/>
      <c r="M55" s="703"/>
      <c r="N55" s="703"/>
      <c r="O55" s="703"/>
      <c r="P55" s="703"/>
      <c r="Q55" s="704"/>
      <c r="R55" s="731">
        <f ca="1">SUM(C55:Q55)</f>
        <v>1117.0506826638434</v>
      </c>
    </row>
    <row r="56" spans="1:18" ht="15.75" thickBot="1">
      <c r="A56" s="823" t="s">
        <v>837</v>
      </c>
      <c r="B56" s="836"/>
      <c r="C56" s="732">
        <f ca="1">SUM(C54:C55)</f>
        <v>706.92209488449771</v>
      </c>
      <c r="D56" s="732">
        <f t="shared" ref="D56:Q56" ca="1" si="7">SUM(D54:D55)</f>
        <v>0</v>
      </c>
      <c r="E56" s="732">
        <f t="shared" si="7"/>
        <v>586.44912942400003</v>
      </c>
      <c r="F56" s="732">
        <f t="shared" si="7"/>
        <v>3.5741565810438147</v>
      </c>
      <c r="G56" s="732">
        <f t="shared" si="7"/>
        <v>595.83758328764543</v>
      </c>
      <c r="H56" s="732">
        <f t="shared" si="7"/>
        <v>0</v>
      </c>
      <c r="I56" s="732">
        <f t="shared" si="7"/>
        <v>0</v>
      </c>
      <c r="J56" s="732">
        <f t="shared" si="7"/>
        <v>0</v>
      </c>
      <c r="K56" s="732">
        <f t="shared" si="7"/>
        <v>27.473265100678788</v>
      </c>
      <c r="L56" s="732">
        <f t="shared" si="7"/>
        <v>0</v>
      </c>
      <c r="M56" s="732">
        <f t="shared" si="7"/>
        <v>0</v>
      </c>
      <c r="N56" s="732">
        <f t="shared" si="7"/>
        <v>0</v>
      </c>
      <c r="O56" s="732">
        <f t="shared" si="7"/>
        <v>0</v>
      </c>
      <c r="P56" s="732">
        <f t="shared" si="7"/>
        <v>0</v>
      </c>
      <c r="Q56" s="733">
        <f t="shared" si="7"/>
        <v>0</v>
      </c>
      <c r="R56" s="734">
        <f ca="1">SUM(R54:R55)</f>
        <v>1920.2562292778657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35134.708219351756</v>
      </c>
      <c r="D61" s="740">
        <f t="shared" ref="D61:Q61" ca="1" si="8">D46+D52+D56</f>
        <v>0</v>
      </c>
      <c r="E61" s="740">
        <f t="shared" ca="1" si="8"/>
        <v>43515.879409235473</v>
      </c>
      <c r="F61" s="740">
        <f t="shared" si="8"/>
        <v>3018.457809550493</v>
      </c>
      <c r="G61" s="740">
        <f t="shared" ca="1" si="8"/>
        <v>34317.284751876454</v>
      </c>
      <c r="H61" s="740">
        <f t="shared" si="8"/>
        <v>69474.305355173608</v>
      </c>
      <c r="I61" s="740">
        <f t="shared" si="8"/>
        <v>12363.532261219007</v>
      </c>
      <c r="J61" s="740">
        <f t="shared" si="8"/>
        <v>0</v>
      </c>
      <c r="K61" s="740">
        <f t="shared" si="8"/>
        <v>34.531689850167467</v>
      </c>
      <c r="L61" s="740">
        <f t="shared" si="8"/>
        <v>0</v>
      </c>
      <c r="M61" s="740">
        <f t="shared" ca="1" si="8"/>
        <v>0</v>
      </c>
      <c r="N61" s="740">
        <f t="shared" si="8"/>
        <v>0</v>
      </c>
      <c r="O61" s="740">
        <f t="shared" ca="1" si="8"/>
        <v>0</v>
      </c>
      <c r="P61" s="740">
        <f t="shared" si="8"/>
        <v>0</v>
      </c>
      <c r="Q61" s="740">
        <f t="shared" si="8"/>
        <v>0</v>
      </c>
      <c r="R61" s="740">
        <f ca="1">R46+R52+R56</f>
        <v>197858.69949625697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0.18824195610536623</v>
      </c>
      <c r="D63" s="781">
        <f t="shared" ca="1" si="9"/>
        <v>0</v>
      </c>
      <c r="E63" s="1024">
        <f t="shared" ca="1" si="9"/>
        <v>0.20200000000000004</v>
      </c>
      <c r="F63" s="781">
        <f t="shared" si="9"/>
        <v>0.22699999999999998</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13779.58500203706</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13886.366476666455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27665.951478703515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13779.58500203706</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13886.366476666455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27665.951478703515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55845.904060651796</v>
      </c>
      <c r="C4" s="477">
        <f>huishoudens!C8</f>
        <v>0</v>
      </c>
      <c r="D4" s="477">
        <f>huishoudens!D8</f>
        <v>118410.76853320001</v>
      </c>
      <c r="E4" s="477">
        <f>huishoudens!E8</f>
        <v>9770.7459673677658</v>
      </c>
      <c r="F4" s="477">
        <f>huishoudens!F8</f>
        <v>105696.69669989066</v>
      </c>
      <c r="G4" s="477">
        <f>huishoudens!G8</f>
        <v>0</v>
      </c>
      <c r="H4" s="477">
        <f>huishoudens!H8</f>
        <v>0</v>
      </c>
      <c r="I4" s="477">
        <f>huishoudens!I8</f>
        <v>0</v>
      </c>
      <c r="J4" s="477">
        <f>huishoudens!J8</f>
        <v>0</v>
      </c>
      <c r="K4" s="477">
        <f>huishoudens!K8</f>
        <v>0</v>
      </c>
      <c r="L4" s="477">
        <f>huishoudens!L8</f>
        <v>0</v>
      </c>
      <c r="M4" s="477">
        <f>huishoudens!M8</f>
        <v>0</v>
      </c>
      <c r="N4" s="477">
        <f>huishoudens!N8</f>
        <v>30813.233639317004</v>
      </c>
      <c r="O4" s="477">
        <f>huishoudens!O8</f>
        <v>769.16000000000008</v>
      </c>
      <c r="P4" s="478">
        <f>huishoudens!P8</f>
        <v>1182.1333333333332</v>
      </c>
      <c r="Q4" s="479">
        <f>SUM(B4:P4)</f>
        <v>322488.64223376056</v>
      </c>
    </row>
    <row r="5" spans="1:17">
      <c r="A5" s="476" t="s">
        <v>156</v>
      </c>
      <c r="B5" s="477">
        <f ca="1">tertiair!B16</f>
        <v>52733.304376000007</v>
      </c>
      <c r="C5" s="477">
        <f ca="1">tertiair!C16</f>
        <v>0</v>
      </c>
      <c r="D5" s="477">
        <f ca="1">tertiair!D16</f>
        <v>52800.668705949996</v>
      </c>
      <c r="E5" s="477">
        <f>tertiair!E16</f>
        <v>893.37676907955279</v>
      </c>
      <c r="F5" s="477">
        <f ca="1">tertiair!F16</f>
        <v>9931.9244599996</v>
      </c>
      <c r="G5" s="477">
        <f>tertiair!G16</f>
        <v>0</v>
      </c>
      <c r="H5" s="477">
        <f>tertiair!H16</f>
        <v>0</v>
      </c>
      <c r="I5" s="477">
        <f>tertiair!I16</f>
        <v>0</v>
      </c>
      <c r="J5" s="477">
        <f>tertiair!J16</f>
        <v>0.25269000301598299</v>
      </c>
      <c r="K5" s="477">
        <f>tertiair!K16</f>
        <v>0</v>
      </c>
      <c r="L5" s="477">
        <f ca="1">tertiair!L16</f>
        <v>0</v>
      </c>
      <c r="M5" s="477">
        <f>tertiair!M16</f>
        <v>0</v>
      </c>
      <c r="N5" s="477">
        <f ca="1">tertiair!N16</f>
        <v>9952.0501579531192</v>
      </c>
      <c r="O5" s="477">
        <f>tertiair!O16</f>
        <v>0</v>
      </c>
      <c r="P5" s="478">
        <f>tertiair!P16</f>
        <v>0</v>
      </c>
      <c r="Q5" s="476">
        <f t="shared" ref="Q5:Q14" ca="1" si="0">SUM(B5:P5)</f>
        <v>126311.57715898531</v>
      </c>
    </row>
    <row r="6" spans="1:17">
      <c r="A6" s="476" t="s">
        <v>194</v>
      </c>
      <c r="B6" s="477">
        <f>'openbare verlichting'!B8</f>
        <v>1981.5409999999999</v>
      </c>
      <c r="C6" s="477"/>
      <c r="D6" s="477"/>
      <c r="E6" s="477"/>
      <c r="F6" s="477"/>
      <c r="G6" s="477"/>
      <c r="H6" s="477"/>
      <c r="I6" s="477"/>
      <c r="J6" s="477"/>
      <c r="K6" s="477"/>
      <c r="L6" s="477"/>
      <c r="M6" s="477"/>
      <c r="N6" s="477"/>
      <c r="O6" s="477"/>
      <c r="P6" s="478"/>
      <c r="Q6" s="476">
        <f t="shared" si="0"/>
        <v>1981.5409999999999</v>
      </c>
    </row>
    <row r="7" spans="1:17">
      <c r="A7" s="476" t="s">
        <v>112</v>
      </c>
      <c r="B7" s="477">
        <f>landbouw!B8</f>
        <v>535.67700000000002</v>
      </c>
      <c r="C7" s="477">
        <f>landbouw!C8</f>
        <v>0</v>
      </c>
      <c r="D7" s="477">
        <f>landbouw!D8</f>
        <v>373.68146200000001</v>
      </c>
      <c r="E7" s="477">
        <f>landbouw!E8</f>
        <v>15.745183176404469</v>
      </c>
      <c r="F7" s="477">
        <f>landbouw!F8</f>
        <v>2231.6014355342522</v>
      </c>
      <c r="G7" s="477">
        <f>landbouw!G8</f>
        <v>0</v>
      </c>
      <c r="H7" s="477">
        <f>landbouw!H8</f>
        <v>0</v>
      </c>
      <c r="I7" s="477">
        <f>landbouw!I8</f>
        <v>0</v>
      </c>
      <c r="J7" s="477">
        <f>landbouw!J8</f>
        <v>77.608093504742342</v>
      </c>
      <c r="K7" s="477">
        <f>landbouw!K8</f>
        <v>0</v>
      </c>
      <c r="L7" s="477">
        <f>landbouw!L8</f>
        <v>0</v>
      </c>
      <c r="M7" s="477">
        <f>landbouw!M8</f>
        <v>0</v>
      </c>
      <c r="N7" s="477">
        <f>landbouw!N8</f>
        <v>0</v>
      </c>
      <c r="O7" s="477">
        <f>landbouw!O8</f>
        <v>0</v>
      </c>
      <c r="P7" s="478">
        <f>landbouw!P8</f>
        <v>0</v>
      </c>
      <c r="Q7" s="476">
        <f t="shared" si="0"/>
        <v>3234.3131742153992</v>
      </c>
    </row>
    <row r="8" spans="1:17">
      <c r="A8" s="476" t="s">
        <v>635</v>
      </c>
      <c r="B8" s="477">
        <f>industrie!B18</f>
        <v>72206.809169</v>
      </c>
      <c r="C8" s="477">
        <f>industrie!C18</f>
        <v>0</v>
      </c>
      <c r="D8" s="477">
        <f>industrie!D18</f>
        <v>40880.138214784005</v>
      </c>
      <c r="E8" s="477">
        <f>industrie!E18</f>
        <v>1967.4769085362691</v>
      </c>
      <c r="F8" s="477">
        <f>industrie!F18</f>
        <v>10668.933778644589</v>
      </c>
      <c r="G8" s="477">
        <f>industrie!G18</f>
        <v>0</v>
      </c>
      <c r="H8" s="477">
        <f>industrie!H18</f>
        <v>0</v>
      </c>
      <c r="I8" s="477">
        <f>industrie!I18</f>
        <v>0</v>
      </c>
      <c r="J8" s="477">
        <f>industrie!J18</f>
        <v>19.686362961641315</v>
      </c>
      <c r="K8" s="477">
        <f>industrie!K18</f>
        <v>0</v>
      </c>
      <c r="L8" s="477">
        <f>industrie!L18</f>
        <v>0</v>
      </c>
      <c r="M8" s="477">
        <f>industrie!M18</f>
        <v>0</v>
      </c>
      <c r="N8" s="477">
        <f>industrie!N18</f>
        <v>7749.700166010316</v>
      </c>
      <c r="O8" s="477">
        <f>industrie!O18</f>
        <v>0</v>
      </c>
      <c r="P8" s="478">
        <f>industrie!P18</f>
        <v>0</v>
      </c>
      <c r="Q8" s="476">
        <f t="shared" si="0"/>
        <v>133492.74459993682</v>
      </c>
    </row>
    <row r="9" spans="1:17" s="482" customFormat="1">
      <c r="A9" s="480" t="s">
        <v>561</v>
      </c>
      <c r="B9" s="481">
        <f>transport!B14</f>
        <v>123.58233211403046</v>
      </c>
      <c r="C9" s="481">
        <f>transport!C14</f>
        <v>0</v>
      </c>
      <c r="D9" s="481">
        <f>transport!D14</f>
        <v>430.3566243405914</v>
      </c>
      <c r="E9" s="481">
        <f>transport!E14</f>
        <v>649.82613902279729</v>
      </c>
      <c r="F9" s="481">
        <f>transport!F14</f>
        <v>0</v>
      </c>
      <c r="G9" s="481">
        <f>transport!G14</f>
        <v>255508.91708992416</v>
      </c>
      <c r="H9" s="481">
        <f>transport!H14</f>
        <v>49652.740004895611</v>
      </c>
      <c r="I9" s="481">
        <f>transport!I14</f>
        <v>0</v>
      </c>
      <c r="J9" s="481">
        <f>transport!J14</f>
        <v>0</v>
      </c>
      <c r="K9" s="481">
        <f>transport!K14</f>
        <v>0</v>
      </c>
      <c r="L9" s="481">
        <f>transport!L14</f>
        <v>0</v>
      </c>
      <c r="M9" s="481">
        <f>transport!M14</f>
        <v>16393.046783905404</v>
      </c>
      <c r="N9" s="481">
        <f>transport!N14</f>
        <v>0</v>
      </c>
      <c r="O9" s="481">
        <f>transport!O14</f>
        <v>0</v>
      </c>
      <c r="P9" s="481">
        <f>transport!P14</f>
        <v>0</v>
      </c>
      <c r="Q9" s="480">
        <f>SUM(B9:P9)</f>
        <v>322758.46897420264</v>
      </c>
    </row>
    <row r="10" spans="1:17">
      <c r="A10" s="476" t="s">
        <v>551</v>
      </c>
      <c r="B10" s="477">
        <f>transport!B54</f>
        <v>0</v>
      </c>
      <c r="C10" s="477">
        <f>transport!C54</f>
        <v>0</v>
      </c>
      <c r="D10" s="477">
        <f>transport!D54</f>
        <v>0</v>
      </c>
      <c r="E10" s="477">
        <f>transport!E54</f>
        <v>0</v>
      </c>
      <c r="F10" s="477">
        <f>transport!F54</f>
        <v>0</v>
      </c>
      <c r="G10" s="477">
        <f>transport!G54</f>
        <v>4694.4737534226779</v>
      </c>
      <c r="H10" s="477">
        <f>transport!H54</f>
        <v>0</v>
      </c>
      <c r="I10" s="477">
        <f>transport!I54</f>
        <v>0</v>
      </c>
      <c r="J10" s="477">
        <f>transport!J54</f>
        <v>0</v>
      </c>
      <c r="K10" s="477">
        <f>transport!K54</f>
        <v>0</v>
      </c>
      <c r="L10" s="477">
        <f>transport!L54</f>
        <v>0</v>
      </c>
      <c r="M10" s="477">
        <f>transport!M54</f>
        <v>266.62538508143825</v>
      </c>
      <c r="N10" s="477">
        <f>transport!N54</f>
        <v>0</v>
      </c>
      <c r="O10" s="477">
        <f>transport!O54</f>
        <v>0</v>
      </c>
      <c r="P10" s="478">
        <f>transport!P54</f>
        <v>0</v>
      </c>
      <c r="Q10" s="476">
        <f t="shared" si="0"/>
        <v>4961.0991385041161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3219.7137189999999</v>
      </c>
      <c r="C14" s="484"/>
      <c r="D14" s="484">
        <f>'SEAP template'!E25</f>
        <v>2529.5320499999998</v>
      </c>
      <c r="E14" s="484"/>
      <c r="F14" s="484"/>
      <c r="G14" s="484"/>
      <c r="H14" s="484"/>
      <c r="I14" s="484"/>
      <c r="J14" s="484"/>
      <c r="K14" s="484"/>
      <c r="L14" s="484"/>
      <c r="M14" s="484"/>
      <c r="N14" s="484"/>
      <c r="O14" s="484"/>
      <c r="P14" s="485"/>
      <c r="Q14" s="476">
        <f t="shared" si="0"/>
        <v>5749.2457689999992</v>
      </c>
    </row>
    <row r="15" spans="1:17" s="486" customFormat="1">
      <c r="A15" s="1039" t="s">
        <v>555</v>
      </c>
      <c r="B15" s="987">
        <f ca="1">SUM(B4:B14)</f>
        <v>186646.53165676582</v>
      </c>
      <c r="C15" s="987">
        <f t="shared" ref="C15:Q15" ca="1" si="1">SUM(C4:C14)</f>
        <v>0</v>
      </c>
      <c r="D15" s="987">
        <f t="shared" ca="1" si="1"/>
        <v>215425.14559027459</v>
      </c>
      <c r="E15" s="987">
        <f t="shared" si="1"/>
        <v>13297.17096718279</v>
      </c>
      <c r="F15" s="987">
        <f t="shared" ca="1" si="1"/>
        <v>128529.15637406909</v>
      </c>
      <c r="G15" s="987">
        <f t="shared" si="1"/>
        <v>260203.39084334683</v>
      </c>
      <c r="H15" s="987">
        <f t="shared" si="1"/>
        <v>49652.740004895611</v>
      </c>
      <c r="I15" s="987">
        <f t="shared" si="1"/>
        <v>0</v>
      </c>
      <c r="J15" s="987">
        <f t="shared" si="1"/>
        <v>97.54714646939965</v>
      </c>
      <c r="K15" s="987">
        <f t="shared" si="1"/>
        <v>0</v>
      </c>
      <c r="L15" s="987">
        <f t="shared" ca="1" si="1"/>
        <v>0</v>
      </c>
      <c r="M15" s="987">
        <f t="shared" si="1"/>
        <v>16659.672168986843</v>
      </c>
      <c r="N15" s="987">
        <f t="shared" ca="1" si="1"/>
        <v>48514.983963280436</v>
      </c>
      <c r="O15" s="987">
        <f t="shared" si="1"/>
        <v>769.16000000000008</v>
      </c>
      <c r="P15" s="987">
        <f t="shared" si="1"/>
        <v>1182.1333333333332</v>
      </c>
      <c r="Q15" s="987">
        <f t="shared" ca="1" si="1"/>
        <v>920977.63204860489</v>
      </c>
    </row>
    <row r="17" spans="1:17">
      <c r="A17" s="487" t="s">
        <v>556</v>
      </c>
      <c r="B17" s="786">
        <f ca="1">huishoudens!B10</f>
        <v>0.18824195610536623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10512.542220849709</v>
      </c>
      <c r="C22" s="477">
        <f t="shared" ref="C22:C32" ca="1" si="3">C4*$C$17</f>
        <v>0</v>
      </c>
      <c r="D22" s="477">
        <f t="shared" ref="D22:D32" si="4">D4*$D$17</f>
        <v>23918.975243706405</v>
      </c>
      <c r="E22" s="477">
        <f t="shared" ref="E22:E32" si="5">E4*$E$17</f>
        <v>2217.9593345924827</v>
      </c>
      <c r="F22" s="477">
        <f t="shared" ref="F22:F32" si="6">F4*$F$17</f>
        <v>28221.018018870807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64870.494818019404</v>
      </c>
    </row>
    <row r="23" spans="1:17">
      <c r="A23" s="476" t="s">
        <v>156</v>
      </c>
      <c r="B23" s="477">
        <f t="shared" ca="1" si="2"/>
        <v>9926.62036763791</v>
      </c>
      <c r="C23" s="477">
        <f t="shared" ca="1" si="3"/>
        <v>0</v>
      </c>
      <c r="D23" s="477">
        <f t="shared" ca="1" si="4"/>
        <v>10665.7350786019</v>
      </c>
      <c r="E23" s="477">
        <f t="shared" si="5"/>
        <v>202.79652658105849</v>
      </c>
      <c r="F23" s="477">
        <f t="shared" ca="1" si="6"/>
        <v>2651.8238308198934</v>
      </c>
      <c r="G23" s="477">
        <f t="shared" si="7"/>
        <v>0</v>
      </c>
      <c r="H23" s="477">
        <f t="shared" si="8"/>
        <v>0</v>
      </c>
      <c r="I23" s="477">
        <f t="shared" si="9"/>
        <v>0</v>
      </c>
      <c r="J23" s="477">
        <f t="shared" si="10"/>
        <v>8.9452261067657968E-2</v>
      </c>
      <c r="K23" s="477">
        <f t="shared" si="11"/>
        <v>0</v>
      </c>
      <c r="L23" s="477">
        <f t="shared" ca="1" si="12"/>
        <v>0</v>
      </c>
      <c r="M23" s="477">
        <f t="shared" si="13"/>
        <v>0</v>
      </c>
      <c r="N23" s="477">
        <f t="shared" ca="1" si="14"/>
        <v>0</v>
      </c>
      <c r="O23" s="477">
        <f t="shared" si="15"/>
        <v>0</v>
      </c>
      <c r="P23" s="478">
        <f t="shared" si="16"/>
        <v>0</v>
      </c>
      <c r="Q23" s="476">
        <f t="shared" ref="Q23:Q32" ca="1" si="17">SUM(B23:P23)</f>
        <v>23447.065255901831</v>
      </c>
    </row>
    <row r="24" spans="1:17">
      <c r="A24" s="476" t="s">
        <v>194</v>
      </c>
      <c r="B24" s="477">
        <f t="shared" ca="1" si="2"/>
        <v>373.00915394298352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373.00915394298352</v>
      </c>
    </row>
    <row r="25" spans="1:17">
      <c r="A25" s="476" t="s">
        <v>112</v>
      </c>
      <c r="B25" s="477">
        <f t="shared" ca="1" si="2"/>
        <v>100.83688632065427</v>
      </c>
      <c r="C25" s="477">
        <f t="shared" ca="1" si="3"/>
        <v>0</v>
      </c>
      <c r="D25" s="477">
        <f t="shared" si="4"/>
        <v>75.483655324000011</v>
      </c>
      <c r="E25" s="477">
        <f t="shared" si="5"/>
        <v>3.5741565810438147</v>
      </c>
      <c r="F25" s="477">
        <f t="shared" si="6"/>
        <v>595.83758328764543</v>
      </c>
      <c r="G25" s="477">
        <f t="shared" si="7"/>
        <v>0</v>
      </c>
      <c r="H25" s="477">
        <f t="shared" si="8"/>
        <v>0</v>
      </c>
      <c r="I25" s="477">
        <f t="shared" si="9"/>
        <v>0</v>
      </c>
      <c r="J25" s="477">
        <f t="shared" si="10"/>
        <v>27.473265100678788</v>
      </c>
      <c r="K25" s="477">
        <f t="shared" si="11"/>
        <v>0</v>
      </c>
      <c r="L25" s="477">
        <f t="shared" si="12"/>
        <v>0</v>
      </c>
      <c r="M25" s="477">
        <f t="shared" si="13"/>
        <v>0</v>
      </c>
      <c r="N25" s="477">
        <f t="shared" si="14"/>
        <v>0</v>
      </c>
      <c r="O25" s="477">
        <f t="shared" si="15"/>
        <v>0</v>
      </c>
      <c r="P25" s="478">
        <f t="shared" si="16"/>
        <v>0</v>
      </c>
      <c r="Q25" s="476">
        <f t="shared" ca="1" si="17"/>
        <v>803.2055466140223</v>
      </c>
    </row>
    <row r="26" spans="1:17">
      <c r="A26" s="476" t="s">
        <v>635</v>
      </c>
      <c r="B26" s="477">
        <f t="shared" ca="1" si="2"/>
        <v>13592.351002099454</v>
      </c>
      <c r="C26" s="477">
        <f t="shared" ca="1" si="3"/>
        <v>0</v>
      </c>
      <c r="D26" s="477">
        <f t="shared" si="4"/>
        <v>8257.78791938637</v>
      </c>
      <c r="E26" s="477">
        <f t="shared" si="5"/>
        <v>446.6172582377331</v>
      </c>
      <c r="F26" s="477">
        <f t="shared" si="6"/>
        <v>2848.6053188981055</v>
      </c>
      <c r="G26" s="477">
        <f t="shared" si="7"/>
        <v>0</v>
      </c>
      <c r="H26" s="477">
        <f t="shared" si="8"/>
        <v>0</v>
      </c>
      <c r="I26" s="477">
        <f t="shared" si="9"/>
        <v>0</v>
      </c>
      <c r="J26" s="477">
        <f t="shared" si="10"/>
        <v>6.9689724884210253</v>
      </c>
      <c r="K26" s="477">
        <f t="shared" si="11"/>
        <v>0</v>
      </c>
      <c r="L26" s="477">
        <f t="shared" si="12"/>
        <v>0</v>
      </c>
      <c r="M26" s="477">
        <f t="shared" si="13"/>
        <v>0</v>
      </c>
      <c r="N26" s="477">
        <f t="shared" si="14"/>
        <v>0</v>
      </c>
      <c r="O26" s="477">
        <f t="shared" si="15"/>
        <v>0</v>
      </c>
      <c r="P26" s="478">
        <f t="shared" si="16"/>
        <v>0</v>
      </c>
      <c r="Q26" s="476">
        <f t="shared" ca="1" si="17"/>
        <v>25152.330471110083</v>
      </c>
    </row>
    <row r="27" spans="1:17" s="482" customFormat="1">
      <c r="A27" s="480" t="s">
        <v>561</v>
      </c>
      <c r="B27" s="780">
        <f t="shared" ca="1" si="2"/>
        <v>23.263379937208114</v>
      </c>
      <c r="C27" s="481">
        <f t="shared" ca="1" si="3"/>
        <v>0</v>
      </c>
      <c r="D27" s="481">
        <f t="shared" si="4"/>
        <v>86.932038116799461</v>
      </c>
      <c r="E27" s="481">
        <f t="shared" si="5"/>
        <v>147.51053355817498</v>
      </c>
      <c r="F27" s="481">
        <f t="shared" si="6"/>
        <v>0</v>
      </c>
      <c r="G27" s="481">
        <f t="shared" si="7"/>
        <v>68220.880863009748</v>
      </c>
      <c r="H27" s="481">
        <f t="shared" si="8"/>
        <v>12363.532261219007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80842.119075840936</v>
      </c>
    </row>
    <row r="28" spans="1:17">
      <c r="A28" s="476" t="s">
        <v>551</v>
      </c>
      <c r="B28" s="477">
        <f t="shared" ca="1" si="2"/>
        <v>0</v>
      </c>
      <c r="C28" s="477">
        <f t="shared" ca="1" si="3"/>
        <v>0</v>
      </c>
      <c r="D28" s="477">
        <f t="shared" si="4"/>
        <v>0</v>
      </c>
      <c r="E28" s="477">
        <f t="shared" si="5"/>
        <v>0</v>
      </c>
      <c r="F28" s="477">
        <f t="shared" si="6"/>
        <v>0</v>
      </c>
      <c r="G28" s="477">
        <f t="shared" si="7"/>
        <v>1253.4244921638551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1253.4244921638551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606.08520856384348</v>
      </c>
      <c r="C32" s="477">
        <f t="shared" ca="1" si="3"/>
        <v>0</v>
      </c>
      <c r="D32" s="477">
        <f t="shared" si="4"/>
        <v>510.96547409999999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1117.0506826638434</v>
      </c>
    </row>
    <row r="33" spans="1:17" s="486" customFormat="1">
      <c r="A33" s="1039" t="s">
        <v>555</v>
      </c>
      <c r="B33" s="987">
        <f ca="1">SUM(B22:B32)</f>
        <v>35134.708219351756</v>
      </c>
      <c r="C33" s="987">
        <f t="shared" ref="C33:Q33" ca="1" si="18">SUM(C22:C32)</f>
        <v>0</v>
      </c>
      <c r="D33" s="987">
        <f t="shared" ca="1" si="18"/>
        <v>43515.879409235473</v>
      </c>
      <c r="E33" s="987">
        <f t="shared" si="18"/>
        <v>3018.457809550493</v>
      </c>
      <c r="F33" s="987">
        <f t="shared" ca="1" si="18"/>
        <v>34317.284751876447</v>
      </c>
      <c r="G33" s="987">
        <f t="shared" si="18"/>
        <v>69474.305355173608</v>
      </c>
      <c r="H33" s="987">
        <f t="shared" si="18"/>
        <v>12363.532261219007</v>
      </c>
      <c r="I33" s="987">
        <f t="shared" si="18"/>
        <v>0</v>
      </c>
      <c r="J33" s="987">
        <f t="shared" si="18"/>
        <v>34.531689850167474</v>
      </c>
      <c r="K33" s="987">
        <f t="shared" si="18"/>
        <v>0</v>
      </c>
      <c r="L33" s="987">
        <f t="shared" ca="1" si="18"/>
        <v>0</v>
      </c>
      <c r="M33" s="987">
        <f t="shared" si="18"/>
        <v>0</v>
      </c>
      <c r="N33" s="987">
        <f t="shared" ca="1" si="18"/>
        <v>0</v>
      </c>
      <c r="O33" s="987">
        <f t="shared" si="18"/>
        <v>0</v>
      </c>
      <c r="P33" s="987">
        <f t="shared" si="18"/>
        <v>0</v>
      </c>
      <c r="Q33" s="987">
        <f t="shared" ca="1" si="18"/>
        <v>197858.69949625694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13779.58500203706</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13886.366476666455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27665.951478703515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0.18824195610536623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0.18824195610536623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2019-08-12T08:35:47Z</dcterms:modified>
</cp:coreProperties>
</file>