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4"/>
  <c r="H25"/>
  <c r="H22"/>
  <c r="H28"/>
  <c r="H26"/>
  <c r="H30"/>
  <c r="H23"/>
  <c r="C4"/>
  <c r="D11" i="14"/>
  <c r="B4" i="48"/>
  <c r="C11" i="14"/>
  <c r="N24" i="48"/>
  <c r="N31"/>
  <c r="N30"/>
  <c r="N32"/>
  <c r="N28"/>
  <c r="N27"/>
  <c r="N29"/>
  <c r="B10"/>
  <c r="C19" i="14"/>
  <c r="E31" i="48"/>
  <c r="E29"/>
  <c r="E30"/>
  <c r="E28"/>
  <c r="E32"/>
  <c r="E24"/>
  <c r="L10" i="14"/>
  <c r="L16" s="1"/>
  <c r="L27" s="1"/>
  <c r="K5" i="48"/>
  <c r="L29"/>
  <c r="L32"/>
  <c r="L22"/>
  <c r="L31"/>
  <c r="L30"/>
  <c r="L27"/>
  <c r="L28"/>
  <c r="L24"/>
  <c r="J29"/>
  <c r="J30"/>
  <c r="J32"/>
  <c r="J24"/>
  <c r="J31"/>
  <c r="J27"/>
  <c r="J28"/>
  <c r="Q11" i="14"/>
  <c r="P4" i="48"/>
  <c r="P11" i="14"/>
  <c r="O4" i="48"/>
  <c r="I25"/>
  <c r="I31"/>
  <c r="I27"/>
  <c r="I29"/>
  <c r="I24"/>
  <c r="I28"/>
  <c r="I30"/>
  <c r="I22"/>
  <c r="I32"/>
  <c r="I26"/>
  <c r="G23"/>
  <c r="G30"/>
  <c r="G32"/>
  <c r="G26"/>
  <c r="G29"/>
  <c r="G22"/>
  <c r="G24"/>
  <c r="G25"/>
  <c r="F30"/>
  <c r="F32"/>
  <c r="F24"/>
  <c r="F31"/>
  <c r="F27"/>
  <c r="F28"/>
  <c r="F29"/>
  <c r="M29"/>
  <c r="M32"/>
  <c r="M25"/>
  <c r="M22"/>
  <c r="M26"/>
  <c r="M24"/>
  <c r="M30"/>
  <c r="M23"/>
  <c r="D30"/>
  <c r="D28"/>
  <c r="D24"/>
  <c r="D29"/>
  <c r="D31"/>
  <c r="D32"/>
  <c r="Q10" i="14"/>
  <c r="P5" i="48"/>
  <c r="P23" s="1"/>
  <c r="K32"/>
  <c r="K24"/>
  <c r="K22"/>
  <c r="K30"/>
  <c r="K27"/>
  <c r="K31"/>
  <c r="K25"/>
  <c r="K26"/>
  <c r="K28"/>
  <c r="K29"/>
  <c r="B7"/>
  <c r="C24" i="14"/>
  <c r="C2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D9"/>
  <c r="D27" s="1"/>
  <c r="E20" i="14"/>
  <c r="E22" s="1"/>
  <c r="P10"/>
  <c r="O5" i="48"/>
  <c r="O23" s="1"/>
  <c r="B9"/>
  <c r="C20" i="14"/>
  <c r="C22" s="1"/>
  <c r="P22" i="48"/>
  <c r="P33" s="1"/>
  <c r="H18" i="14"/>
  <c r="G13" i="48"/>
  <c r="G31" s="1"/>
  <c r="O22"/>
  <c r="Q16" i="14"/>
  <c r="Q27" s="1"/>
  <c r="L46"/>
  <c r="L61" s="1"/>
  <c r="L63" s="1"/>
  <c r="K33" i="48"/>
  <c r="J7"/>
  <c r="J25" s="1"/>
  <c r="K24" i="14"/>
  <c r="K26" s="1"/>
  <c r="G11"/>
  <c r="F4" i="48"/>
  <c r="F22" s="1"/>
  <c r="I5"/>
  <c r="J10" i="14"/>
  <c r="J16" s="1"/>
  <c r="J27" s="1"/>
  <c r="J63" s="1"/>
  <c r="K23" i="48"/>
  <c r="K15"/>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C50" i="13"/>
  <c r="J5" s="1"/>
  <c r="J8" s="1"/>
  <c r="F11" i="14" l="1"/>
  <c r="R11" s="1"/>
  <c r="E4" i="48"/>
  <c r="I23"/>
  <c r="I33" s="1"/>
  <c r="I15"/>
  <c r="N19" i="14"/>
  <c r="M10" i="48"/>
  <c r="M28" s="1"/>
  <c r="H19" i="14"/>
  <c r="G10" i="48"/>
  <c r="E7"/>
  <c r="E25" s="1"/>
  <c r="F24" i="14"/>
  <c r="F26" s="1"/>
  <c r="P13"/>
  <c r="O8" i="48"/>
  <c r="J4"/>
  <c r="K11" i="14"/>
  <c r="O11"/>
  <c r="N4" i="48"/>
  <c r="N22" s="1"/>
  <c r="P16" i="14"/>
  <c r="P27" s="1"/>
  <c r="P46"/>
  <c r="P61" s="1"/>
  <c r="E12" i="17"/>
  <c r="F54" i="14" s="1"/>
  <c r="F56" s="1"/>
  <c r="P15" i="48"/>
  <c r="I20" i="14"/>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F10"/>
  <c r="E5" i="48"/>
  <c r="E23" s="1"/>
  <c r="E22"/>
  <c r="Q4"/>
  <c r="O26"/>
  <c r="O33" s="1"/>
  <c r="O15"/>
  <c r="J22"/>
  <c r="H22" i="14"/>
  <c r="H27" s="1"/>
  <c r="R19"/>
  <c r="R22" s="1"/>
  <c r="G9" i="48"/>
  <c r="H20" i="14"/>
  <c r="G28" i="48"/>
  <c r="Q10"/>
  <c r="P63" i="14"/>
  <c r="Q7" i="48"/>
  <c r="N52" i="14"/>
  <c r="N61" s="1"/>
  <c r="J20" i="15"/>
  <c r="K40" i="14" s="1"/>
  <c r="M15" i="48"/>
  <c r="M27"/>
  <c r="M33" s="1"/>
  <c r="Q9"/>
  <c r="H15"/>
  <c r="H27"/>
  <c r="H33" s="1"/>
  <c r="N63" i="14"/>
  <c r="R20"/>
  <c r="R24"/>
  <c r="R26" s="1"/>
  <c r="N18" i="16"/>
  <c r="E20" i="15"/>
  <c r="F40" i="14" s="1"/>
  <c r="F18" i="16"/>
  <c r="J18"/>
  <c r="E18"/>
  <c r="G18" i="22"/>
  <c r="H50" i="14" s="1"/>
  <c r="H52" s="1"/>
  <c r="H61" s="1"/>
  <c r="H63" s="1"/>
  <c r="H18" i="22"/>
  <c r="I50" i="14" s="1"/>
  <c r="I52" s="1"/>
  <c r="I61" s="1"/>
  <c r="I63" s="1"/>
  <c r="J8" i="48" l="1"/>
  <c r="J26" s="1"/>
  <c r="J33" s="1"/>
  <c r="K13" i="14"/>
  <c r="K16" s="1"/>
  <c r="K27" s="1"/>
  <c r="K63" s="1"/>
  <c r="F13"/>
  <c r="E8" i="48"/>
  <c r="E26" s="1"/>
  <c r="E33" s="1"/>
  <c r="G27"/>
  <c r="G33" s="1"/>
  <c r="G15"/>
  <c r="J15"/>
  <c r="F16" i="14"/>
  <c r="F27" s="1"/>
  <c r="K46"/>
  <c r="K61" s="1"/>
  <c r="E15" i="48"/>
  <c r="N8"/>
  <c r="N26" s="1"/>
  <c r="O13" i="14"/>
  <c r="F8" i="48"/>
  <c r="G13" i="14"/>
  <c r="R13" s="1"/>
  <c r="E22" i="16"/>
  <c r="F43" i="14" s="1"/>
  <c r="F46" s="1"/>
  <c r="F61" s="1"/>
  <c r="F22" i="16"/>
  <c r="G43" i="14" s="1"/>
  <c r="N22" i="16"/>
  <c r="O43" i="14" s="1"/>
  <c r="J22" i="16"/>
  <c r="K43" i="14" s="1"/>
  <c r="F63" l="1"/>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<sst xmlns="http://schemas.openxmlformats.org/spreadsheetml/2006/main" count="2383" uniqueCount="881">
  <si>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</si>
  <si>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</si>
  <si>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</si>
  <si>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</si>
  <si>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</si>
  <si>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</si>
  <si>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</si>
  <si>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</si>
  <si>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</si>
  <si>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</si>
  <si>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</si>
  <si>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</si>
  <si>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</si>
  <si>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</si>
  <si>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</si>
  <si>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</si>
  <si>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</si>
  <si>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</si>
  <si>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</si>
  <si>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</si>
  <si>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</si>
  <si>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</si>
  <si>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</si>
  <si>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</si>
  <si>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</si>
  <si>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</si>
  <si>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</si>
  <si>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</si>
  <si>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</si>
  <si>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</si>
  <si>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</si>
  <si>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</si>
  <si>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</si>
  <si>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</si>
  <si>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</si>
  <si>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</si>
  <si>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</si>
  <si>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</si>
  <si>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</si>
  <si>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</si>
  <si>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</si>
  <si>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</si>
  <si>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</si>
  <si>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</si>
  <si>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</si>
  <si>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</si>
  <si>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</si>
  <si>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</si>
  <si>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</si>
  <si>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</si>
  <si>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</si>
  <si>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</si>
  <si>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</si>
  <si>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</si>
  <si>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</si>
  <si>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</si>
  <si>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</si>
  <si>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</si>
  <si>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</si>
  <si>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</si>
  <si>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</si>
  <si>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</si>
  <si>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</si>
  <si>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</si>
  <si>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</si>
  <si>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</si>
  <si>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</si>
  <si>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</si>
  <si>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</si>
  <si>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</si>
  <si>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</si>
  <si>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</si>
  <si>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</si>
  <si>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</si>
  <si>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</si>
  <si>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</si>
  <si>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</si>
  <si>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</si>
  <si>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</si>
  <si>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</si>
  <si>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</si>
  <si>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</si>
  <si>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</si>
  <si>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</si>
  <si>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</si>
  <si>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</si>
  <si>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</si>
  <si>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</si>
  <si>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</si>
  <si>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</si>
  <si>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</si>
  <si>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</si>
  <si>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</si>
  <si>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</si>
  <si>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</si>
  <si>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</si>
  <si>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</si>
  <si>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</si>
  <si>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</si>
  <si>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</si>
  <si>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</si>
  <si>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</si>
  <si>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</si>
  <si>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</si>
  <si>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</si>
  <si>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</si>
  <si>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</si>
  <si>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</si>
  <si>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</si>
  <si>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</si>
  <si>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</si>
  <si>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</si>
  <si>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</si>
  <si>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</si>
  <si>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</si>
  <si>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</si>
  <si>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</si>
  <si>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</si>
  <si>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</si>
  <si>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</si>
  <si>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</si>
  <si>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</si>
  <si>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</si>
  <si>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</si>
  <si>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</si>
  <si>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</si>
  <si>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</si>
  <si>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</si>
  <si>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</si>
  <si>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</si>
  <si>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</si>
  <si>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</si>
  <si>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</si>
  <si>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</si>
  <si>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</si>
  <si>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</si>
  <si>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</si>
  <si>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</si>
  <si>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</si>
  <si>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</si>
  <si>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</si>
  <si>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</si>
  <si>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</si>
  <si>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</si>
  <si>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</si>
  <si>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</si>
  <si>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</si>
  <si>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</si>
  <si>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</si>
  <si>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</si>
  <si>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</si>
  <si>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</si>
  <si>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</si>
  <si>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</si>
  <si>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</si>
  <si>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</si>
  <si>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</si>
  <si>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</si>
  <si>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</si>
  <si>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</si>
  <si>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</si>
  <si>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</si>
  <si>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</si>
  <si>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</si>
  <si>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</si>
  <si>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</si>
  <si>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</si>
  <si>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</si>
  <si>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</si>
  <si>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</si>
  <si>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</si>
  <si>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</si>
  <si>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</si>
  <si>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</si>
  <si>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</si>
  <si>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</si>
  <si>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</si>
  <si>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</si>
  <si>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</si>
  <si>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</si>
  <si>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</si>
  <si>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</si>
  <si>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</si>
  <si>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</si>
  <si>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</si>
  <si>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</si>
  <si>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</si>
  <si>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</si>
  <si>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</si>
  <si>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</si>
  <si>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</si>
  <si>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</si>
  <si>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</si>
  <si>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</si>
  <si>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</si>
  <si>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</si>
  <si>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</si>
  <si>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</si>
  <si>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</si>
  <si>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</si>
  <si>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</si>
  <si>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</si>
  <si>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</si>
  <si>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</si>
  <si>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</si>
  <si>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</si>
  <si>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</si>
  <si>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</si>
  <si>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</si>
  <si>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</si>
  <si>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</si>
  <si>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</si>
  <si>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</si>
  <si>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</si>
  <si>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</si>
  <si>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</si>
  <si>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</si>
  <si>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</si>
  <si>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</si>
  <si>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</si>
  <si>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</si>
  <si>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</si>
  <si>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</si>
  <si>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</si>
  <si>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</si>
  <si>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</si>
  <si>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</si>
  <si>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</si>
  <si>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</si>
  <si>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</si>
  <si>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</si>
  <si>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</si>
  <si>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</si>
  <si>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</si>
  <si>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</si>
  <si>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</si>
  <si>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</si>
  <si>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</si>
  <si>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</si>
  <si>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</si>
  <si>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</si>
  <si>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</si>
  <si>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</si>
  <si>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</si>
  <si>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</si>
  <si>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</si>
  <si>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</si>
  <si>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</si>
  <si>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</si>
  <si>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</si>
  <si>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</si>
  <si>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</si>
  <si>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</si>
  <si>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</si>
  <si>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</si>
  <si>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</si>
  <si>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</si>
  <si>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</si>
  <si>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</si>
  <si>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</si>
  <si>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</si>
  <si>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</si>
  <si>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</si>
  <si>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</si>
  <si>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</si>
  <si>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</si>
  <si>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</si>
  <si>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</si>
  <si>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</si>
  <si>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</si>
  <si>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</si>
  <si>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</si>
  <si>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</si>
  <si>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</si>
  <si>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</si>
  <si>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</si>
  <si>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</si>
  <si>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</si>
  <si>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</si>
  <si>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</si>
  <si>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</si>
  <si>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</si>
  <si>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</si>
  <si>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</si>
  <si>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</si>
  <si>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</si>
  <si>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</si>
  <si>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</si>
  <si>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</si>
  <si>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</si>
  <si>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</si>
  <si>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</si>
  <si>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</si>
  <si>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</si>
  <si>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</si>
  <si>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</si>
  <si>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</si>
  <si>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</si>
  <si>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</si>
  <si>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</si>
  <si>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</si>
  <si>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</si>
  <si>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</si>
  <si>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</si>
  <si>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</si>
  <si>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</si>
  <si>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</si>
  <si>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</si>
  <si>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</si>
  <si>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</si>
  <si>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</si>
  <si>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</si>
  <si>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</si>
  <si>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</si>
  <si>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</si>
  <si>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</si>
  <si>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</si>
  <si>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</si>
  <si>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</si>
  <si>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</si>
  <si>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</si>
  <si>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</si>
  <si>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</si>
  <si>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</si>
  <si>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</si>
  <si>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</si>
  <si>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</si>
  <si>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</si>
  <si>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</si>
  <si>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</si>
  <si>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</si>
  <si>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</si>
  <si>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</si>
  <si>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</si>
  <si>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</si>
  <si>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</si>
  <si>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</si>
  <si>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</si>
  <si>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</si>
  <si>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</si>
  <si>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</si>
  <si>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</si>
  <si>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</si>
  <si>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</si>
  <si>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</si>
  <si>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</si>
  <si>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</si>
  <si>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</si>
  <si>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</si>
  <si>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</si>
  <si>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</si>
  <si>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</si>
  <si>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</si>
  <si>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</si>
  <si>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</si>
  <si>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</si>
  <si>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</si>
  <si>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</si>
  <si>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</si>
  <si>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</si>
  <si>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</si>
  <si>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</si>
  <si>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</si>
  <si>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</si>
  <si>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</si>
  <si>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</si>
  <si>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</si>
  <si>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</si>
  <si>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</si>
  <si>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</si>
  <si>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</si>
  <si>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</si>
  <si>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</si>
  <si>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</si>
  <si>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</si>
  <si>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</si>
  <si>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</si>
  <si>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</si>
  <si>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</si>
  <si>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</si>
  <si>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</si>
  <si>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</si>
  <si>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</si>
  <si>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</si>
  <si>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</si>
  <si>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</si>
  <si>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</si>
  <si>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</si>
  <si>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</si>
  <si>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</si>
  <si>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</si>
  <si>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</si>
  <si>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</si>
  <si>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</si>
  <si>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</si>
  <si>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</si>
  <si>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</si>
  <si>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</si>
  <si>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</si>
  <si>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</si>
  <si>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</si>
  <si>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</si>
  <si>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</si>
  <si>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</si>
  <si>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</si>
  <si>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</si>
  <si>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</si>
  <si>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</si>
  <si>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</si>
  <si>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</si>
  <si>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</si>
  <si>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</si>
  <si>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</si>
  <si>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</si>
  <si>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</si>
  <si>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</si>
  <si>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</si>
  <si>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</si>
  <si>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</si>
  <si>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</si>
  <si>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</si>
  <si>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</si>
  <si>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</si>
  <si>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</si>
  <si>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</si>
  <si>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</si>
  <si>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</si>
  <si>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</si>
  <si>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</si>
  <si>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</si>
  <si>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</si>
  <si>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</si>
  <si>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</si>
  <si>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</si>
  <si>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</si>
  <si>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</si>
  <si>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</si>
  <si>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</si>
  <si>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</si>
  <si>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</si>
  <si>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</si>
  <si>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</si>
  <si>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</si>
  <si>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</si>
  <si>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</si>
  <si>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</si>
  <si>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</si>
  <si>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</si>
  <si>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</si>
  <si>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</si>
  <si>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</si>
  <si>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</si>
  <si>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</si>
  <si>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</si>
  <si>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</si>
  <si>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</si>
  <si>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</si>
  <si>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</si>
  <si>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</si>
  <si>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</si>
  <si>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</si>
  <si>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</si>
  <si>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</si>
  <si>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</si>
  <si>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</si>
  <si>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</si>
  <si>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</si>
  <si>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</si>
  <si>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</si>
  <si>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</si>
  <si>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</si>
  <si>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</si>
  <si>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</si>
  <si>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</si>
  <si>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</si>
  <si>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</si>
  <si>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</si>
  <si>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</si>
  <si>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</si>
  <si>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</si>
  <si>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</si>
  <si>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</si>
  <si>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</si>
  <si>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</si>
  <si>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</si>
  <si>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</si>
  <si>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</si>
  <si>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</si>
  <si>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</si>
  <si>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</si>
  <si>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</si>
  <si>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</si>
  <si>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</si>
  <si>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</si>
  <si>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</si>
  <si>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</si>
  <si>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</si>
  <si>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</si>
  <si>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</si>
  <si>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</si>
  <si>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</si>
  <si>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</si>
  <si>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</si>
  <si>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</si>
  <si>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</si>
  <si>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</si>
  <si>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</si>
  <si>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</si>
  <si>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</si>
  <si>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</si>
  <si>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</si>
  <si>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</si>
  <si>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</si>
  <si>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</si>
  <si>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</si>
  <si>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</si>
  <si>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</si>
  <si>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</si>
  <si>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</si>
  <si>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</si>
  <si>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</si>
  <si>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</si>
  <si>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</si>
  <si>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</si>
  <si>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</si>
  <si>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</si>
  <si>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</si>
  <si>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</si>
  <si>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</si>
  <si>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</si>
  <si>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</si>
  <si>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</si>
  <si>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</si>
  <si>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</si>
  <si>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</si>
  <si>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</si>
  <si>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</si>
  <si>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</si>
  <si>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</si>
  <si>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</si>
  <si>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</si>
  <si>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</si>
  <si>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</si>
  <si>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</si>
  <si>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</si>
  <si>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</si>
  <si>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</si>
  <si>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</si>
  <si>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</si>
  <si>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</si>
  <si>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</si>
  <si>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</si>
  <si>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</si>
  <si>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</si>
  <si>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</si>
  <si>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</si>
  <si>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</si>
  <si>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</si>
  <si>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</si>
  <si>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</si>
  <si>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</si>
  <si>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</si>
  <si>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</si>
  <si>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</si>
  <si>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</si>
  <si>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</si>
  <si>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</si>
  <si>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</si>
  <si>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</si>
  <si>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</si>
  <si>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</si>
  <si>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</si>
  <si>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</si>
  <si>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</si>
  <si>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</si>
  <si>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</si>
  <si>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</si>
  <si>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</si>
  <si>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</si>
  <si>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</si>
  <si>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</si>
  <si>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</si>
  <si>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</si>
  <si>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</si>
  <si>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</si>
  <si>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</si>
  <si>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</si>
  <si>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</si>
  <si>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</si>
  <si>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</si>
  <si>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</si>
  <si>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</si>
  <si>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</si>
  <si>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</si>
  <si>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</si>
  <si>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</si>
  <si>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</si>
  <si>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</si>
  <si>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</si>
  <si>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</si>
  <si>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</si>
  <si>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</si>
  <si>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</si>
  <si>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</si>
  <si>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</si>
  <si>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</si>
  <si>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</si>
  <si>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</si>
  <si>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</si>
  <si>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</si>
  <si>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</si>
  <si>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</si>
  <si>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</si>
  <si>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</si>
  <si>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</si>
  <si>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</si>
  <si>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</si>
  <si>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</si>
  <si>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</si>
  <si>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</si>
  <si>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</si>
  <si>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</si>
  <si>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</si>
  <si>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</si>
  <si>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</si>
  <si>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</si>
  <si>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</si>
  <si>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</si>
  <si>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</si>
  <si>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</si>
  <si>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</si>
  <si>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</si>
  <si>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</si>
  <si>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</si>
  <si>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</si>
  <si>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</si>
  <si>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</si>
  <si>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</si>
  <si>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</si>
  <si>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</si>
  <si>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</si>
  <si>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</si>
  <si>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</si>
  <si>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</si>
  <si>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</si>
  <si>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</si>
  <si>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</si>
  <si>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</si>
  <si>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</si>
  <si>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</si>
  <si>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</si>
  <si>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</si>
  <si>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</si>
  <si>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</si>
  <si>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</si>
  <si>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</si>
  <si>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</si>
  <si>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</si>
  <si>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</si>
  <si>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</si>
  <si>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</si>
  <si>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</si>
  <si>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</si>
  <si>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</si>
  <si>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</si>
  <si>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</si>
  <si>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</si>
  <si>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</si>
  <si>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</si>
  <si>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</si>
  <si>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</si>
  <si>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</si>
  <si>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</si>
  <si>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</si>
  <si>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</si>
  <si>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</si>
  <si>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</si>
  <si>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</si>
  <si>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</si>
  <si>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</si>
  <si>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</si>
  <si>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</si>
  <si>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</si>
  <si>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</si>
  <si>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</si>
  <si>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</si>
  <si>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</si>
  <si>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</si>
  <si>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</si>
  <si>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</si>
  <si>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</si>
  <si>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</si>
  <si>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</si>
  <si>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</si>
  <si>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</si>
  <si>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</si>
  <si>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</si>
  <si>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</si>
  <si>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</si>
  <si>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</si>
  <si>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</si>
  <si>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</si>
  <si>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</si>
  <si>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</si>
  <si>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</si>
  <si>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</si>
  <si>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</si>
  <si>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</si>
  <si>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</si>
  <si>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</si>
  <si>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</si>
  <si>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</si>
  <si>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</si>
  <si>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</si>
  <si>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</si>
  <si>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</si>
  <si>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</si>
  <si>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</si>
  <si>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</si>
  <si>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</si>
  <si>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</si>
  <si>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</si>
  <si>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</si>
  <si>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</si>
  <si>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</si>
  <si>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</si>
  <si>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</si>
  <si>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</si>
  <si>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</si>
  <si>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</si>
  <si>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</si>
  <si>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</si>
  <si>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</si>
  <si>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</si>
  <si>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</si>
  <si>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</si>
  <si>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</si>
  <si>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</si>
  <si>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</si>
  <si>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</si>
  <si>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</si>
  <si>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</si>
  <si>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</si>
  <si>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</si>
  <si>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</si>
  <si>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</si>
  <si>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</si>
  <si>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</si>
  <si>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</si>
  <si>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</si>
  <si>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</si>
  <si>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</si>
  <si>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</si>
  <si>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</si>
  <si>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</si>
  <si>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</si>
  <si>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</si>
  <si>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</si>
  <si>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</si>
  <si>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</si>
  <si>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</si>
  <si>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</si>
  <si>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</si>
  <si>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</si>
  <si>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</si>
  <si>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</si>
  <si>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</si>
  <si>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</si>
  <si>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</si>
  <si>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</si>
  <si>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</si>
  <si>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</si>
  <si>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</si>
  <si>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</si>
  <si>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</si>
  <si>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</si>
  <si>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</si>
  <si>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</si>
  <si>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</si>
  <si>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</si>
  <si>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</si>
  <si>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</si>
  <si>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</si>
  <si>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</si>
  <si>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</si>
  <si>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</si>
  <si>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</si>
  <si>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</si>
  <si>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</si>
  <si>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</si>
  <si>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</si>
  <si>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</si>
  <si>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</si>
  <si>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</si>
  <si>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</si>
  <si>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</si>
  <si>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</si>
  <si>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</si>
  <si>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</si>
  <si>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</si>
  <si>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</si>
  <si>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</si>
  <si>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</si>
  <si>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</si>
  <si>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</si>
  <si>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</si>
  <si>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</si>
  <si>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</si>
  <si>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</si>
  <si>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</si>
  <si>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</si>
  <si>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</si>
  <si>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</si>
  <si>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</si>
  <si>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</si>
  <si>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</si>
  <si>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</si>
  <si>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</si>
  <si>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</si>
  <si>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</si>
  <si>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</si>
  <si>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</si>
  <si>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</si>
  <si>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</si>
  <si>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</si>
  <si>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</si>
  <si>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</si>
  <si>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</si>
  <si>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</si>
  <si>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</si>
  <si>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</si>
  <si>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</si>
  <si>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</si>
  <si>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</si>
  <si>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</si>
  <si>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</si>
  <si>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</si>
  <si>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</si>
  <si>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</si>
  <si>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</si>
  <si>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</si>
  <si>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</si>
  <si>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</si>
  <si>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</si>
  <si>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</si>
  <si>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</si>
  <si>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</si>
  <si>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</si>
  <si>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</si>
  <si>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</si>
  <si>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</si>
  <si>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</si>
  <si>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</si>
  <si>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</si>
  <si>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</si>
  <si>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</si>
  <si>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</si>
  <si>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</si>
  <si>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</si>
  <si>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</si>
  <si>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</si>
  <si>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</si>
  <si>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</si>
  <si>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</si>
  <si>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</si>
  <si>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</si>
  <si>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</si>
  <si>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</si>
  <si>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</si>
  <si>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</si>
  <si>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</si>
  <si>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</si>
  <si>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</si>
  <si>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73098</t>
  </si>
  <si>
    <t>WELLEN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</si>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</sst>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76840.229723567885</c:v>
                </c:pt>
                <c:pt idx="1">
                  <c:v>10853.266037938636</c:v>
                </c:pt>
                <c:pt idx="2">
                  <c:v>552.26099999999997</c:v>
                </c:pt>
                <c:pt idx="3">
                  <c:v>12383.642323314589</c:v>
                </c:pt>
                <c:pt idx="4">
                  <c:v>115556.43443982294</c:v>
                </c:pt>
                <c:pt idx="5">
                  <c:v>28971.894663078634</c:v>
                </c:pt>
                <c:pt idx="6">
                  <c:v>421.93565004638083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6864"/>
        <c:axId val="75798400"/>
      </c:barChart>
      <c:catAx>
        <c:axId val="75796864"/>
        <c:scaling>
          <c:orientation val="minMax"/>
        </c:scaling>
        <c:axPos val="b"/>
        <c:numFmt formatCode="General" sourceLinked="0"/>
        <c:tickLblPos val="nextTo"/>
        <c:crossAx val="75798400"/>
        <c:crosses val="autoZero"/>
        <c:auto val="1"/>
        <c:lblAlgn val="ctr"/>
        <c:lblOffset val="100"/>
      </c:catAx>
      <c:valAx>
        <c:axId val="75798400"/>
        <c:scaling>
          <c:orientation val="minMax"/>
        </c:scaling>
        <c:axPos val="l"/>
        <c:majorGridlines>
          <c:spPr>
            <a:ln>
              <a:noFill/>
            </a:ln>
          </c:spPr>
        </c:majorGridlines>
        <c:numFmt formatCode="#,##0" sourceLinked="1"/>
        <c:tickLblPos val="nextTo"/>
        <c:crossAx val="75796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76840.229723567885</c:v>
                </c:pt>
                <c:pt idx="1">
                  <c:v>10853.266037938636</c:v>
                </c:pt>
                <c:pt idx="2">
                  <c:v>552.26099999999997</c:v>
                </c:pt>
                <c:pt idx="3">
                  <c:v>12383.642323314589</c:v>
                </c:pt>
                <c:pt idx="4">
                  <c:v>115556.43443982294</c:v>
                </c:pt>
                <c:pt idx="5">
                  <c:v>28971.894663078634</c:v>
                </c:pt>
                <c:pt idx="6">
                  <c:v>421.93565004638083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14553.557435276343</c:v>
                </c:pt>
                <c:pt idx="2">
                  <c:v>2092.2287243409355</c:v>
                </c:pt>
                <c:pt idx="3">
                  <c:v>113.33872661135842</c:v>
                </c:pt>
                <c:pt idx="4">
                  <c:v>3030.5110614257705</c:v>
                </c:pt>
                <c:pt idx="5">
                  <c:v>22259.473188911874</c:v>
                </c:pt>
                <c:pt idx="6">
                  <c:v>7245.3327394824773</c:v>
                </c:pt>
                <c:pt idx="7">
                  <c:v>106.60227968044106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14553.557435276343</c:v>
                </c:pt>
                <c:pt idx="2">
                  <c:v>2092.2287243409355</c:v>
                </c:pt>
                <c:pt idx="3">
                  <c:v>113.33872661135842</c:v>
                </c:pt>
                <c:pt idx="4">
                  <c:v>3030.5110614257705</c:v>
                </c:pt>
                <c:pt idx="5">
                  <c:v>22259.473188911874</c:v>
                </c:pt>
                <c:pt idx="6">
                  <c:v>7245.3327394824773</c:v>
                </c:pt>
                <c:pt idx="7">
                  <c:v>106.60227968044106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73098</v>
      </c>
      <c r="B6" s="415"/>
      <c r="C6" s="416"/>
    </row>
    <row r="7" spans="1:7" s="413" customFormat="1" ht="15.75" customHeight="1">
      <c r="A7" s="417" t="str">
        <f>txtMunicipality</f>
        <v>WELLEN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5454.8683730000012</v>
      </c>
      <c r="D10" s="1013">
        <f ca="1">tertiair!C16</f>
        <v>0</v>
      </c>
      <c r="E10" s="1013">
        <f ca="1">tertiair!D16</f>
        <v>4104.7075872000005</v>
      </c>
      <c r="F10" s="1013">
        <f>tertiair!E16</f>
        <v>67.05221898282268</v>
      </c>
      <c r="G10" s="1013">
        <f ca="1">tertiair!F16</f>
        <v>905.25519658423002</v>
      </c>
      <c r="H10" s="1013">
        <f>tertiair!G16</f>
        <v>0</v>
      </c>
      <c r="I10" s="1013">
        <f>tertiair!H16</f>
        <v>0</v>
      </c>
      <c r="J10" s="1013">
        <f>tertiair!I16</f>
        <v>0</v>
      </c>
      <c r="K10" s="1013">
        <f>tertiair!J16</f>
        <v>2.1622989233581563E-2</v>
      </c>
      <c r="L10" s="1013">
        <f>tertiair!K16</f>
        <v>0</v>
      </c>
      <c r="M10" s="1013">
        <f ca="1">tertiair!L16</f>
        <v>0</v>
      </c>
      <c r="N10" s="1013">
        <f>tertiair!M16</f>
        <v>0</v>
      </c>
      <c r="O10" s="1013">
        <f ca="1">tertiair!N16</f>
        <v>854.55537251568137</v>
      </c>
      <c r="P10" s="1013">
        <f>tertiair!O16</f>
        <v>0</v>
      </c>
      <c r="Q10" s="1014">
        <f>tertiair!P16</f>
        <v>19.066666666666666</v>
      </c>
      <c r="R10" s="700">
        <f ca="1">SUM(C10:Q10)</f>
        <v>11405.527037938637</v>
      </c>
      <c r="S10" s="67"/>
    </row>
    <row r="11" spans="1:19" s="473" customFormat="1">
      <c r="A11" s="809" t="s">
        <v>225</v>
      </c>
      <c r="B11" s="814"/>
      <c r="C11" s="1013">
        <f>huishoudens!B8</f>
        <v>13111.713878198621</v>
      </c>
      <c r="D11" s="1013">
        <f>huishoudens!C8</f>
        <v>0</v>
      </c>
      <c r="E11" s="1013">
        <f>huishoudens!D8</f>
        <v>16831.452999900001</v>
      </c>
      <c r="F11" s="1013">
        <f>huishoudens!E8</f>
        <v>1926.2901240730571</v>
      </c>
      <c r="G11" s="1013">
        <f>huishoudens!F8</f>
        <v>29880.260441612074</v>
      </c>
      <c r="H11" s="1013">
        <f>huishoudens!G8</f>
        <v>0</v>
      </c>
      <c r="I11" s="1013">
        <f>huishoudens!H8</f>
        <v>0</v>
      </c>
      <c r="J11" s="1013">
        <f>huishoudens!I8</f>
        <v>0</v>
      </c>
      <c r="K11" s="1013">
        <f>huishoudens!J8</f>
        <v>133.98924247666082</v>
      </c>
      <c r="L11" s="1013">
        <f>huishoudens!K8</f>
        <v>0</v>
      </c>
      <c r="M11" s="1013">
        <f>huishoudens!L8</f>
        <v>0</v>
      </c>
      <c r="N11" s="1013">
        <f>huishoudens!M8</f>
        <v>0</v>
      </c>
      <c r="O11" s="1013">
        <f>huishoudens!N8</f>
        <v>14223.499703974139</v>
      </c>
      <c r="P11" s="1013">
        <f>huishoudens!O8</f>
        <v>161.02333333333334</v>
      </c>
      <c r="Q11" s="1014">
        <f>huishoudens!P8</f>
        <v>572</v>
      </c>
      <c r="R11" s="700">
        <f>SUM(C11:Q11)</f>
        <v>76840.229723567885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44082.218700000012</v>
      </c>
      <c r="D13" s="1013">
        <f>industrie!C18</f>
        <v>0</v>
      </c>
      <c r="E13" s="1013">
        <f>industrie!D18</f>
        <v>7724.6234194140006</v>
      </c>
      <c r="F13" s="1013">
        <f>industrie!E18</f>
        <v>12096.59199910737</v>
      </c>
      <c r="G13" s="1013">
        <f>industrie!F18</f>
        <v>33356.690973623132</v>
      </c>
      <c r="H13" s="1013">
        <f>industrie!G18</f>
        <v>0</v>
      </c>
      <c r="I13" s="1013">
        <f>industrie!H18</f>
        <v>0</v>
      </c>
      <c r="J13" s="1013">
        <f>industrie!I18</f>
        <v>0</v>
      </c>
      <c r="K13" s="1013">
        <f>industrie!J18</f>
        <v>0.24348259531991037</v>
      </c>
      <c r="L13" s="1013">
        <f>industrie!K18</f>
        <v>0</v>
      </c>
      <c r="M13" s="1013">
        <f>industrie!L18</f>
        <v>0</v>
      </c>
      <c r="N13" s="1013">
        <f>industrie!M18</f>
        <v>0</v>
      </c>
      <c r="O13" s="1013">
        <f>industrie!N18</f>
        <v>18296.06586508311</v>
      </c>
      <c r="P13" s="1013">
        <f>industrie!O18</f>
        <v>0</v>
      </c>
      <c r="Q13" s="1014">
        <f>industrie!P18</f>
        <v>0</v>
      </c>
      <c r="R13" s="700">
        <f>SUM(C13:Q13)</f>
        <v>115556.43443982294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62648.800951198631</v>
      </c>
      <c r="D16" s="732">
        <f t="shared" ref="D16:R16" ca="1" si="0">SUM(D9:D15)</f>
        <v>0</v>
      </c>
      <c r="E16" s="732">
        <f t="shared" ca="1" si="0"/>
        <v>28660.784006514001</v>
      </c>
      <c r="F16" s="732">
        <f t="shared" si="0"/>
        <v>14089.934342163249</v>
      </c>
      <c r="G16" s="732">
        <f t="shared" ca="1" si="0"/>
        <v>64142.206611819434</v>
      </c>
      <c r="H16" s="732">
        <f t="shared" si="0"/>
        <v>0</v>
      </c>
      <c r="I16" s="732">
        <f t="shared" si="0"/>
        <v>0</v>
      </c>
      <c r="J16" s="732">
        <f t="shared" si="0"/>
        <v>0</v>
      </c>
      <c r="K16" s="732">
        <f t="shared" si="0"/>
        <v>134.2543480612143</v>
      </c>
      <c r="L16" s="732">
        <f t="shared" si="0"/>
        <v>0</v>
      </c>
      <c r="M16" s="732">
        <f t="shared" ca="1" si="0"/>
        <v>0</v>
      </c>
      <c r="N16" s="732">
        <f t="shared" si="0"/>
        <v>0</v>
      </c>
      <c r="O16" s="732">
        <f t="shared" ca="1" si="0"/>
        <v>33374.120941572932</v>
      </c>
      <c r="P16" s="732">
        <f t="shared" si="0"/>
        <v>161.02333333333334</v>
      </c>
      <c r="Q16" s="732">
        <f t="shared" si="0"/>
        <v>591.06666666666672</v>
      </c>
      <c r="R16" s="732">
        <f t="shared" ca="1" si="0"/>
        <v>203802.19120132946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399.25947445858071</v>
      </c>
      <c r="I19" s="1013">
        <f>transport!H54</f>
        <v>0</v>
      </c>
      <c r="J19" s="1013">
        <f>transport!I54</f>
        <v>0</v>
      </c>
      <c r="K19" s="1013">
        <f>transport!J54</f>
        <v>0</v>
      </c>
      <c r="L19" s="1013">
        <f>transport!K54</f>
        <v>0</v>
      </c>
      <c r="M19" s="1013">
        <f>transport!L54</f>
        <v>0</v>
      </c>
      <c r="N19" s="1013">
        <f>transport!M54</f>
        <v>22.676175587800127</v>
      </c>
      <c r="O19" s="1013">
        <f>transport!N54</f>
        <v>0</v>
      </c>
      <c r="P19" s="1013">
        <f>transport!O54</f>
        <v>0</v>
      </c>
      <c r="Q19" s="1014">
        <f>transport!P54</f>
        <v>0</v>
      </c>
      <c r="R19" s="700">
        <f>SUM(C19:Q19)</f>
        <v>421.93565004638083</v>
      </c>
      <c r="S19" s="67"/>
    </row>
    <row r="20" spans="1:19" s="473" customFormat="1">
      <c r="A20" s="809" t="s">
        <v>307</v>
      </c>
      <c r="B20" s="814"/>
      <c r="C20" s="1013">
        <f>transport!B14</f>
        <v>13.815270835018422</v>
      </c>
      <c r="D20" s="1013">
        <f>transport!C14</f>
        <v>0</v>
      </c>
      <c r="E20" s="1013">
        <f>transport!D14</f>
        <v>48.447793754042635</v>
      </c>
      <c r="F20" s="1013">
        <f>transport!E14</f>
        <v>64.569598129708254</v>
      </c>
      <c r="G20" s="1013">
        <f>transport!F14</f>
        <v>0</v>
      </c>
      <c r="H20" s="1013">
        <f>transport!G14</f>
        <v>21941.385132125499</v>
      </c>
      <c r="I20" s="1013">
        <f>transport!H14</f>
        <v>5460.6582050067627</v>
      </c>
      <c r="J20" s="1013">
        <f>transport!I14</f>
        <v>0</v>
      </c>
      <c r="K20" s="1013">
        <f>transport!J14</f>
        <v>0</v>
      </c>
      <c r="L20" s="1013">
        <f>transport!K14</f>
        <v>0</v>
      </c>
      <c r="M20" s="1013">
        <f>transport!L14</f>
        <v>0</v>
      </c>
      <c r="N20" s="1013">
        <f>transport!M14</f>
        <v>1443.0186632276027</v>
      </c>
      <c r="O20" s="1013">
        <f>transport!N14</f>
        <v>0</v>
      </c>
      <c r="P20" s="1013">
        <f>transport!O14</f>
        <v>0</v>
      </c>
      <c r="Q20" s="1014">
        <f>transport!P14</f>
        <v>0</v>
      </c>
      <c r="R20" s="700">
        <f>SUM(C20:Q20)</f>
        <v>28971.894663078634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13.815270835018422</v>
      </c>
      <c r="D22" s="812">
        <f t="shared" ref="D22:R22" si="1">SUM(D18:D21)</f>
        <v>0</v>
      </c>
      <c r="E22" s="812">
        <f t="shared" si="1"/>
        <v>48.447793754042635</v>
      </c>
      <c r="F22" s="812">
        <f t="shared" si="1"/>
        <v>64.569598129708254</v>
      </c>
      <c r="G22" s="812">
        <f t="shared" si="1"/>
        <v>0</v>
      </c>
      <c r="H22" s="812">
        <f t="shared" si="1"/>
        <v>22340.644606584079</v>
      </c>
      <c r="I22" s="812">
        <f t="shared" si="1"/>
        <v>5460.6582050067627</v>
      </c>
      <c r="J22" s="812">
        <f t="shared" si="1"/>
        <v>0</v>
      </c>
      <c r="K22" s="812">
        <f t="shared" si="1"/>
        <v>0</v>
      </c>
      <c r="L22" s="812">
        <f t="shared" si="1"/>
        <v>0</v>
      </c>
      <c r="M22" s="812">
        <f t="shared" si="1"/>
        <v>0</v>
      </c>
      <c r="N22" s="812">
        <f t="shared" si="1"/>
        <v>1465.6948388154028</v>
      </c>
      <c r="O22" s="812">
        <f t="shared" si="1"/>
        <v>0</v>
      </c>
      <c r="P22" s="812">
        <f t="shared" si="1"/>
        <v>0</v>
      </c>
      <c r="Q22" s="812">
        <f t="shared" si="1"/>
        <v>0</v>
      </c>
      <c r="R22" s="812">
        <f t="shared" si="1"/>
        <v>29393.830313125014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1782.5792269999999</v>
      </c>
      <c r="D24" s="1013">
        <f>+landbouw!C8</f>
        <v>0</v>
      </c>
      <c r="E24" s="1013">
        <f>+landbouw!D8</f>
        <v>2864.281465386</v>
      </c>
      <c r="F24" s="1013">
        <f>+landbouw!E8</f>
        <v>52.395448106916092</v>
      </c>
      <c r="G24" s="1013">
        <f>+landbouw!F8</f>
        <v>7426.1287341564757</v>
      </c>
      <c r="H24" s="1013">
        <f>+landbouw!G8</f>
        <v>0</v>
      </c>
      <c r="I24" s="1013">
        <f>+landbouw!H8</f>
        <v>0</v>
      </c>
      <c r="J24" s="1013">
        <f>+landbouw!I8</f>
        <v>0</v>
      </c>
      <c r="K24" s="1013">
        <f>+landbouw!J8</f>
        <v>258.25744866519818</v>
      </c>
      <c r="L24" s="1013">
        <f>+landbouw!K8</f>
        <v>0</v>
      </c>
      <c r="M24" s="1013">
        <f>+landbouw!L8</f>
        <v>0</v>
      </c>
      <c r="N24" s="1013">
        <f>+landbouw!M8</f>
        <v>0</v>
      </c>
      <c r="O24" s="1013">
        <f>+landbouw!N8</f>
        <v>0</v>
      </c>
      <c r="P24" s="1013">
        <f>+landbouw!O8</f>
        <v>0</v>
      </c>
      <c r="Q24" s="1014">
        <f>+landbouw!P8</f>
        <v>0</v>
      </c>
      <c r="R24" s="700">
        <f>SUM(C24:Q24)</f>
        <v>12383.642323314589</v>
      </c>
      <c r="S24" s="67"/>
    </row>
    <row r="25" spans="1:19" s="473" customFormat="1" ht="15" thickBot="1">
      <c r="A25" s="831" t="s">
        <v>836</v>
      </c>
      <c r="B25" s="1016"/>
      <c r="C25" s="1017">
        <f>IF(Onbekend_ele_kWh="---",0,Onbekend_ele_kWh)/1000+IF(REST_rest_ele_kWh="---",0,REST_rest_ele_kWh)/1000</f>
        <v>180.041</v>
      </c>
      <c r="D25" s="1017"/>
      <c r="E25" s="1017">
        <f>IF(onbekend_gas_kWh="---",0,onbekend_gas_kWh)/1000+IF(REST_rest_gas_kWh="---",0,REST_rest_gas_kWh)/1000</f>
        <v>372.38499999999999</v>
      </c>
      <c r="F25" s="1017"/>
      <c r="G25" s="1017"/>
      <c r="H25" s="1017"/>
      <c r="I25" s="1017"/>
      <c r="J25" s="1017"/>
      <c r="K25" s="1017"/>
      <c r="L25" s="1017"/>
      <c r="M25" s="1017"/>
      <c r="N25" s="1017"/>
      <c r="O25" s="1017"/>
      <c r="P25" s="1017"/>
      <c r="Q25" s="1018"/>
      <c r="R25" s="700">
        <f>SUM(C25:Q25)</f>
        <v>552.42599999999993</v>
      </c>
      <c r="S25" s="67"/>
    </row>
    <row r="26" spans="1:19" s="473" customFormat="1" ht="15.75" thickBot="1">
      <c r="A26" s="705" t="s">
        <v>837</v>
      </c>
      <c r="B26" s="817"/>
      <c r="C26" s="812">
        <f>SUM(C24:C25)</f>
        <v>1962.6202269999999</v>
      </c>
      <c r="D26" s="812">
        <f t="shared" ref="D26:R26" si="2">SUM(D24:D25)</f>
        <v>0</v>
      </c>
      <c r="E26" s="812">
        <f t="shared" si="2"/>
        <v>3236.6664653859998</v>
      </c>
      <c r="F26" s="812">
        <f t="shared" si="2"/>
        <v>52.395448106916092</v>
      </c>
      <c r="G26" s="812">
        <f t="shared" si="2"/>
        <v>7426.1287341564757</v>
      </c>
      <c r="H26" s="812">
        <f t="shared" si="2"/>
        <v>0</v>
      </c>
      <c r="I26" s="812">
        <f t="shared" si="2"/>
        <v>0</v>
      </c>
      <c r="J26" s="812">
        <f t="shared" si="2"/>
        <v>0</v>
      </c>
      <c r="K26" s="812">
        <f t="shared" si="2"/>
        <v>258.25744866519818</v>
      </c>
      <c r="L26" s="812">
        <f t="shared" si="2"/>
        <v>0</v>
      </c>
      <c r="M26" s="812">
        <f t="shared" si="2"/>
        <v>0</v>
      </c>
      <c r="N26" s="812">
        <f t="shared" si="2"/>
        <v>0</v>
      </c>
      <c r="O26" s="812">
        <f t="shared" si="2"/>
        <v>0</v>
      </c>
      <c r="P26" s="812">
        <f t="shared" si="2"/>
        <v>0</v>
      </c>
      <c r="Q26" s="812">
        <f t="shared" si="2"/>
        <v>0</v>
      </c>
      <c r="R26" s="812">
        <f t="shared" si="2"/>
        <v>12936.068323314588</v>
      </c>
      <c r="S26" s="67"/>
    </row>
    <row r="27" spans="1:19" s="473" customFormat="1" ht="17.25" thickTop="1" thickBot="1">
      <c r="A27" s="706" t="s">
        <v>116</v>
      </c>
      <c r="B27" s="805"/>
      <c r="C27" s="707">
        <f ca="1">C22+C16+C26</f>
        <v>64625.236449033648</v>
      </c>
      <c r="D27" s="707">
        <f t="shared" ref="D27:R27" ca="1" si="3">D22+D16+D26</f>
        <v>0</v>
      </c>
      <c r="E27" s="707">
        <f t="shared" ca="1" si="3"/>
        <v>31945.898265654043</v>
      </c>
      <c r="F27" s="707">
        <f t="shared" si="3"/>
        <v>14206.899388399874</v>
      </c>
      <c r="G27" s="707">
        <f t="shared" ca="1" si="3"/>
        <v>71568.335345975909</v>
      </c>
      <c r="H27" s="707">
        <f t="shared" si="3"/>
        <v>22340.644606584079</v>
      </c>
      <c r="I27" s="707">
        <f t="shared" si="3"/>
        <v>5460.6582050067627</v>
      </c>
      <c r="J27" s="707">
        <f t="shared" si="3"/>
        <v>0</v>
      </c>
      <c r="K27" s="707">
        <f t="shared" si="3"/>
        <v>392.51179672641251</v>
      </c>
      <c r="L27" s="707">
        <f t="shared" si="3"/>
        <v>0</v>
      </c>
      <c r="M27" s="707">
        <f t="shared" ca="1" si="3"/>
        <v>0</v>
      </c>
      <c r="N27" s="707">
        <f t="shared" si="3"/>
        <v>1465.6948388154028</v>
      </c>
      <c r="O27" s="707">
        <f t="shared" ca="1" si="3"/>
        <v>33374.120941572932</v>
      </c>
      <c r="P27" s="707">
        <f t="shared" si="3"/>
        <v>161.02333333333334</v>
      </c>
      <c r="Q27" s="707">
        <f t="shared" si="3"/>
        <v>591.06666666666672</v>
      </c>
      <c r="R27" s="707">
        <f t="shared" ca="1" si="3"/>
        <v>246132.08983776908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1119.4848726026148</v>
      </c>
      <c r="D40" s="1013">
        <f ca="1">tertiair!C20</f>
        <v>0</v>
      </c>
      <c r="E40" s="1013">
        <f ca="1">tertiair!D20</f>
        <v>829.15093261440018</v>
      </c>
      <c r="F40" s="1013">
        <f>tertiair!E20</f>
        <v>15.22085370910075</v>
      </c>
      <c r="G40" s="1013">
        <f ca="1">tertiair!F20</f>
        <v>241.70313748798944</v>
      </c>
      <c r="H40" s="1013">
        <f>tertiair!G20</f>
        <v>0</v>
      </c>
      <c r="I40" s="1013">
        <f>tertiair!H20</f>
        <v>0</v>
      </c>
      <c r="J40" s="1013">
        <f>tertiair!I20</f>
        <v>0</v>
      </c>
      <c r="K40" s="1013">
        <f>tertiair!J20</f>
        <v>7.6545381886878724E-3</v>
      </c>
      <c r="L40" s="1013">
        <f>tertiair!K20</f>
        <v>0</v>
      </c>
      <c r="M40" s="1013">
        <f ca="1">tertiair!L20</f>
        <v>0</v>
      </c>
      <c r="N40" s="1013">
        <f>tertiair!M20</f>
        <v>0</v>
      </c>
      <c r="O40" s="1013">
        <f ca="1">tertiair!N20</f>
        <v>0</v>
      </c>
      <c r="P40" s="1013">
        <f>tertiair!O20</f>
        <v>0</v>
      </c>
      <c r="Q40" s="774">
        <f>tertiair!P20</f>
        <v>0</v>
      </c>
      <c r="R40" s="850">
        <f t="shared" ca="1" si="4"/>
        <v>2205.5674509522937</v>
      </c>
    </row>
    <row r="41" spans="1:18">
      <c r="A41" s="822" t="s">
        <v>225</v>
      </c>
      <c r="B41" s="829"/>
      <c r="C41" s="1013">
        <f ca="1">huishoudens!B12</f>
        <v>2690.8743413847942</v>
      </c>
      <c r="D41" s="1013">
        <f ca="1">huishoudens!C12</f>
        <v>0</v>
      </c>
      <c r="E41" s="1013">
        <f>huishoudens!D12</f>
        <v>3399.9535059798004</v>
      </c>
      <c r="F41" s="1013">
        <f>huishoudens!E12</f>
        <v>437.26785816458397</v>
      </c>
      <c r="G41" s="1013">
        <f>huishoudens!F12</f>
        <v>7978.0295379104246</v>
      </c>
      <c r="H41" s="1013">
        <f>huishoudens!G12</f>
        <v>0</v>
      </c>
      <c r="I41" s="1013">
        <f>huishoudens!H12</f>
        <v>0</v>
      </c>
      <c r="J41" s="1013">
        <f>huishoudens!I12</f>
        <v>0</v>
      </c>
      <c r="K41" s="1013">
        <f>huishoudens!J12</f>
        <v>47.432191836737928</v>
      </c>
      <c r="L41" s="1013">
        <f>huishoudens!K12</f>
        <v>0</v>
      </c>
      <c r="M41" s="1013">
        <f>huishoudens!L12</f>
        <v>0</v>
      </c>
      <c r="N41" s="1013">
        <f>huishoudens!M12</f>
        <v>0</v>
      </c>
      <c r="O41" s="1013">
        <f>huishoudens!N12</f>
        <v>0</v>
      </c>
      <c r="P41" s="1013">
        <f>huishoudens!O12</f>
        <v>0</v>
      </c>
      <c r="Q41" s="774">
        <f>huishoudens!P12</f>
        <v>0</v>
      </c>
      <c r="R41" s="850">
        <f t="shared" ca="1" si="4"/>
        <v>14553.557435276343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9046.8501915967518</v>
      </c>
      <c r="D43" s="1013">
        <f ca="1">industrie!C22</f>
        <v>0</v>
      </c>
      <c r="E43" s="1013">
        <f>industrie!D22</f>
        <v>1560.3739307216283</v>
      </c>
      <c r="F43" s="1013">
        <f>industrie!E22</f>
        <v>2745.9263837973731</v>
      </c>
      <c r="G43" s="1013">
        <f>industrie!F22</f>
        <v>8906.2364899573768</v>
      </c>
      <c r="H43" s="1013">
        <f>industrie!G22</f>
        <v>0</v>
      </c>
      <c r="I43" s="1013">
        <f>industrie!H22</f>
        <v>0</v>
      </c>
      <c r="J43" s="1013">
        <f>industrie!I22</f>
        <v>0</v>
      </c>
      <c r="K43" s="1013">
        <f>industrie!J22</f>
        <v>8.6192838743248262E-2</v>
      </c>
      <c r="L43" s="1013">
        <f>industrie!K22</f>
        <v>0</v>
      </c>
      <c r="M43" s="1013">
        <f>industrie!L22</f>
        <v>0</v>
      </c>
      <c r="N43" s="1013">
        <f>industrie!M22</f>
        <v>0</v>
      </c>
      <c r="O43" s="1013">
        <f>industrie!N22</f>
        <v>0</v>
      </c>
      <c r="P43" s="1013">
        <f>industrie!O22</f>
        <v>0</v>
      </c>
      <c r="Q43" s="774">
        <f>industrie!P22</f>
        <v>0</v>
      </c>
      <c r="R43" s="849">
        <f t="shared" ca="1" si="4"/>
        <v>22259.473188911874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12857.209405584161</v>
      </c>
      <c r="D46" s="732">
        <f t="shared" ref="D46:Q46" ca="1" si="5">SUM(D39:D45)</f>
        <v>0</v>
      </c>
      <c r="E46" s="732">
        <f t="shared" ca="1" si="5"/>
        <v>5789.4783693158288</v>
      </c>
      <c r="F46" s="732">
        <f t="shared" si="5"/>
        <v>3198.4150956710578</v>
      </c>
      <c r="G46" s="732">
        <f t="shared" ca="1" si="5"/>
        <v>17125.969165355789</v>
      </c>
      <c r="H46" s="732">
        <f t="shared" si="5"/>
        <v>0</v>
      </c>
      <c r="I46" s="732">
        <f t="shared" si="5"/>
        <v>0</v>
      </c>
      <c r="J46" s="732">
        <f t="shared" si="5"/>
        <v>0</v>
      </c>
      <c r="K46" s="732">
        <f t="shared" si="5"/>
        <v>47.526039213669868</v>
      </c>
      <c r="L46" s="732">
        <f t="shared" si="5"/>
        <v>0</v>
      </c>
      <c r="M46" s="732">
        <f t="shared" ca="1" si="5"/>
        <v>0</v>
      </c>
      <c r="N46" s="732">
        <f t="shared" si="5"/>
        <v>0</v>
      </c>
      <c r="O46" s="732">
        <f t="shared" ca="1" si="5"/>
        <v>0</v>
      </c>
      <c r="P46" s="732">
        <f t="shared" si="5"/>
        <v>0</v>
      </c>
      <c r="Q46" s="732">
        <f t="shared" si="5"/>
        <v>0</v>
      </c>
      <c r="R46" s="732">
        <f ca="1">SUM(R39:R45)</f>
        <v>39018.598075140515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106.60227968044106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106.60227968044106</v>
      </c>
    </row>
    <row r="50" spans="1:18">
      <c r="A50" s="825" t="s">
        <v>307</v>
      </c>
      <c r="B50" s="835"/>
      <c r="C50" s="703">
        <f ca="1">transport!B18</f>
        <v>2.8352630445242855</v>
      </c>
      <c r="D50" s="703">
        <f>transport!C18</f>
        <v>0</v>
      </c>
      <c r="E50" s="703">
        <f>transport!D18</f>
        <v>9.7864543383166129</v>
      </c>
      <c r="F50" s="703">
        <f>transport!E18</f>
        <v>14.657298775443774</v>
      </c>
      <c r="G50" s="703">
        <f>transport!F18</f>
        <v>0</v>
      </c>
      <c r="H50" s="703">
        <f>transport!G18</f>
        <v>5858.3498302775088</v>
      </c>
      <c r="I50" s="703">
        <f>transport!H18</f>
        <v>1359.703893046684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7245.3327394824773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2.8352630445242855</v>
      </c>
      <c r="D52" s="732">
        <f t="shared" ref="D52:Q52" ca="1" si="6">SUM(D48:D51)</f>
        <v>0</v>
      </c>
      <c r="E52" s="732">
        <f t="shared" si="6"/>
        <v>9.7864543383166129</v>
      </c>
      <c r="F52" s="732">
        <f t="shared" si="6"/>
        <v>14.657298775443774</v>
      </c>
      <c r="G52" s="732">
        <f t="shared" si="6"/>
        <v>0</v>
      </c>
      <c r="H52" s="732">
        <f t="shared" si="6"/>
        <v>5964.9521099579497</v>
      </c>
      <c r="I52" s="732">
        <f t="shared" si="6"/>
        <v>1359.703893046684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7351.9350191629183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365.83292985026941</v>
      </c>
      <c r="D54" s="703">
        <f ca="1">+landbouw!C12</f>
        <v>0</v>
      </c>
      <c r="E54" s="703">
        <f>+landbouw!D12</f>
        <v>578.58485600797201</v>
      </c>
      <c r="F54" s="703">
        <f>+landbouw!E12</f>
        <v>11.893766720269953</v>
      </c>
      <c r="G54" s="703">
        <f>+landbouw!F12</f>
        <v>1982.776372019779</v>
      </c>
      <c r="H54" s="703">
        <f>+landbouw!G12</f>
        <v>0</v>
      </c>
      <c r="I54" s="703">
        <f>+landbouw!H12</f>
        <v>0</v>
      </c>
      <c r="J54" s="703">
        <f>+landbouw!I12</f>
        <v>0</v>
      </c>
      <c r="K54" s="703">
        <f>+landbouw!J12</f>
        <v>91.42313682748015</v>
      </c>
      <c r="L54" s="703">
        <f>+landbouw!K12</f>
        <v>0</v>
      </c>
      <c r="M54" s="703">
        <f>+landbouw!L12</f>
        <v>0</v>
      </c>
      <c r="N54" s="703">
        <f>+landbouw!M12</f>
        <v>0</v>
      </c>
      <c r="O54" s="703">
        <f>+landbouw!N12</f>
        <v>0</v>
      </c>
      <c r="P54" s="703">
        <f>+landbouw!O12</f>
        <v>0</v>
      </c>
      <c r="Q54" s="704">
        <f>+landbouw!P12</f>
        <v>0</v>
      </c>
      <c r="R54" s="731">
        <f ca="1">SUM(C54:Q54)</f>
        <v>3030.5110614257705</v>
      </c>
    </row>
    <row r="55" spans="1:18" ht="15" thickBot="1">
      <c r="A55" s="825" t="s">
        <v>836</v>
      </c>
      <c r="B55" s="835"/>
      <c r="C55" s="703">
        <f ca="1">C25*'EF ele_warmte'!B12</f>
        <v>36.949228132777044</v>
      </c>
      <c r="D55" s="703"/>
      <c r="E55" s="703">
        <f>E25*EF_CO2_aardgas</f>
        <v>75.221770000000006</v>
      </c>
      <c r="F55" s="703"/>
      <c r="G55" s="703"/>
      <c r="H55" s="703"/>
      <c r="I55" s="703"/>
      <c r="J55" s="703"/>
      <c r="K55" s="703"/>
      <c r="L55" s="703"/>
      <c r="M55" s="703"/>
      <c r="N55" s="703"/>
      <c r="O55" s="703"/>
      <c r="P55" s="703"/>
      <c r="Q55" s="704"/>
      <c r="R55" s="731">
        <f ca="1">SUM(C55:Q55)</f>
        <v>112.17099813277704</v>
      </c>
    </row>
    <row r="56" spans="1:18" ht="15.75" thickBot="1">
      <c r="A56" s="823" t="s">
        <v>837</v>
      </c>
      <c r="B56" s="836"/>
      <c r="C56" s="732">
        <f ca="1">SUM(C54:C55)</f>
        <v>402.78215798304643</v>
      </c>
      <c r="D56" s="732">
        <f t="shared" ref="D56:Q56" ca="1" si="7">SUM(D54:D55)</f>
        <v>0</v>
      </c>
      <c r="E56" s="732">
        <f t="shared" si="7"/>
        <v>653.806626007972</v>
      </c>
      <c r="F56" s="732">
        <f t="shared" si="7"/>
        <v>11.893766720269953</v>
      </c>
      <c r="G56" s="732">
        <f t="shared" si="7"/>
        <v>1982.776372019779</v>
      </c>
      <c r="H56" s="732">
        <f t="shared" si="7"/>
        <v>0</v>
      </c>
      <c r="I56" s="732">
        <f t="shared" si="7"/>
        <v>0</v>
      </c>
      <c r="J56" s="732">
        <f t="shared" si="7"/>
        <v>0</v>
      </c>
      <c r="K56" s="732">
        <f t="shared" si="7"/>
        <v>91.42313682748015</v>
      </c>
      <c r="L56" s="732">
        <f t="shared" si="7"/>
        <v>0</v>
      </c>
      <c r="M56" s="732">
        <f t="shared" si="7"/>
        <v>0</v>
      </c>
      <c r="N56" s="732">
        <f t="shared" si="7"/>
        <v>0</v>
      </c>
      <c r="O56" s="732">
        <f t="shared" si="7"/>
        <v>0</v>
      </c>
      <c r="P56" s="732">
        <f t="shared" si="7"/>
        <v>0</v>
      </c>
      <c r="Q56" s="733">
        <f t="shared" si="7"/>
        <v>0</v>
      </c>
      <c r="R56" s="734">
        <f ca="1">SUM(R54:R55)</f>
        <v>3142.6820595585477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13262.826826611732</v>
      </c>
      <c r="D61" s="740">
        <f t="shared" ref="D61:Q61" ca="1" si="8">D46+D52+D56</f>
        <v>0</v>
      </c>
      <c r="E61" s="740">
        <f t="shared" ca="1" si="8"/>
        <v>6453.0714496621176</v>
      </c>
      <c r="F61" s="740">
        <f t="shared" si="8"/>
        <v>3224.9661611667716</v>
      </c>
      <c r="G61" s="740">
        <f t="shared" ca="1" si="8"/>
        <v>19108.745537375569</v>
      </c>
      <c r="H61" s="740">
        <f t="shared" si="8"/>
        <v>5964.9521099579497</v>
      </c>
      <c r="I61" s="740">
        <f t="shared" si="8"/>
        <v>1359.703893046684</v>
      </c>
      <c r="J61" s="740">
        <f t="shared" si="8"/>
        <v>0</v>
      </c>
      <c r="K61" s="740">
        <f t="shared" si="8"/>
        <v>138.94917604115003</v>
      </c>
      <c r="L61" s="740">
        <f t="shared" si="8"/>
        <v>0</v>
      </c>
      <c r="M61" s="740">
        <f t="shared" ca="1" si="8"/>
        <v>0</v>
      </c>
      <c r="N61" s="740">
        <f t="shared" si="8"/>
        <v>0</v>
      </c>
      <c r="O61" s="740">
        <f t="shared" ca="1" si="8"/>
        <v>0</v>
      </c>
      <c r="P61" s="740">
        <f t="shared" si="8"/>
        <v>0</v>
      </c>
      <c r="Q61" s="740">
        <f t="shared" si="8"/>
        <v>0</v>
      </c>
      <c r="R61" s="740">
        <f ca="1">R46+R52+R56</f>
        <v>49513.21515386198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0.20522674353495621</v>
      </c>
      <c r="D63" s="781">
        <f t="shared" ca="1" si="9"/>
        <v>0</v>
      </c>
      <c r="E63" s="1024">
        <f t="shared" ca="1" si="9"/>
        <v>0.20200000000000004</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4612.4453783923418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4612.4453783923418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13111.713878198621</v>
      </c>
      <c r="C4" s="477">
        <f>huishoudens!C8</f>
        <v>0</v>
      </c>
      <c r="D4" s="477">
        <f>huishoudens!D8</f>
        <v>16831.452999900001</v>
      </c>
      <c r="E4" s="477">
        <f>huishoudens!E8</f>
        <v>1926.2901240730571</v>
      </c>
      <c r="F4" s="477">
        <f>huishoudens!F8</f>
        <v>29880.260441612074</v>
      </c>
      <c r="G4" s="477">
        <f>huishoudens!G8</f>
        <v>0</v>
      </c>
      <c r="H4" s="477">
        <f>huishoudens!H8</f>
        <v>0</v>
      </c>
      <c r="I4" s="477">
        <f>huishoudens!I8</f>
        <v>0</v>
      </c>
      <c r="J4" s="477">
        <f>huishoudens!J8</f>
        <v>133.98924247666082</v>
      </c>
      <c r="K4" s="477">
        <f>huishoudens!K8</f>
        <v>0</v>
      </c>
      <c r="L4" s="477">
        <f>huishoudens!L8</f>
        <v>0</v>
      </c>
      <c r="M4" s="477">
        <f>huishoudens!M8</f>
        <v>0</v>
      </c>
      <c r="N4" s="477">
        <f>huishoudens!N8</f>
        <v>14223.499703974139</v>
      </c>
      <c r="O4" s="477">
        <f>huishoudens!O8</f>
        <v>161.02333333333334</v>
      </c>
      <c r="P4" s="478">
        <f>huishoudens!P8</f>
        <v>572</v>
      </c>
      <c r="Q4" s="479">
        <f>SUM(B4:P4)</f>
        <v>76840.229723567885</v>
      </c>
    </row>
    <row r="5" spans="1:17">
      <c r="A5" s="476" t="s">
        <v>156</v>
      </c>
      <c r="B5" s="477">
        <f ca="1">tertiair!B16</f>
        <v>4902.6073730000007</v>
      </c>
      <c r="C5" s="477">
        <f ca="1">tertiair!C16</f>
        <v>0</v>
      </c>
      <c r="D5" s="477">
        <f ca="1">tertiair!D16</f>
        <v>4104.7075872000005</v>
      </c>
      <c r="E5" s="477">
        <f>tertiair!E16</f>
        <v>67.05221898282268</v>
      </c>
      <c r="F5" s="477">
        <f ca="1">tertiair!F16</f>
        <v>905.25519658423002</v>
      </c>
      <c r="G5" s="477">
        <f>tertiair!G16</f>
        <v>0</v>
      </c>
      <c r="H5" s="477">
        <f>tertiair!H16</f>
        <v>0</v>
      </c>
      <c r="I5" s="477">
        <f>tertiair!I16</f>
        <v>0</v>
      </c>
      <c r="J5" s="477">
        <f>tertiair!J16</f>
        <v>2.1622989233581563E-2</v>
      </c>
      <c r="K5" s="477">
        <f>tertiair!K16</f>
        <v>0</v>
      </c>
      <c r="L5" s="477">
        <f ca="1">tertiair!L16</f>
        <v>0</v>
      </c>
      <c r="M5" s="477">
        <f>tertiair!M16</f>
        <v>0</v>
      </c>
      <c r="N5" s="477">
        <f ca="1">tertiair!N16</f>
        <v>854.55537251568137</v>
      </c>
      <c r="O5" s="477">
        <f>tertiair!O16</f>
        <v>0</v>
      </c>
      <c r="P5" s="478">
        <f>tertiair!P16</f>
        <v>19.066666666666666</v>
      </c>
      <c r="Q5" s="476">
        <f t="shared" ref="Q5:Q14" ca="1" si="0">SUM(B5:P5)</f>
        <v>10853.266037938636</v>
      </c>
    </row>
    <row r="6" spans="1:17">
      <c r="A6" s="476" t="s">
        <v>194</v>
      </c>
      <c r="B6" s="477">
        <f>'openbare verlichting'!B8</f>
        <v>552.26099999999997</v>
      </c>
      <c r="C6" s="477"/>
      <c r="D6" s="477"/>
      <c r="E6" s="477"/>
      <c r="F6" s="477"/>
      <c r="G6" s="477"/>
      <c r="H6" s="477"/>
      <c r="I6" s="477"/>
      <c r="J6" s="477"/>
      <c r="K6" s="477"/>
      <c r="L6" s="477"/>
      <c r="M6" s="477"/>
      <c r="N6" s="477"/>
      <c r="O6" s="477"/>
      <c r="P6" s="478"/>
      <c r="Q6" s="476">
        <f t="shared" si="0"/>
        <v>552.26099999999997</v>
      </c>
    </row>
    <row r="7" spans="1:17">
      <c r="A7" s="476" t="s">
        <v>112</v>
      </c>
      <c r="B7" s="477">
        <f>landbouw!B8</f>
        <v>1782.5792269999999</v>
      </c>
      <c r="C7" s="477">
        <f>landbouw!C8</f>
        <v>0</v>
      </c>
      <c r="D7" s="477">
        <f>landbouw!D8</f>
        <v>2864.281465386</v>
      </c>
      <c r="E7" s="477">
        <f>landbouw!E8</f>
        <v>52.395448106916092</v>
      </c>
      <c r="F7" s="477">
        <f>landbouw!F8</f>
        <v>7426.1287341564757</v>
      </c>
      <c r="G7" s="477">
        <f>landbouw!G8</f>
        <v>0</v>
      </c>
      <c r="H7" s="477">
        <f>landbouw!H8</f>
        <v>0</v>
      </c>
      <c r="I7" s="477">
        <f>landbouw!I8</f>
        <v>0</v>
      </c>
      <c r="J7" s="477">
        <f>landbouw!J8</f>
        <v>258.25744866519818</v>
      </c>
      <c r="K7" s="477">
        <f>landbouw!K8</f>
        <v>0</v>
      </c>
      <c r="L7" s="477">
        <f>landbouw!L8</f>
        <v>0</v>
      </c>
      <c r="M7" s="477">
        <f>landbouw!M8</f>
        <v>0</v>
      </c>
      <c r="N7" s="477">
        <f>landbouw!N8</f>
        <v>0</v>
      </c>
      <c r="O7" s="477">
        <f>landbouw!O8</f>
        <v>0</v>
      </c>
      <c r="P7" s="478">
        <f>landbouw!P8</f>
        <v>0</v>
      </c>
      <c r="Q7" s="476">
        <f t="shared" si="0"/>
        <v>12383.642323314589</v>
      </c>
    </row>
    <row r="8" spans="1:17">
      <c r="A8" s="476" t="s">
        <v>635</v>
      </c>
      <c r="B8" s="477">
        <f>industrie!B18</f>
        <v>44082.218700000012</v>
      </c>
      <c r="C8" s="477">
        <f>industrie!C18</f>
        <v>0</v>
      </c>
      <c r="D8" s="477">
        <f>industrie!D18</f>
        <v>7724.6234194140006</v>
      </c>
      <c r="E8" s="477">
        <f>industrie!E18</f>
        <v>12096.59199910737</v>
      </c>
      <c r="F8" s="477">
        <f>industrie!F18</f>
        <v>33356.690973623132</v>
      </c>
      <c r="G8" s="477">
        <f>industrie!G18</f>
        <v>0</v>
      </c>
      <c r="H8" s="477">
        <f>industrie!H18</f>
        <v>0</v>
      </c>
      <c r="I8" s="477">
        <f>industrie!I18</f>
        <v>0</v>
      </c>
      <c r="J8" s="477">
        <f>industrie!J18</f>
        <v>0.24348259531991037</v>
      </c>
      <c r="K8" s="477">
        <f>industrie!K18</f>
        <v>0</v>
      </c>
      <c r="L8" s="477">
        <f>industrie!L18</f>
        <v>0</v>
      </c>
      <c r="M8" s="477">
        <f>industrie!M18</f>
        <v>0</v>
      </c>
      <c r="N8" s="477">
        <f>industrie!N18</f>
        <v>18296.06586508311</v>
      </c>
      <c r="O8" s="477">
        <f>industrie!O18</f>
        <v>0</v>
      </c>
      <c r="P8" s="478">
        <f>industrie!P18</f>
        <v>0</v>
      </c>
      <c r="Q8" s="476">
        <f t="shared" si="0"/>
        <v>115556.43443982294</v>
      </c>
    </row>
    <row r="9" spans="1:17" s="482" customFormat="1">
      <c r="A9" s="480" t="s">
        <v>561</v>
      </c>
      <c r="B9" s="481">
        <f>transport!B14</f>
        <v>13.815270835018422</v>
      </c>
      <c r="C9" s="481">
        <f>transport!C14</f>
        <v>0</v>
      </c>
      <c r="D9" s="481">
        <f>transport!D14</f>
        <v>48.447793754042635</v>
      </c>
      <c r="E9" s="481">
        <f>transport!E14</f>
        <v>64.569598129708254</v>
      </c>
      <c r="F9" s="481">
        <f>transport!F14</f>
        <v>0</v>
      </c>
      <c r="G9" s="481">
        <f>transport!G14</f>
        <v>21941.385132125499</v>
      </c>
      <c r="H9" s="481">
        <f>transport!H14</f>
        <v>5460.6582050067627</v>
      </c>
      <c r="I9" s="481">
        <f>transport!I14</f>
        <v>0</v>
      </c>
      <c r="J9" s="481">
        <f>transport!J14</f>
        <v>0</v>
      </c>
      <c r="K9" s="481">
        <f>transport!K14</f>
        <v>0</v>
      </c>
      <c r="L9" s="481">
        <f>transport!L14</f>
        <v>0</v>
      </c>
      <c r="M9" s="481">
        <f>transport!M14</f>
        <v>1443.0186632276027</v>
      </c>
      <c r="N9" s="481">
        <f>transport!N14</f>
        <v>0</v>
      </c>
      <c r="O9" s="481">
        <f>transport!O14</f>
        <v>0</v>
      </c>
      <c r="P9" s="481">
        <f>transport!P14</f>
        <v>0</v>
      </c>
      <c r="Q9" s="480">
        <f>SUM(B9:P9)</f>
        <v>28971.894663078634</v>
      </c>
    </row>
    <row r="10" spans="1:17">
      <c r="A10" s="476" t="s">
        <v>551</v>
      </c>
      <c r="B10" s="477">
        <f>transport!B54</f>
        <v>0</v>
      </c>
      <c r="C10" s="477">
        <f>transport!C54</f>
        <v>0</v>
      </c>
      <c r="D10" s="477">
        <f>transport!D54</f>
        <v>0</v>
      </c>
      <c r="E10" s="477">
        <f>transport!E54</f>
        <v>0</v>
      </c>
      <c r="F10" s="477">
        <f>transport!F54</f>
        <v>0</v>
      </c>
      <c r="G10" s="477">
        <f>transport!G54</f>
        <v>399.25947445858071</v>
      </c>
      <c r="H10" s="477">
        <f>transport!H54</f>
        <v>0</v>
      </c>
      <c r="I10" s="477">
        <f>transport!I54</f>
        <v>0</v>
      </c>
      <c r="J10" s="477">
        <f>transport!J54</f>
        <v>0</v>
      </c>
      <c r="K10" s="477">
        <f>transport!K54</f>
        <v>0</v>
      </c>
      <c r="L10" s="477">
        <f>transport!L54</f>
        <v>0</v>
      </c>
      <c r="M10" s="477">
        <f>transport!M54</f>
        <v>22.676175587800127</v>
      </c>
      <c r="N10" s="477">
        <f>transport!N54</f>
        <v>0</v>
      </c>
      <c r="O10" s="477">
        <f>transport!O54</f>
        <v>0</v>
      </c>
      <c r="P10" s="478">
        <f>transport!P54</f>
        <v>0</v>
      </c>
      <c r="Q10" s="476">
        <f t="shared" si="0"/>
        <v>421.93565004638083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180.041</v>
      </c>
      <c r="C14" s="484"/>
      <c r="D14" s="484">
        <f>'SEAP template'!E25</f>
        <v>372.38499999999999</v>
      </c>
      <c r="E14" s="484"/>
      <c r="F14" s="484"/>
      <c r="G14" s="484"/>
      <c r="H14" s="484"/>
      <c r="I14" s="484"/>
      <c r="J14" s="484"/>
      <c r="K14" s="484"/>
      <c r="L14" s="484"/>
      <c r="M14" s="484"/>
      <c r="N14" s="484"/>
      <c r="O14" s="484"/>
      <c r="P14" s="485"/>
      <c r="Q14" s="476">
        <f t="shared" si="0"/>
        <v>552.42599999999993</v>
      </c>
    </row>
    <row r="15" spans="1:17" s="486" customFormat="1">
      <c r="A15" s="1039" t="s">
        <v>555</v>
      </c>
      <c r="B15" s="987">
        <f ca="1">SUM(B4:B14)</f>
        <v>64625.23644903364</v>
      </c>
      <c r="C15" s="987">
        <f t="shared" ref="C15:Q15" ca="1" si="1">SUM(C4:C14)</f>
        <v>0</v>
      </c>
      <c r="D15" s="987">
        <f t="shared" ca="1" si="1"/>
        <v>31945.898265654043</v>
      </c>
      <c r="E15" s="987">
        <f t="shared" si="1"/>
        <v>14206.899388399874</v>
      </c>
      <c r="F15" s="987">
        <f t="shared" ca="1" si="1"/>
        <v>71568.335345975909</v>
      </c>
      <c r="G15" s="987">
        <f t="shared" si="1"/>
        <v>22340.644606584079</v>
      </c>
      <c r="H15" s="987">
        <f t="shared" si="1"/>
        <v>5460.6582050067627</v>
      </c>
      <c r="I15" s="987">
        <f t="shared" si="1"/>
        <v>0</v>
      </c>
      <c r="J15" s="987">
        <f t="shared" si="1"/>
        <v>392.51179672641246</v>
      </c>
      <c r="K15" s="987">
        <f t="shared" si="1"/>
        <v>0</v>
      </c>
      <c r="L15" s="987">
        <f t="shared" ca="1" si="1"/>
        <v>0</v>
      </c>
      <c r="M15" s="987">
        <f t="shared" si="1"/>
        <v>1465.6948388154028</v>
      </c>
      <c r="N15" s="987">
        <f t="shared" ca="1" si="1"/>
        <v>33374.120941572932</v>
      </c>
      <c r="O15" s="987">
        <f t="shared" si="1"/>
        <v>161.02333333333334</v>
      </c>
      <c r="P15" s="987">
        <f t="shared" si="1"/>
        <v>591.06666666666672</v>
      </c>
      <c r="Q15" s="987">
        <f t="shared" ca="1" si="1"/>
        <v>246132.08983776908</v>
      </c>
    </row>
    <row r="17" spans="1:17">
      <c r="A17" s="487" t="s">
        <v>556</v>
      </c>
      <c r="B17" s="786">
        <f ca="1">huishoudens!B10</f>
        <v>0.20522674353495618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2690.8743413847942</v>
      </c>
      <c r="C22" s="477">
        <f t="shared" ref="C22:C32" ca="1" si="3">C4*$C$17</f>
        <v>0</v>
      </c>
      <c r="D22" s="477">
        <f t="shared" ref="D22:D32" si="4">D4*$D$17</f>
        <v>3399.9535059798004</v>
      </c>
      <c r="E22" s="477">
        <f t="shared" ref="E22:E32" si="5">E4*$E$17</f>
        <v>437.26785816458397</v>
      </c>
      <c r="F22" s="477">
        <f t="shared" ref="F22:F32" si="6">F4*$F$17</f>
        <v>7978.0295379104246</v>
      </c>
      <c r="G22" s="477">
        <f t="shared" ref="G22:G32" si="7">G4*$G$17</f>
        <v>0</v>
      </c>
      <c r="H22" s="477">
        <f t="shared" ref="H22:H32" si="8">H4*$H$17</f>
        <v>0</v>
      </c>
      <c r="I22" s="477">
        <f t="shared" ref="I22:I32" si="9">I4*$I$17</f>
        <v>0</v>
      </c>
      <c r="J22" s="477">
        <f t="shared" ref="J22:J32" si="10">J4*$J$17</f>
        <v>47.432191836737928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14553.557435276343</v>
      </c>
    </row>
    <row r="23" spans="1:17">
      <c r="A23" s="476" t="s">
        <v>156</v>
      </c>
      <c r="B23" s="477">
        <f t="shared" ca="1" si="2"/>
        <v>1006.1461459912564</v>
      </c>
      <c r="C23" s="477">
        <f t="shared" ca="1" si="3"/>
        <v>0</v>
      </c>
      <c r="D23" s="477">
        <f t="shared" ca="1" si="4"/>
        <v>829.15093261440018</v>
      </c>
      <c r="E23" s="477">
        <f t="shared" si="5"/>
        <v>15.22085370910075</v>
      </c>
      <c r="F23" s="477">
        <f t="shared" ca="1" si="6"/>
        <v>241.70313748798944</v>
      </c>
      <c r="G23" s="477">
        <f t="shared" si="7"/>
        <v>0</v>
      </c>
      <c r="H23" s="477">
        <f t="shared" si="8"/>
        <v>0</v>
      </c>
      <c r="I23" s="477">
        <f t="shared" si="9"/>
        <v>0</v>
      </c>
      <c r="J23" s="477">
        <f t="shared" si="10"/>
        <v>7.6545381886878724E-3</v>
      </c>
      <c r="K23" s="477">
        <f t="shared" si="11"/>
        <v>0</v>
      </c>
      <c r="L23" s="477">
        <f t="shared" ca="1" si="12"/>
        <v>0</v>
      </c>
      <c r="M23" s="477">
        <f t="shared" si="13"/>
        <v>0</v>
      </c>
      <c r="N23" s="477">
        <f t="shared" ca="1" si="14"/>
        <v>0</v>
      </c>
      <c r="O23" s="477">
        <f t="shared" si="15"/>
        <v>0</v>
      </c>
      <c r="P23" s="478">
        <f t="shared" si="16"/>
        <v>0</v>
      </c>
      <c r="Q23" s="476">
        <f t="shared" ref="Q23:Q32" ca="1" si="17">SUM(B23:P23)</f>
        <v>2092.2287243409355</v>
      </c>
    </row>
    <row r="24" spans="1:17">
      <c r="A24" s="476" t="s">
        <v>194</v>
      </c>
      <c r="B24" s="477">
        <f t="shared" ca="1" si="2"/>
        <v>113.33872661135842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113.33872661135842</v>
      </c>
    </row>
    <row r="25" spans="1:17">
      <c r="A25" s="476" t="s">
        <v>112</v>
      </c>
      <c r="B25" s="477">
        <f t="shared" ca="1" si="2"/>
        <v>365.83292985026941</v>
      </c>
      <c r="C25" s="477">
        <f t="shared" ca="1" si="3"/>
        <v>0</v>
      </c>
      <c r="D25" s="477">
        <f t="shared" si="4"/>
        <v>578.58485600797201</v>
      </c>
      <c r="E25" s="477">
        <f t="shared" si="5"/>
        <v>11.893766720269953</v>
      </c>
      <c r="F25" s="477">
        <f t="shared" si="6"/>
        <v>1982.776372019779</v>
      </c>
      <c r="G25" s="477">
        <f t="shared" si="7"/>
        <v>0</v>
      </c>
      <c r="H25" s="477">
        <f t="shared" si="8"/>
        <v>0</v>
      </c>
      <c r="I25" s="477">
        <f t="shared" si="9"/>
        <v>0</v>
      </c>
      <c r="J25" s="477">
        <f t="shared" si="10"/>
        <v>91.42313682748015</v>
      </c>
      <c r="K25" s="477">
        <f t="shared" si="11"/>
        <v>0</v>
      </c>
      <c r="L25" s="477">
        <f t="shared" si="12"/>
        <v>0</v>
      </c>
      <c r="M25" s="477">
        <f t="shared" si="13"/>
        <v>0</v>
      </c>
      <c r="N25" s="477">
        <f t="shared" si="14"/>
        <v>0</v>
      </c>
      <c r="O25" s="477">
        <f t="shared" si="15"/>
        <v>0</v>
      </c>
      <c r="P25" s="478">
        <f t="shared" si="16"/>
        <v>0</v>
      </c>
      <c r="Q25" s="476">
        <f t="shared" ca="1" si="17"/>
        <v>3030.5110614257705</v>
      </c>
    </row>
    <row r="26" spans="1:17">
      <c r="A26" s="476" t="s">
        <v>635</v>
      </c>
      <c r="B26" s="477">
        <f t="shared" ca="1" si="2"/>
        <v>9046.8501915967518</v>
      </c>
      <c r="C26" s="477">
        <f t="shared" ca="1" si="3"/>
        <v>0</v>
      </c>
      <c r="D26" s="477">
        <f t="shared" si="4"/>
        <v>1560.3739307216283</v>
      </c>
      <c r="E26" s="477">
        <f t="shared" si="5"/>
        <v>2745.9263837973731</v>
      </c>
      <c r="F26" s="477">
        <f t="shared" si="6"/>
        <v>8906.2364899573768</v>
      </c>
      <c r="G26" s="477">
        <f t="shared" si="7"/>
        <v>0</v>
      </c>
      <c r="H26" s="477">
        <f t="shared" si="8"/>
        <v>0</v>
      </c>
      <c r="I26" s="477">
        <f t="shared" si="9"/>
        <v>0</v>
      </c>
      <c r="J26" s="477">
        <f t="shared" si="10"/>
        <v>8.6192838743248262E-2</v>
      </c>
      <c r="K26" s="477">
        <f t="shared" si="11"/>
        <v>0</v>
      </c>
      <c r="L26" s="477">
        <f t="shared" si="12"/>
        <v>0</v>
      </c>
      <c r="M26" s="477">
        <f t="shared" si="13"/>
        <v>0</v>
      </c>
      <c r="N26" s="477">
        <f t="shared" si="14"/>
        <v>0</v>
      </c>
      <c r="O26" s="477">
        <f t="shared" si="15"/>
        <v>0</v>
      </c>
      <c r="P26" s="478">
        <f t="shared" si="16"/>
        <v>0</v>
      </c>
      <c r="Q26" s="476">
        <f t="shared" ca="1" si="17"/>
        <v>22259.473188911874</v>
      </c>
    </row>
    <row r="27" spans="1:17" s="482" customFormat="1">
      <c r="A27" s="480" t="s">
        <v>561</v>
      </c>
      <c r="B27" s="780">
        <f t="shared" ca="1" si="2"/>
        <v>2.8352630445242855</v>
      </c>
      <c r="C27" s="481">
        <f t="shared" ca="1" si="3"/>
        <v>0</v>
      </c>
      <c r="D27" s="481">
        <f t="shared" si="4"/>
        <v>9.7864543383166129</v>
      </c>
      <c r="E27" s="481">
        <f t="shared" si="5"/>
        <v>14.657298775443774</v>
      </c>
      <c r="F27" s="481">
        <f t="shared" si="6"/>
        <v>0</v>
      </c>
      <c r="G27" s="481">
        <f t="shared" si="7"/>
        <v>5858.3498302775088</v>
      </c>
      <c r="H27" s="481">
        <f t="shared" si="8"/>
        <v>1359.703893046684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7245.3327394824773</v>
      </c>
    </row>
    <row r="28" spans="1:17">
      <c r="A28" s="476" t="s">
        <v>551</v>
      </c>
      <c r="B28" s="477">
        <f t="shared" ca="1" si="2"/>
        <v>0</v>
      </c>
      <c r="C28" s="477">
        <f t="shared" ca="1" si="3"/>
        <v>0</v>
      </c>
      <c r="D28" s="477">
        <f t="shared" si="4"/>
        <v>0</v>
      </c>
      <c r="E28" s="477">
        <f t="shared" si="5"/>
        <v>0</v>
      </c>
      <c r="F28" s="477">
        <f t="shared" si="6"/>
        <v>0</v>
      </c>
      <c r="G28" s="477">
        <f t="shared" si="7"/>
        <v>106.60227968044106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106.60227968044106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36.949228132777044</v>
      </c>
      <c r="C32" s="477">
        <f t="shared" ca="1" si="3"/>
        <v>0</v>
      </c>
      <c r="D32" s="477">
        <f t="shared" si="4"/>
        <v>75.221770000000006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112.17099813277704</v>
      </c>
    </row>
    <row r="33" spans="1:17" s="486" customFormat="1">
      <c r="A33" s="1039" t="s">
        <v>555</v>
      </c>
      <c r="B33" s="987">
        <f ca="1">SUM(B22:B32)</f>
        <v>13262.826826611732</v>
      </c>
      <c r="C33" s="987">
        <f t="shared" ref="C33:Q33" ca="1" si="18">SUM(C22:C32)</f>
        <v>0</v>
      </c>
      <c r="D33" s="987">
        <f t="shared" ca="1" si="18"/>
        <v>6453.0714496621176</v>
      </c>
      <c r="E33" s="987">
        <f t="shared" si="18"/>
        <v>3224.9661611667716</v>
      </c>
      <c r="F33" s="987">
        <f t="shared" ca="1" si="18"/>
        <v>19108.745537375569</v>
      </c>
      <c r="G33" s="987">
        <f t="shared" si="18"/>
        <v>5964.9521099579497</v>
      </c>
      <c r="H33" s="987">
        <f t="shared" si="18"/>
        <v>1359.703893046684</v>
      </c>
      <c r="I33" s="987">
        <f t="shared" si="18"/>
        <v>0</v>
      </c>
      <c r="J33" s="987">
        <f t="shared" si="18"/>
        <v>138.94917604115003</v>
      </c>
      <c r="K33" s="987">
        <f t="shared" si="18"/>
        <v>0</v>
      </c>
      <c r="L33" s="987">
        <f t="shared" ca="1" si="18"/>
        <v>0</v>
      </c>
      <c r="M33" s="987">
        <f t="shared" si="18"/>
        <v>0</v>
      </c>
      <c r="N33" s="987">
        <f t="shared" ca="1" si="18"/>
        <v>0</v>
      </c>
      <c r="O33" s="987">
        <f t="shared" si="18"/>
        <v>0</v>
      </c>
      <c r="P33" s="987">
        <f t="shared" si="18"/>
        <v>0</v>
      </c>
      <c r="Q33" s="987">
        <f t="shared" ca="1" si="18"/>
        <v>49513.21515386198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4612.4453783923418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4612.4453783923418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0.20522674353495618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0.20522674353495618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0.20522674353495618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0.20522674353495618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3058</v>
      </c>
      <c r="C9" s="342">
        <v>3292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1541.46</v>
      </c>
    </row>
    <row r="15" spans="1:6">
      <c r="A15" s="348" t="s">
        <v>184</v>
      </c>
      <c r="B15" s="334">
        <v>6</v>
      </c>
    </row>
    <row r="16" spans="1:6">
      <c r="A16" s="348" t="s">
        <v>6</v>
      </c>
      <c r="B16" s="334">
        <v>265</v>
      </c>
    </row>
    <row r="17" spans="1:6">
      <c r="A17" s="348" t="s">
        <v>7</v>
      </c>
      <c r="B17" s="334">
        <v>100</v>
      </c>
    </row>
    <row r="18" spans="1:6">
      <c r="A18" s="348" t="s">
        <v>8</v>
      </c>
      <c r="B18" s="334">
        <v>197</v>
      </c>
    </row>
    <row r="19" spans="1:6">
      <c r="A19" s="348" t="s">
        <v>9</v>
      </c>
      <c r="B19" s="334">
        <v>155</v>
      </c>
    </row>
    <row r="20" spans="1:6">
      <c r="A20" s="348" t="s">
        <v>10</v>
      </c>
      <c r="B20" s="334">
        <v>133</v>
      </c>
    </row>
    <row r="21" spans="1:6">
      <c r="A21" s="348" t="s">
        <v>11</v>
      </c>
      <c r="B21" s="334">
        <v>547</v>
      </c>
    </row>
    <row r="22" spans="1:6">
      <c r="A22" s="348" t="s">
        <v>12</v>
      </c>
      <c r="B22" s="334">
        <v>1687</v>
      </c>
    </row>
    <row r="23" spans="1:6">
      <c r="A23" s="348" t="s">
        <v>13</v>
      </c>
      <c r="B23" s="334">
        <v>17</v>
      </c>
    </row>
    <row r="24" spans="1:6">
      <c r="A24" s="348" t="s">
        <v>14</v>
      </c>
      <c r="B24" s="334">
        <v>2</v>
      </c>
    </row>
    <row r="25" spans="1:6">
      <c r="A25" s="348" t="s">
        <v>15</v>
      </c>
      <c r="B25" s="334">
        <v>235</v>
      </c>
    </row>
    <row r="26" spans="1:6">
      <c r="A26" s="348" t="s">
        <v>16</v>
      </c>
      <c r="B26" s="334">
        <v>42</v>
      </c>
    </row>
    <row r="27" spans="1:6">
      <c r="A27" s="348" t="s">
        <v>17</v>
      </c>
      <c r="B27" s="334">
        <v>0</v>
      </c>
    </row>
    <row r="28" spans="1:6" s="356" customFormat="1">
      <c r="A28" s="355" t="s">
        <v>18</v>
      </c>
      <c r="B28" s="355">
        <v>0</v>
      </c>
    </row>
    <row r="29" spans="1:6">
      <c r="A29" s="355" t="s">
        <v>744</v>
      </c>
      <c r="B29" s="355">
        <v>58</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1218</v>
      </c>
      <c r="D39" s="334">
        <v>18660147.449999999</v>
      </c>
      <c r="E39" s="334">
        <v>2999</v>
      </c>
      <c r="F39" s="334">
        <v>10324551.65</v>
      </c>
    </row>
    <row r="40" spans="1:6">
      <c r="A40" s="348" t="s">
        <v>30</v>
      </c>
      <c r="B40" s="348" t="s">
        <v>29</v>
      </c>
      <c r="C40" s="334">
        <v>0</v>
      </c>
      <c r="D40" s="334">
        <v>0</v>
      </c>
      <c r="E40" s="334">
        <v>0</v>
      </c>
      <c r="F40" s="334">
        <v>0</v>
      </c>
    </row>
    <row r="41" spans="1:6">
      <c r="A41" s="348" t="s">
        <v>32</v>
      </c>
      <c r="B41" s="348" t="s">
        <v>33</v>
      </c>
      <c r="C41" s="334">
        <v>35</v>
      </c>
      <c r="D41" s="334">
        <v>8129118.057</v>
      </c>
      <c r="E41" s="334">
        <v>77</v>
      </c>
      <c r="F41" s="334">
        <v>41354832.700000003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437434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233302</v>
      </c>
      <c r="E47" s="334">
        <v>4</v>
      </c>
      <c r="F47" s="334">
        <v>1574315</v>
      </c>
    </row>
    <row r="48" spans="1:6">
      <c r="A48" s="348" t="s">
        <v>32</v>
      </c>
      <c r="B48" s="348" t="s">
        <v>29</v>
      </c>
      <c r="C48" s="334">
        <v>2</v>
      </c>
      <c r="D48" s="334">
        <v>24490</v>
      </c>
      <c r="E48" s="334">
        <v>0</v>
      </c>
      <c r="F48" s="334">
        <v>0</v>
      </c>
    </row>
    <row r="49" spans="1:6">
      <c r="A49" s="348" t="s">
        <v>32</v>
      </c>
      <c r="B49" s="348" t="s">
        <v>40</v>
      </c>
      <c r="C49" s="334">
        <v>0</v>
      </c>
      <c r="D49" s="334">
        <v>0</v>
      </c>
      <c r="E49" s="334">
        <v>0</v>
      </c>
      <c r="F49" s="334">
        <v>0</v>
      </c>
    </row>
    <row r="50" spans="1:6">
      <c r="A50" s="348" t="s">
        <v>32</v>
      </c>
      <c r="B50" s="348" t="s">
        <v>41</v>
      </c>
      <c r="C50" s="334">
        <v>3</v>
      </c>
      <c r="D50" s="334">
        <v>176974</v>
      </c>
      <c r="E50" s="334">
        <v>7</v>
      </c>
      <c r="F50" s="334">
        <v>715637</v>
      </c>
    </row>
    <row r="51" spans="1:6">
      <c r="A51" s="348" t="s">
        <v>42</v>
      </c>
      <c r="B51" s="348" t="s">
        <v>43</v>
      </c>
      <c r="C51" s="334">
        <v>11</v>
      </c>
      <c r="D51" s="334">
        <v>3175478.3429999999</v>
      </c>
      <c r="E51" s="334">
        <v>64</v>
      </c>
      <c r="F51" s="334">
        <v>1782579.227</v>
      </c>
    </row>
    <row r="52" spans="1:6">
      <c r="A52" s="348" t="s">
        <v>42</v>
      </c>
      <c r="B52" s="348" t="s">
        <v>29</v>
      </c>
      <c r="C52" s="334">
        <v>0</v>
      </c>
      <c r="D52" s="334">
        <v>0</v>
      </c>
      <c r="E52" s="334">
        <v>0</v>
      </c>
      <c r="F52" s="334">
        <v>0</v>
      </c>
    </row>
    <row r="53" spans="1:6">
      <c r="A53" s="348" t="s">
        <v>44</v>
      </c>
      <c r="B53" s="348" t="s">
        <v>45</v>
      </c>
      <c r="C53" s="334">
        <v>19</v>
      </c>
      <c r="D53" s="334">
        <v>372385</v>
      </c>
      <c r="E53" s="334">
        <v>49</v>
      </c>
      <c r="F53" s="334">
        <v>180041</v>
      </c>
    </row>
    <row r="54" spans="1:6">
      <c r="A54" s="348" t="s">
        <v>46</v>
      </c>
      <c r="B54" s="348" t="s">
        <v>47</v>
      </c>
      <c r="C54" s="334">
        <v>0</v>
      </c>
      <c r="D54" s="334">
        <v>0</v>
      </c>
      <c r="E54" s="334">
        <v>1</v>
      </c>
      <c r="F54" s="334">
        <v>552261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907070</v>
      </c>
      <c r="E57" s="334">
        <v>37</v>
      </c>
      <c r="F57" s="334">
        <v>996172</v>
      </c>
    </row>
    <row r="58" spans="1:6">
      <c r="A58" s="348" t="s">
        <v>49</v>
      </c>
      <c r="B58" s="348" t="s">
        <v>51</v>
      </c>
      <c r="C58" s="334">
        <v>5</v>
      </c>
      <c r="D58" s="334">
        <v>773302</v>
      </c>
      <c r="E58" s="334">
        <v>10</v>
      </c>
      <c r="F58" s="334">
        <v>302650</v>
      </c>
    </row>
    <row r="59" spans="1:6">
      <c r="A59" s="348" t="s">
        <v>49</v>
      </c>
      <c r="B59" s="348" t="s">
        <v>52</v>
      </c>
      <c r="C59" s="334">
        <v>32</v>
      </c>
      <c r="D59" s="334">
        <v>926688</v>
      </c>
      <c r="E59" s="334">
        <v>83</v>
      </c>
      <c r="F59" s="334">
        <v>1595531.773</v>
      </c>
    </row>
    <row r="60" spans="1:6">
      <c r="A60" s="348" t="s">
        <v>49</v>
      </c>
      <c r="B60" s="348" t="s">
        <v>53</v>
      </c>
      <c r="C60" s="334">
        <v>19</v>
      </c>
      <c r="D60" s="334">
        <v>531005</v>
      </c>
      <c r="E60" s="334">
        <v>28</v>
      </c>
      <c r="F60" s="334">
        <v>478060</v>
      </c>
    </row>
    <row r="61" spans="1:6">
      <c r="A61" s="348" t="s">
        <v>49</v>
      </c>
      <c r="B61" s="348" t="s">
        <v>54</v>
      </c>
      <c r="C61" s="334">
        <v>26</v>
      </c>
      <c r="D61" s="334">
        <v>1190086.6000000001</v>
      </c>
      <c r="E61" s="334">
        <v>87</v>
      </c>
      <c r="F61" s="334">
        <v>1455880.6</v>
      </c>
    </row>
    <row r="62" spans="1:6">
      <c r="A62" s="348" t="s">
        <v>49</v>
      </c>
      <c r="B62" s="348" t="s">
        <v>55</v>
      </c>
      <c r="C62" s="334">
        <v>3</v>
      </c>
      <c r="D62" s="334">
        <v>222522</v>
      </c>
      <c r="E62" s="334">
        <v>9</v>
      </c>
      <c r="F62" s="334">
        <v>74313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32045</v>
      </c>
      <c r="E65" s="334">
        <v>0</v>
      </c>
      <c r="F65" s="334">
        <v>0</v>
      </c>
    </row>
    <row r="66" spans="1:6">
      <c r="A66" s="348" t="s">
        <v>56</v>
      </c>
      <c r="B66" s="348" t="s">
        <v>58</v>
      </c>
      <c r="C66" s="334">
        <v>0</v>
      </c>
      <c r="D66" s="334">
        <v>0</v>
      </c>
      <c r="E66" s="334">
        <v>4</v>
      </c>
      <c r="F66" s="334">
        <v>8458.8860000000004</v>
      </c>
    </row>
    <row r="67" spans="1:6">
      <c r="A67" s="355" t="s">
        <v>56</v>
      </c>
      <c r="B67" s="355" t="s">
        <v>59</v>
      </c>
      <c r="C67" s="334">
        <v>11</v>
      </c>
      <c r="D67" s="334">
        <v>856389</v>
      </c>
      <c r="E67" s="334">
        <v>26</v>
      </c>
      <c r="F67" s="334">
        <v>336349.15700000001</v>
      </c>
    </row>
    <row r="68" spans="1:6">
      <c r="A68" s="341" t="s">
        <v>56</v>
      </c>
      <c r="B68" s="341" t="s">
        <v>60</v>
      </c>
      <c r="C68" s="334">
        <v>0</v>
      </c>
      <c r="D68" s="334">
        <v>0</v>
      </c>
      <c r="E68" s="334">
        <v>8</v>
      </c>
      <c r="F68" s="334">
        <v>35854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27481594</v>
      </c>
      <c r="E73" s="475">
        <v>25034271.975737404</v>
      </c>
    </row>
    <row r="74" spans="1:6">
      <c r="A74" s="348" t="s">
        <v>64</v>
      </c>
      <c r="B74" s="348" t="s">
        <v>657</v>
      </c>
      <c r="C74" s="1295" t="s">
        <v>659</v>
      </c>
      <c r="D74" s="475">
        <v>1907876</v>
      </c>
      <c r="E74" s="475">
        <v>1786223.0836616729</v>
      </c>
    </row>
    <row r="75" spans="1:6">
      <c r="A75" s="348" t="s">
        <v>65</v>
      </c>
      <c r="B75" s="348" t="s">
        <v>656</v>
      </c>
      <c r="C75" s="1295" t="s">
        <v>660</v>
      </c>
      <c r="D75" s="475">
        <v>7635728</v>
      </c>
      <c r="E75" s="475">
        <v>7053288.0493666213</v>
      </c>
    </row>
    <row r="76" spans="1:6">
      <c r="A76" s="348" t="s">
        <v>65</v>
      </c>
      <c r="B76" s="348" t="s">
        <v>657</v>
      </c>
      <c r="C76" s="1295" t="s">
        <v>661</v>
      </c>
      <c r="D76" s="475">
        <v>188587</v>
      </c>
      <c r="E76" s="475">
        <v>174259.49889744169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114436</v>
      </c>
      <c r="C83" s="475">
        <v>117015.96417527298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2787.1622281986192</v>
      </c>
    </row>
    <row r="92" spans="1:6">
      <c r="A92" s="341" t="s">
        <v>69</v>
      </c>
      <c r="B92" s="342">
        <v>1825.283150193723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0</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64625.236449033648</v>
      </c>
      <c r="C3" s="43" t="s">
        <v>170</v>
      </c>
      <c r="D3" s="43"/>
      <c r="E3" s="154"/>
      <c r="F3" s="43"/>
      <c r="G3" s="43"/>
      <c r="H3" s="43"/>
      <c r="I3" s="43"/>
      <c r="J3" s="43"/>
      <c r="K3" s="96"/>
    </row>
    <row r="4" spans="1:11">
      <c r="A4" s="383" t="s">
        <v>171</v>
      </c>
      <c r="B4" s="49">
        <f>IF(ISERROR('SEAP template'!B78+'SEAP template'!C78),0,'SEAP template'!B78+'SEAP template'!C78)</f>
        <v>4612.4453783923418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0.20522674353495618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0.20522674353495618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113.33872661135842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10324.551650000001</v>
      </c>
      <c r="C5" s="17">
        <f>IF(ISERROR('Eigen informatie GS &amp; warmtenet'!B57),0,'Eigen informatie GS &amp; warmtenet'!B57)</f>
        <v>0</v>
      </c>
      <c r="D5" s="30">
        <f>(SUM(HH_hh_gas_kWh,HH_rest_gas_kWh)/1000)*0.902</f>
        <v>16831.452999900001</v>
      </c>
      <c r="E5" s="17">
        <f>B46*B57</f>
        <v>1926.2901240730571</v>
      </c>
      <c r="F5" s="17">
        <f>B51*B62</f>
        <v>29880.260441612074</v>
      </c>
      <c r="G5" s="18"/>
      <c r="H5" s="17"/>
      <c r="I5" s="17"/>
      <c r="J5" s="17">
        <f>B50*B61+C50*C61</f>
        <v>133.98924247666082</v>
      </c>
      <c r="K5" s="17"/>
      <c r="L5" s="17"/>
      <c r="M5" s="17"/>
      <c r="N5" s="17">
        <f>B48*B59+C48*C59</f>
        <v>14223.499703974139</v>
      </c>
      <c r="O5" s="17">
        <f>B69*B70*B71</f>
        <v>161.02333333333334</v>
      </c>
      <c r="P5" s="17">
        <f>B77*B78*B79/1000-B77*B78*B79/1000/B80</f>
        <v>572</v>
      </c>
    </row>
    <row r="6" spans="1:16">
      <c r="A6" s="16" t="s">
        <v>621</v>
      </c>
      <c r="B6" s="788">
        <f>kWh_PV_kleiner_dan_10kW</f>
        <v>2787.1622281986192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13111.713878198621</v>
      </c>
      <c r="C8" s="21">
        <f>C5</f>
        <v>0</v>
      </c>
      <c r="D8" s="21">
        <f>D5</f>
        <v>16831.452999900001</v>
      </c>
      <c r="E8" s="21">
        <f>E5</f>
        <v>1926.2901240730571</v>
      </c>
      <c r="F8" s="21">
        <f>F5</f>
        <v>29880.260441612074</v>
      </c>
      <c r="G8" s="21"/>
      <c r="H8" s="21"/>
      <c r="I8" s="21"/>
      <c r="J8" s="21">
        <f>J5</f>
        <v>133.98924247666082</v>
      </c>
      <c r="K8" s="21"/>
      <c r="L8" s="21">
        <f>L5</f>
        <v>0</v>
      </c>
      <c r="M8" s="21">
        <f>M5</f>
        <v>0</v>
      </c>
      <c r="N8" s="21">
        <f>N5</f>
        <v>14223.499703974139</v>
      </c>
      <c r="O8" s="21">
        <f>O5</f>
        <v>161.02333333333334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0.20522674353495618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2690.8743413847942</v>
      </c>
      <c r="C12" s="23">
        <f ca="1">C10*C8</f>
        <v>0</v>
      </c>
      <c r="D12" s="23">
        <f>D8*D10</f>
        <v>3399.9535059798004</v>
      </c>
      <c r="E12" s="23">
        <f>E10*E8</f>
        <v>437.26785816458397</v>
      </c>
      <c r="F12" s="23">
        <f>F10*F8</f>
        <v>7978.0295379104246</v>
      </c>
      <c r="G12" s="23"/>
      <c r="H12" s="23"/>
      <c r="I12" s="23"/>
      <c r="J12" s="23">
        <f>J10*J8</f>
        <v>47.432191836737928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3058</v>
      </c>
      <c r="C28" s="36"/>
      <c r="D28" s="228"/>
    </row>
    <row r="29" spans="1:7" s="15" customFormat="1">
      <c r="A29" s="230" t="s">
        <v>794</v>
      </c>
      <c r="B29" s="37">
        <f>SUM(HH_hh_gas_aantal,HH_rest_gas_aantal)</f>
        <v>1218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1218</v>
      </c>
      <c r="C32" s="167">
        <f>IF(ISERROR(B32/SUM($B$32,$B$34,$B$35,$B$36,$B$38,$B$39)*100),0,B32/SUM($B$32,$B$34,$B$35,$B$36,$B$38,$B$39)*100)</f>
        <v>40.224570673712023</v>
      </c>
      <c r="D32" s="233"/>
      <c r="G32" s="15"/>
    </row>
    <row r="33" spans="1:7">
      <c r="A33" s="171" t="s">
        <v>72</v>
      </c>
      <c r="B33" s="34" t="s">
        <v>111</v>
      </c>
      <c r="C33" s="167"/>
      <c r="D33" s="233"/>
      <c r="G33" s="15"/>
    </row>
    <row r="34" spans="1:7">
      <c r="A34" s="171" t="s">
        <v>73</v>
      </c>
      <c r="B34" s="33">
        <f>IF((($B$28-$B$32-$B$39-$B$77-$B$38)*C20/100)&lt;0,0,($B$28-$B$32-$B$39-$B$77-$B$38)*C20/100)</f>
        <v>90.976744186046545</v>
      </c>
      <c r="C34" s="167">
        <f>IF(ISERROR(B34/SUM($B$32,$B$34,$B$35,$B$36,$B$38,$B$39)*100),0,B34/SUM($B$32,$B$34,$B$35,$B$36,$B$38,$B$39)*100)</f>
        <v>3.0045159902921581</v>
      </c>
      <c r="D34" s="233"/>
      <c r="G34" s="15"/>
    </row>
    <row r="35" spans="1:7">
      <c r="A35" s="171" t="s">
        <v>74</v>
      </c>
      <c r="B35" s="33">
        <f>IF((($B$28-$B$32-$B$39-$B$77-$B$38)*C21/100)&lt;0,0,($B$28-$B$32-$B$39-$B$77-$B$38)*C21/100)</f>
        <v>363.90697674418618</v>
      </c>
      <c r="C35" s="167">
        <f>IF(ISERROR(B35/SUM($B$32,$B$34,$B$35,$B$36,$B$38,$B$39)*100),0,B35/SUM($B$32,$B$34,$B$35,$B$36,$B$38,$B$39)*100)</f>
        <v>12.018063961168632</v>
      </c>
      <c r="D35" s="233"/>
      <c r="G35" s="15"/>
    </row>
    <row r="36" spans="1:7">
      <c r="A36" s="171" t="s">
        <v>75</v>
      </c>
      <c r="B36" s="33">
        <f>IF((($B$28-$B$32-$B$39-$B$77-$B$38)*C22/100)&lt;0,0,($B$28-$B$32-$B$39-$B$77-$B$38)*C22/100)</f>
        <v>197.11627906976747</v>
      </c>
      <c r="C36" s="167">
        <f>IF(ISERROR(B36/SUM($B$32,$B$34,$B$35,$B$36,$B$38,$B$39)*100),0,B36/SUM($B$32,$B$34,$B$35,$B$36,$B$38,$B$39)*100)</f>
        <v>6.5097846456330073</v>
      </c>
      <c r="D36" s="233"/>
      <c r="G36" s="15"/>
    </row>
    <row r="37" spans="1:7">
      <c r="A37" s="171" t="s">
        <v>76</v>
      </c>
      <c r="B37" s="34" t="s">
        <v>111</v>
      </c>
      <c r="C37" s="167"/>
      <c r="D37" s="173"/>
      <c r="G37" s="15"/>
    </row>
    <row r="38" spans="1:7">
      <c r="A38" s="171" t="s">
        <v>77</v>
      </c>
      <c r="B38" s="33">
        <f>IF((B24-(B29-B18)*0.1)&lt;0,0,B24-(B29-B18)*0.1)</f>
        <v>3.7999999999999972</v>
      </c>
      <c r="C38" s="167">
        <f>IF(ISERROR(B38/SUM($B$32,$B$34,$B$35,$B$36,$B$38,$B$39)*100),0,B38/SUM($B$32,$B$34,$B$35,$B$36,$B$38,$B$39)*100)</f>
        <v>0.12549537648612938</v>
      </c>
      <c r="D38" s="234"/>
      <c r="G38" s="15"/>
    </row>
    <row r="39" spans="1:7">
      <c r="A39" s="171" t="s">
        <v>78</v>
      </c>
      <c r="B39" s="33">
        <f>IF((B25-(B29-B18))&lt;0,0,B25-(B29-B18)*0.9)</f>
        <v>1154.1999999999998</v>
      </c>
      <c r="C39" s="167">
        <f>IF(ISERROR(B39/SUM($B$32,$B$34,$B$35,$B$36,$B$38,$B$39)*100),0,B39/SUM($B$32,$B$34,$B$35,$B$36,$B$38,$B$39)*100)</f>
        <v>38.117569352708053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1218</v>
      </c>
      <c r="C44" s="34" t="s">
        <v>111</v>
      </c>
      <c r="D44" s="174"/>
    </row>
    <row r="45" spans="1:7">
      <c r="A45" s="171" t="s">
        <v>72</v>
      </c>
      <c r="B45" s="33" t="str">
        <f t="shared" si="0"/>
        <v>-</v>
      </c>
      <c r="C45" s="34" t="s">
        <v>111</v>
      </c>
      <c r="D45" s="174"/>
    </row>
    <row r="46" spans="1:7">
      <c r="A46" s="171" t="s">
        <v>73</v>
      </c>
      <c r="B46" s="33">
        <f t="shared" si="0"/>
        <v>90.976744186046545</v>
      </c>
      <c r="C46" s="34" t="s">
        <v>111</v>
      </c>
      <c r="D46" s="174"/>
    </row>
    <row r="47" spans="1:7">
      <c r="A47" s="171" t="s">
        <v>74</v>
      </c>
      <c r="B47" s="33">
        <f t="shared" si="0"/>
        <v>363.90697674418618</v>
      </c>
      <c r="C47" s="34" t="s">
        <v>111</v>
      </c>
      <c r="D47" s="174"/>
    </row>
    <row r="48" spans="1:7">
      <c r="A48" s="171" t="s">
        <v>75</v>
      </c>
      <c r="B48" s="33">
        <f t="shared" si="0"/>
        <v>197.11627906976747</v>
      </c>
      <c r="C48" s="33">
        <f>B48*10</f>
        <v>1971.1627906976746</v>
      </c>
      <c r="D48" s="234"/>
    </row>
    <row r="49" spans="1:6">
      <c r="A49" s="171" t="s">
        <v>76</v>
      </c>
      <c r="B49" s="33" t="str">
        <f t="shared" si="0"/>
        <v>-</v>
      </c>
      <c r="C49" s="34" t="s">
        <v>111</v>
      </c>
      <c r="D49" s="234"/>
    </row>
    <row r="50" spans="1:6">
      <c r="A50" s="171" t="s">
        <v>77</v>
      </c>
      <c r="B50" s="33">
        <f t="shared" si="0"/>
        <v>3.7999999999999972</v>
      </c>
      <c r="C50" s="33">
        <f>B50*2</f>
        <v>7.5999999999999943</v>
      </c>
      <c r="D50" s="234"/>
    </row>
    <row r="51" spans="1:6">
      <c r="A51" s="171" t="s">
        <v>78</v>
      </c>
      <c r="B51" s="33">
        <f t="shared" si="0"/>
        <v>1154.1999999999998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4902.6073730000007</v>
      </c>
      <c r="C5" s="17">
        <f>IF(ISERROR('Eigen informatie GS &amp; warmtenet'!B58),0,'Eigen informatie GS &amp; warmtenet'!B58)</f>
        <v>0</v>
      </c>
      <c r="D5" s="30">
        <f>SUM(D6:D12)</f>
        <v>4104.7075872000005</v>
      </c>
      <c r="E5" s="17">
        <f>SUM(E6:E12)</f>
        <v>67.05221898282268</v>
      </c>
      <c r="F5" s="17">
        <f>SUM(F6:F12)</f>
        <v>905.25519658423002</v>
      </c>
      <c r="G5" s="18"/>
      <c r="H5" s="17"/>
      <c r="I5" s="17"/>
      <c r="J5" s="17">
        <f>SUM(J6:J12)</f>
        <v>2.1622989233581563E-2</v>
      </c>
      <c r="K5" s="17"/>
      <c r="L5" s="17"/>
      <c r="M5" s="17"/>
      <c r="N5" s="17">
        <f>SUM(N6:N12)</f>
        <v>854.55537251568137</v>
      </c>
      <c r="O5" s="17">
        <f>B38*B39*B40</f>
        <v>0</v>
      </c>
      <c r="P5" s="17">
        <f>B46*B47*B48/1000-B46*B47*B48/1000/B49</f>
        <v>19.066666666666666</v>
      </c>
      <c r="R5" s="32"/>
    </row>
    <row r="6" spans="1:18">
      <c r="A6" s="32" t="s">
        <v>54</v>
      </c>
      <c r="B6" s="37">
        <f>B26</f>
        <v>1455.8806000000002</v>
      </c>
      <c r="C6" s="33"/>
      <c r="D6" s="37">
        <f>IF(ISERROR(TER_kantoor_gas_kWh/1000),0,TER_kantoor_gas_kWh/1000)*0.902</f>
        <v>1073.4581132000001</v>
      </c>
      <c r="E6" s="33">
        <f>$C$26*'E Balans VL '!I12/100/3.6*1000000</f>
        <v>9.1249753824984049E-3</v>
      </c>
      <c r="F6" s="33">
        <f>$C$26*('E Balans VL '!L12+'E Balans VL '!N12)/100/3.6*1000000</f>
        <v>218.77817299611851</v>
      </c>
      <c r="G6" s="34"/>
      <c r="H6" s="33"/>
      <c r="I6" s="33"/>
      <c r="J6" s="33">
        <f>$C$26*('E Balans VL '!D12+'E Balans VL '!E12)/100/3.6*1000000</f>
        <v>0</v>
      </c>
      <c r="K6" s="33"/>
      <c r="L6" s="33"/>
      <c r="M6" s="33"/>
      <c r="N6" s="33">
        <f>$C$26*'E Balans VL '!Y12/100/3.6*1000000</f>
        <v>1.3923339359118958</v>
      </c>
      <c r="O6" s="33"/>
      <c r="P6" s="33"/>
      <c r="R6" s="32"/>
    </row>
    <row r="7" spans="1:18">
      <c r="A7" s="32" t="s">
        <v>53</v>
      </c>
      <c r="B7" s="37">
        <f t="shared" ref="B7:B12" si="0">B27</f>
        <v>478.06</v>
      </c>
      <c r="C7" s="33"/>
      <c r="D7" s="37">
        <f>IF(ISERROR(TER_horeca_gas_kWh/1000),0,TER_horeca_gas_kWh/1000)*0.902</f>
        <v>478.96651000000003</v>
      </c>
      <c r="E7" s="33">
        <f>$C$27*'E Balans VL '!I9/100/3.6*1000000</f>
        <v>6.84573957040514</v>
      </c>
      <c r="F7" s="33">
        <f>$C$27*('E Balans VL '!L9+'E Balans VL '!N9)/100/3.6*1000000</f>
        <v>60.538163026238308</v>
      </c>
      <c r="G7" s="34"/>
      <c r="H7" s="33"/>
      <c r="I7" s="33"/>
      <c r="J7" s="33">
        <f>$C$27*('E Balans VL '!D9+'E Balans VL '!E9)/100/3.6*1000000</f>
        <v>0</v>
      </c>
      <c r="K7" s="33"/>
      <c r="L7" s="33"/>
      <c r="M7" s="33"/>
      <c r="N7" s="33">
        <f>$C$27*'E Balans VL '!Y9/100/3.6*1000000</f>
        <v>0.13743170968177743</v>
      </c>
      <c r="O7" s="33"/>
      <c r="P7" s="33"/>
      <c r="R7" s="32"/>
    </row>
    <row r="8" spans="1:18">
      <c r="A8" s="6" t="s">
        <v>52</v>
      </c>
      <c r="B8" s="37">
        <f t="shared" si="0"/>
        <v>1595.5317730000002</v>
      </c>
      <c r="C8" s="33"/>
      <c r="D8" s="37">
        <f>IF(ISERROR(TER_handel_gas_kWh/1000),0,TER_handel_gas_kWh/1000)*0.902</f>
        <v>835.87257599999998</v>
      </c>
      <c r="E8" s="33">
        <f>$C$28*'E Balans VL '!I13/100/3.6*1000000</f>
        <v>57.869740654546561</v>
      </c>
      <c r="F8" s="33">
        <f>$C$28*('E Balans VL '!L13+'E Balans VL '!N13)/100/3.6*1000000</f>
        <v>307.3155752661545</v>
      </c>
      <c r="G8" s="34"/>
      <c r="H8" s="33"/>
      <c r="I8" s="33"/>
      <c r="J8" s="33">
        <f>$C$28*('E Balans VL '!D13+'E Balans VL '!E13)/100/3.6*1000000</f>
        <v>0</v>
      </c>
      <c r="K8" s="33"/>
      <c r="L8" s="33"/>
      <c r="M8" s="33"/>
      <c r="N8" s="33">
        <f>$C$28*'E Balans VL '!Y13/100/3.6*1000000</f>
        <v>2.2101786210931076</v>
      </c>
      <c r="O8" s="33"/>
      <c r="P8" s="33"/>
      <c r="R8" s="32"/>
    </row>
    <row r="9" spans="1:18">
      <c r="A9" s="32" t="s">
        <v>51</v>
      </c>
      <c r="B9" s="37">
        <f t="shared" si="0"/>
        <v>302.64999999999998</v>
      </c>
      <c r="C9" s="33"/>
      <c r="D9" s="37">
        <f>IF(ISERROR(TER_gezond_gas_kWh/1000),0,TER_gezond_gas_kWh/1000)*0.902</f>
        <v>697.51840400000003</v>
      </c>
      <c r="E9" s="33">
        <f>$C$29*'E Balans VL '!I10/100/3.6*1000000</f>
        <v>1.8948878128913299E-2</v>
      </c>
      <c r="F9" s="33">
        <f>$C$29*('E Balans VL '!L10+'E Balans VL '!N10)/100/3.6*1000000</f>
        <v>44.95957898149274</v>
      </c>
      <c r="G9" s="34"/>
      <c r="H9" s="33"/>
      <c r="I9" s="33"/>
      <c r="J9" s="33">
        <f>$C$29*('E Balans VL '!D10+'E Balans VL '!E10)/100/3.6*1000000</f>
        <v>0</v>
      </c>
      <c r="K9" s="33"/>
      <c r="L9" s="33"/>
      <c r="M9" s="33"/>
      <c r="N9" s="33">
        <f>$C$29*'E Balans VL '!Y10/100/3.6*1000000</f>
        <v>4.6814194032287029</v>
      </c>
      <c r="O9" s="33"/>
      <c r="P9" s="33"/>
      <c r="R9" s="32"/>
    </row>
    <row r="10" spans="1:18">
      <c r="A10" s="32" t="s">
        <v>50</v>
      </c>
      <c r="B10" s="37">
        <f t="shared" si="0"/>
        <v>996.17200000000003</v>
      </c>
      <c r="C10" s="33"/>
      <c r="D10" s="37">
        <f>IF(ISERROR(TER_ander_gas_kWh/1000),0,TER_ander_gas_kWh/1000)*0.902</f>
        <v>818.17714000000012</v>
      </c>
      <c r="E10" s="33">
        <f>$C$30*'E Balans VL '!I14/100/3.6*1000000</f>
        <v>1.1874014268275852</v>
      </c>
      <c r="F10" s="33">
        <f>$C$30*('E Balans VL '!L14+'E Balans VL '!N14)/100/3.6*1000000</f>
        <v>260.64288152873257</v>
      </c>
      <c r="G10" s="34"/>
      <c r="H10" s="33"/>
      <c r="I10" s="33"/>
      <c r="J10" s="33">
        <f>$C$30*('E Balans VL '!D14+'E Balans VL '!E14)/100/3.6*1000000</f>
        <v>2.1622989233581563E-2</v>
      </c>
      <c r="K10" s="33"/>
      <c r="L10" s="33"/>
      <c r="M10" s="33"/>
      <c r="N10" s="33">
        <f>$C$30*'E Balans VL '!Y14/100/3.6*1000000</f>
        <v>845.92488641427644</v>
      </c>
      <c r="O10" s="33"/>
      <c r="P10" s="33"/>
      <c r="R10" s="32"/>
    </row>
    <row r="11" spans="1:18">
      <c r="A11" s="32" t="s">
        <v>55</v>
      </c>
      <c r="B11" s="37">
        <f t="shared" si="0"/>
        <v>74.313000000000002</v>
      </c>
      <c r="C11" s="33"/>
      <c r="D11" s="37">
        <f>IF(ISERROR(TER_onderwijs_gas_kWh/1000),0,TER_onderwijs_gas_kWh/1000)*0.902</f>
        <v>200.714844</v>
      </c>
      <c r="E11" s="33">
        <f>$C$31*'E Balans VL '!I11/100/3.6*1000000</f>
        <v>1.1212634775319799</v>
      </c>
      <c r="F11" s="33">
        <f>$C$31*('E Balans VL '!L11+'E Balans VL '!N11)/100/3.6*1000000</f>
        <v>13.020824785493373</v>
      </c>
      <c r="G11" s="34"/>
      <c r="H11" s="33"/>
      <c r="I11" s="33"/>
      <c r="J11" s="33">
        <f>$C$31*('E Balans VL '!D11+'E Balans VL '!E11)/100/3.6*1000000</f>
        <v>0</v>
      </c>
      <c r="K11" s="33"/>
      <c r="L11" s="33"/>
      <c r="M11" s="33"/>
      <c r="N11" s="33">
        <f>$C$31*'E Balans VL '!Y11/100/3.6*1000000</f>
        <v>0.20912243148940315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4902.6073730000007</v>
      </c>
      <c r="C16" s="21">
        <f t="shared" ca="1" si="1"/>
        <v>0</v>
      </c>
      <c r="D16" s="21">
        <f t="shared" ca="1" si="1"/>
        <v>4104.7075872000005</v>
      </c>
      <c r="E16" s="21">
        <f t="shared" si="1"/>
        <v>67.05221898282268</v>
      </c>
      <c r="F16" s="21">
        <f t="shared" ca="1" si="1"/>
        <v>905.25519658423002</v>
      </c>
      <c r="G16" s="21">
        <f t="shared" si="1"/>
        <v>0</v>
      </c>
      <c r="H16" s="21">
        <f t="shared" si="1"/>
        <v>0</v>
      </c>
      <c r="I16" s="21">
        <f t="shared" si="1"/>
        <v>0</v>
      </c>
      <c r="J16" s="21">
        <f t="shared" si="1"/>
        <v>2.1622989233581563E-2</v>
      </c>
      <c r="K16" s="21">
        <f t="shared" si="1"/>
        <v>0</v>
      </c>
      <c r="L16" s="21">
        <f t="shared" ca="1" si="1"/>
        <v>0</v>
      </c>
      <c r="M16" s="21">
        <f t="shared" si="1"/>
        <v>0</v>
      </c>
      <c r="N16" s="21">
        <f t="shared" ca="1" si="1"/>
        <v>854.55537251568137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0.20522674353495618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1006.1461459912564</v>
      </c>
      <c r="C20" s="23">
        <f t="shared" ref="C20:P20" ca="1" si="2">C16*C18</f>
        <v>0</v>
      </c>
      <c r="D20" s="23">
        <f t="shared" ca="1" si="2"/>
        <v>829.15093261440018</v>
      </c>
      <c r="E20" s="23">
        <f t="shared" si="2"/>
        <v>15.22085370910075</v>
      </c>
      <c r="F20" s="23">
        <f t="shared" ca="1" si="2"/>
        <v>241.70313748798944</v>
      </c>
      <c r="G20" s="23">
        <f t="shared" si="2"/>
        <v>0</v>
      </c>
      <c r="H20" s="23">
        <f t="shared" si="2"/>
        <v>0</v>
      </c>
      <c r="I20" s="23">
        <f t="shared" si="2"/>
        <v>0</v>
      </c>
      <c r="J20" s="23">
        <f t="shared" si="2"/>
        <v>7.6545381886878724E-3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1455.8806000000002</v>
      </c>
      <c r="C26" s="39">
        <f>IF(ISERROR(B26*3.6/1000000/'E Balans VL '!Z12*100),0,B26*3.6/1000000/'E Balans VL '!Z12*100)</f>
        <v>3.0775009582837971E-2</v>
      </c>
      <c r="D26" s="237" t="s">
        <v>754</v>
      </c>
      <c r="F26" s="6"/>
    </row>
    <row r="27" spans="1:18">
      <c r="A27" s="231" t="s">
        <v>53</v>
      </c>
      <c r="B27" s="33">
        <f>IF(ISERROR(TER_horeca_ele_kWh/1000),0,TER_horeca_ele_kWh/1000)</f>
        <v>478.06</v>
      </c>
      <c r="C27" s="39">
        <f>IF(ISERROR(B27*3.6/1000000/'E Balans VL '!Z9*100),0,B27*3.6/1000000/'E Balans VL '!Z9*100)</f>
        <v>3.7685291617941478E-2</v>
      </c>
      <c r="D27" s="237" t="s">
        <v>754</v>
      </c>
      <c r="F27" s="6"/>
    </row>
    <row r="28" spans="1:18">
      <c r="A28" s="171" t="s">
        <v>52</v>
      </c>
      <c r="B28" s="33">
        <f>IF(ISERROR(TER_handel_ele_kWh/1000),0,TER_handel_ele_kWh/1000)</f>
        <v>1595.5317730000002</v>
      </c>
      <c r="C28" s="39">
        <f>IF(ISERROR(B28*3.6/1000000/'E Balans VL '!Z13*100),0,B28*3.6/1000000/'E Balans VL '!Z13*100)</f>
        <v>4.6308778723211735E-2</v>
      </c>
      <c r="D28" s="237" t="s">
        <v>754</v>
      </c>
      <c r="F28" s="6"/>
    </row>
    <row r="29" spans="1:18">
      <c r="A29" s="231" t="s">
        <v>51</v>
      </c>
      <c r="B29" s="33">
        <f>IF(ISERROR(TER_gezond_ele_kWh/1000),0,TER_gezond_ele_kWh/1000)</f>
        <v>302.64999999999998</v>
      </c>
      <c r="C29" s="39">
        <f>IF(ISERROR(B29*3.6/1000000/'E Balans VL '!Z10*100),0,B29*3.6/1000000/'E Balans VL '!Z10*100)</f>
        <v>3.1874014644179396E-2</v>
      </c>
      <c r="D29" s="237" t="s">
        <v>754</v>
      </c>
      <c r="F29" s="6"/>
    </row>
    <row r="30" spans="1:18">
      <c r="A30" s="231" t="s">
        <v>50</v>
      </c>
      <c r="B30" s="33">
        <f>IF(ISERROR(TER_ander_ele_kWh/1000),0,TER_ander_ele_kWh/1000)</f>
        <v>996.17200000000003</v>
      </c>
      <c r="C30" s="39">
        <f>IF(ISERROR(B30*3.6/1000000/'E Balans VL '!Z14*100),0,B30*3.6/1000000/'E Balans VL '!Z14*100)</f>
        <v>7.3477863087482109E-2</v>
      </c>
      <c r="D30" s="237" t="s">
        <v>754</v>
      </c>
      <c r="F30" s="6"/>
    </row>
    <row r="31" spans="1:18">
      <c r="A31" s="231" t="s">
        <v>55</v>
      </c>
      <c r="B31" s="33">
        <f>IF(ISERROR(TER_onderwijs_ele_kWh/1000),0,TER_onderwijs_ele_kWh/1000)</f>
        <v>74.313000000000002</v>
      </c>
      <c r="C31" s="39">
        <f>IF(ISERROR(B31*3.6/1000000/'E Balans VL '!Z11*100),0,B31*3.6/1000000/'E Balans VL '!Z11*100)</f>
        <v>1.8455398925924786E-2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44082.218700000012</v>
      </c>
      <c r="C5" s="17">
        <f>IF(ISERROR('Eigen informatie GS &amp; warmtenet'!B59),0,'Eigen informatie GS &amp; warmtenet'!B59)</f>
        <v>0</v>
      </c>
      <c r="D5" s="30">
        <f>SUM(D6:D15)</f>
        <v>7724.6234194140006</v>
      </c>
      <c r="E5" s="17">
        <f>SUM(E6:E15)</f>
        <v>12096.59199910737</v>
      </c>
      <c r="F5" s="17">
        <f>SUM(F6:F15)</f>
        <v>33356.690973623132</v>
      </c>
      <c r="G5" s="18"/>
      <c r="H5" s="17"/>
      <c r="I5" s="17"/>
      <c r="J5" s="17">
        <f>SUM(J6:J15)</f>
        <v>0.24348259531991037</v>
      </c>
      <c r="K5" s="17"/>
      <c r="L5" s="17"/>
      <c r="M5" s="17"/>
      <c r="N5" s="17">
        <f>SUM(N6:N15)</f>
        <v>18296.06586508311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437.43400000000003</v>
      </c>
      <c r="C8" s="33"/>
      <c r="D8" s="37">
        <f>IF( ISERROR(IND_metaal_Gas_kWH/1000),0,IND_metaal_Gas_kWH/1000)*0.902</f>
        <v>0</v>
      </c>
      <c r="E8" s="33">
        <f>C30*'E Balans VL '!I18/100/3.6*1000000</f>
        <v>4.0217831522250247</v>
      </c>
      <c r="F8" s="33">
        <f>C30*'E Balans VL '!L18/100/3.6*1000000+C30*'E Balans VL '!N18/100/3.6*1000000</f>
        <v>41.016745547940367</v>
      </c>
      <c r="G8" s="34"/>
      <c r="H8" s="33"/>
      <c r="I8" s="33"/>
      <c r="J8" s="40">
        <f>C30*'E Balans VL '!D18/100/3.6*1000000+C30*'E Balans VL '!E18/100/3.6*1000000</f>
        <v>0</v>
      </c>
      <c r="K8" s="33"/>
      <c r="L8" s="33"/>
      <c r="M8" s="33"/>
      <c r="N8" s="33">
        <f>C30*'E Balans VL '!Y18/100/3.6*1000000</f>
        <v>6.2407189001266605</v>
      </c>
      <c r="O8" s="33"/>
      <c r="P8" s="33"/>
      <c r="R8" s="32"/>
    </row>
    <row r="9" spans="1:18">
      <c r="A9" s="6" t="s">
        <v>33</v>
      </c>
      <c r="B9" s="37">
        <f t="shared" si="0"/>
        <v>41354.832700000006</v>
      </c>
      <c r="C9" s="33"/>
      <c r="D9" s="37">
        <f>IF( ISERROR(IND_andere_gas_kWh/1000),0,IND_andere_gas_kWh/1000)*0.902</f>
        <v>7332.4644874140004</v>
      </c>
      <c r="E9" s="33">
        <f>C31*'E Balans VL '!I19/100/3.6*1000000</f>
        <v>12088.822681843605</v>
      </c>
      <c r="F9" s="33">
        <f>C31*'E Balans VL '!L19/100/3.6*1000000+C31*'E Balans VL '!N19/100/3.6*1000000</f>
        <v>33231.73834765736</v>
      </c>
      <c r="G9" s="34"/>
      <c r="H9" s="33"/>
      <c r="I9" s="33"/>
      <c r="J9" s="40">
        <f>C31*'E Balans VL '!D19/100/3.6*1000000+C31*'E Balans VL '!E19/100/3.6*1000000</f>
        <v>0</v>
      </c>
      <c r="K9" s="33"/>
      <c r="L9" s="33"/>
      <c r="M9" s="33"/>
      <c r="N9" s="33">
        <f>C31*'E Balans VL '!Y19/100/3.6*1000000</f>
        <v>13664.278092062152</v>
      </c>
      <c r="O9" s="33"/>
      <c r="P9" s="33"/>
      <c r="R9" s="32"/>
    </row>
    <row r="10" spans="1:18">
      <c r="A10" s="6" t="s">
        <v>41</v>
      </c>
      <c r="B10" s="37">
        <f t="shared" si="0"/>
        <v>715.63699999999994</v>
      </c>
      <c r="C10" s="33"/>
      <c r="D10" s="37">
        <f>IF( ISERROR(IND_voed_gas_kWh/1000),0,IND_voed_gas_kWh/1000)*0.902</f>
        <v>159.630548</v>
      </c>
      <c r="E10" s="33">
        <f>C32*'E Balans VL '!I20/100/3.6*1000000</f>
        <v>1.5139411695831058</v>
      </c>
      <c r="F10" s="33">
        <f>C32*'E Balans VL '!L20/100/3.6*1000000+C32*'E Balans VL '!N20/100/3.6*1000000</f>
        <v>45.500931461759201</v>
      </c>
      <c r="G10" s="34"/>
      <c r="H10" s="33"/>
      <c r="I10" s="33"/>
      <c r="J10" s="40">
        <f>C32*'E Balans VL '!D20/100/3.6*1000000+C32*'E Balans VL '!E20/100/3.6*1000000</f>
        <v>0</v>
      </c>
      <c r="K10" s="33"/>
      <c r="L10" s="33"/>
      <c r="M10" s="33"/>
      <c r="N10" s="33">
        <f>C32*'E Balans VL '!Y20/100/3.6*1000000</f>
        <v>49.386015078474934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1574.3150000000001</v>
      </c>
      <c r="C13" s="33"/>
      <c r="D13" s="37">
        <f>IF( ISERROR(IND_papier_gas_kWh/1000),0,IND_papier_gas_kWh/1000)*0.902</f>
        <v>210.43840399999999</v>
      </c>
      <c r="E13" s="33">
        <f>C35*'E Balans VL '!I23/100/3.6*1000000</f>
        <v>2.2335929419545071</v>
      </c>
      <c r="F13" s="33">
        <f>C35*'E Balans VL '!L23/100/3.6*1000000+C35*'E Balans VL '!N23/100/3.6*1000000</f>
        <v>38.434948956076006</v>
      </c>
      <c r="G13" s="34"/>
      <c r="H13" s="33"/>
      <c r="I13" s="33"/>
      <c r="J13" s="40">
        <f>C35*'E Balans VL '!D23/100/3.6*1000000+C35*'E Balans VL '!E23/100/3.6*1000000</f>
        <v>0.24348259531991037</v>
      </c>
      <c r="K13" s="33"/>
      <c r="L13" s="33"/>
      <c r="M13" s="33"/>
      <c r="N13" s="33">
        <f>C35*'E Balans VL '!Y23/100/3.6*1000000</f>
        <v>4576.1610390423593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22.089980000000001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44082.218700000012</v>
      </c>
      <c r="C18" s="21">
        <f>C5+C16</f>
        <v>0</v>
      </c>
      <c r="D18" s="21">
        <f>MAX((D5+D16),0)</f>
        <v>7724.6234194140006</v>
      </c>
      <c r="E18" s="21">
        <f>MAX((E5+E16),0)</f>
        <v>12096.59199910737</v>
      </c>
      <c r="F18" s="21">
        <f>MAX((F5+F16),0)</f>
        <v>33356.690973623132</v>
      </c>
      <c r="G18" s="21"/>
      <c r="H18" s="21"/>
      <c r="I18" s="21"/>
      <c r="J18" s="21">
        <f>MAX((J5+J16),0)</f>
        <v>0.24348259531991037</v>
      </c>
      <c r="K18" s="21"/>
      <c r="L18" s="21">
        <f>MAX((L5+L16),0)</f>
        <v>0</v>
      </c>
      <c r="M18" s="21"/>
      <c r="N18" s="21">
        <f>MAX((N5+N16),0)</f>
        <v>18296.06586508311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0.20522674353495618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9046.8501915967518</v>
      </c>
      <c r="C22" s="23">
        <f ca="1">C18*C20</f>
        <v>0</v>
      </c>
      <c r="D22" s="23">
        <f>D18*D20</f>
        <v>1560.3739307216283</v>
      </c>
      <c r="E22" s="23">
        <f>E18*E20</f>
        <v>2745.9263837973731</v>
      </c>
      <c r="F22" s="23">
        <f>F18*F20</f>
        <v>8906.2364899573768</v>
      </c>
      <c r="G22" s="23"/>
      <c r="H22" s="23"/>
      <c r="I22" s="23"/>
      <c r="J22" s="23">
        <f>J18*J20</f>
        <v>8.6192838743248262E-2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437.43400000000003</v>
      </c>
      <c r="C30" s="39">
        <f>IF(ISERROR(B30*3.6/1000000/'E Balans VL '!Z18*100),0,B30*3.6/1000000/'E Balans VL '!Z18*100)</f>
        <v>2.4790506434137612E-2</v>
      </c>
      <c r="D30" s="237" t="s">
        <v>754</v>
      </c>
    </row>
    <row r="31" spans="1:18">
      <c r="A31" s="6" t="s">
        <v>33</v>
      </c>
      <c r="B31" s="37">
        <f>IF( ISERROR(IND_ander_ele_kWh/1000),0,IND_ander_ele_kWh/1000)</f>
        <v>41354.832700000006</v>
      </c>
      <c r="C31" s="39">
        <f>IF(ISERROR(B31*3.6/1000000/'E Balans VL '!Z19*100),0,B31*3.6/1000000/'E Balans VL '!Z19*100)</f>
        <v>1.8756830127457003</v>
      </c>
      <c r="D31" s="237" t="s">
        <v>754</v>
      </c>
    </row>
    <row r="32" spans="1:18">
      <c r="A32" s="171" t="s">
        <v>41</v>
      </c>
      <c r="B32" s="37">
        <f>IF( ISERROR(IND_voed_ele_kWh/1000),0,IND_voed_ele_kWh/1000)</f>
        <v>715.63699999999994</v>
      </c>
      <c r="C32" s="39">
        <f>IF(ISERROR(B32*3.6/1000000/'E Balans VL '!Z20*100),0,B32*3.6/1000000/'E Balans VL '!Z20*100)</f>
        <v>2.2137901127672919E-2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1574.3150000000001</v>
      </c>
      <c r="C35" s="39">
        <f>IF(ISERROR(B35*3.6/1000000/'E Balans VL '!Z22*100),0,B35*3.6/1000000/'E Balans VL '!Z22*100)</f>
        <v>0.28317015043768867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1782.5792269999999</v>
      </c>
      <c r="C5" s="17">
        <f>'Eigen informatie GS &amp; warmtenet'!B60</f>
        <v>0</v>
      </c>
      <c r="D5" s="30">
        <f>IF(ISERROR(SUM(LB_lb_gas_kWh,LB_rest_gas_kWh)/1000),0,SUM(LB_lb_gas_kWh,LB_rest_gas_kWh)/1000)*0.902</f>
        <v>2864.281465386</v>
      </c>
      <c r="E5" s="17">
        <f>B17*'E Balans VL '!I25/3.6*1000000/100</f>
        <v>52.395448106916092</v>
      </c>
      <c r="F5" s="17">
        <f>B17*('E Balans VL '!L25/3.6*1000000+'E Balans VL '!N25/3.6*1000000)/100</f>
        <v>7426.1287341564757</v>
      </c>
      <c r="G5" s="18"/>
      <c r="H5" s="17"/>
      <c r="I5" s="17"/>
      <c r="J5" s="17">
        <f>('E Balans VL '!D25+'E Balans VL '!E25)/3.6*1000000*landbouw!B17/100</f>
        <v>258.25744866519818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1782.5792269999999</v>
      </c>
      <c r="C8" s="21">
        <f>C5+C6</f>
        <v>0</v>
      </c>
      <c r="D8" s="21">
        <f>MAX((D5+D6),0)</f>
        <v>2864.281465386</v>
      </c>
      <c r="E8" s="21">
        <f>MAX((E5+E6),0)</f>
        <v>52.395448106916092</v>
      </c>
      <c r="F8" s="21">
        <f>MAX((F5+F6),0)</f>
        <v>7426.1287341564757</v>
      </c>
      <c r="G8" s="21"/>
      <c r="H8" s="21"/>
      <c r="I8" s="21"/>
      <c r="J8" s="21">
        <f>MAX((J5+J6),0)</f>
        <v>258.25744866519818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0.20522674353495618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365.83292985026941</v>
      </c>
      <c r="C12" s="23">
        <f ca="1">C8*C10</f>
        <v>0</v>
      </c>
      <c r="D12" s="23">
        <f>D8*D10</f>
        <v>578.58485600797201</v>
      </c>
      <c r="E12" s="23">
        <f>E8*E10</f>
        <v>11.893766720269953</v>
      </c>
      <c r="F12" s="23">
        <f>F8*F10</f>
        <v>1982.776372019779</v>
      </c>
      <c r="G12" s="23"/>
      <c r="H12" s="23"/>
      <c r="I12" s="23"/>
      <c r="J12" s="23">
        <f>J8*J10</f>
        <v>91.42313682748015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0.25295358498306564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74.239301768743701</v>
      </c>
      <c r="C26" s="247">
        <f>B26*'GWP N2O_CH4'!B5</f>
        <v>1559.0253371436177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23.773426163019057</v>
      </c>
      <c r="C27" s="247">
        <f>B27*'GWP N2O_CH4'!B5</f>
        <v>499.24194942340017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0.85365590071904307</v>
      </c>
      <c r="C28" s="247">
        <f>B28*'GWP N2O_CH4'!B4</f>
        <v>264.63332922290334</v>
      </c>
      <c r="D28" s="50"/>
    </row>
    <row r="29" spans="1:4">
      <c r="A29" s="41" t="s">
        <v>277</v>
      </c>
      <c r="B29" s="247">
        <f>B34*'ha_N2O bodem landbouw'!B4</f>
        <v>10.029109303891774</v>
      </c>
      <c r="C29" s="247">
        <f>B29*'GWP N2O_CH4'!B4</f>
        <v>3109.02388420645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2.2886081812998858E-3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4.9734975006066324E-5</v>
      </c>
      <c r="C5" s="463" t="s">
        <v>211</v>
      </c>
      <c r="D5" s="448">
        <f>SUM(D6:D11)</f>
        <v>1.7441205751455349E-4</v>
      </c>
      <c r="E5" s="448">
        <f>SUM(E6:E11)</f>
        <v>2.3245055326694971E-4</v>
      </c>
      <c r="F5" s="461" t="s">
        <v>211</v>
      </c>
      <c r="G5" s="448">
        <f>SUM(G6:G11)</f>
        <v>7.8988986475651807E-2</v>
      </c>
      <c r="H5" s="448">
        <f>SUM(H6:H11)</f>
        <v>1.9658369538024346E-2</v>
      </c>
      <c r="I5" s="463" t="s">
        <v>211</v>
      </c>
      <c r="J5" s="463" t="s">
        <v>211</v>
      </c>
      <c r="K5" s="463" t="s">
        <v>211</v>
      </c>
      <c r="L5" s="463" t="s">
        <v>211</v>
      </c>
      <c r="M5" s="448">
        <f>SUM(M6:M11)</f>
        <v>5.1948671876193694E-3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3.8920860500606005E-5</v>
      </c>
      <c r="C6" s="449"/>
      <c r="D6" s="892">
        <f>vkm_2011_GW_PW*SUMIFS(TableVerdeelsleutelVkm[CNG],TableVerdeelsleutelVkm[Voertuigtype],"Lichte voertuigen")*SUMIFS(TableECFTransport[EnergieConsumptieFactor (PJ per km)],TableECFTransport[Index],CONCATENATE($A6,"_CNG_CNG"))</f>
        <v>1.1674024295982649E-4</v>
      </c>
      <c r="E6" s="892">
        <f>vkm_2011_GW_PW*SUMIFS(TableVerdeelsleutelVkm[LPG],TableVerdeelsleutelVkm[Voertuigtype],"Lichte voertuigen")*SUMIFS(TableECFTransport[EnergieConsumptieFactor (PJ per km)],TableECFTransport[Index],CONCATENATE($A6,"_LPG_LPG"))</f>
        <v>1.5948394079261447E-4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4.1235236231493819E-2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1.3277859360894638E-2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2.8008428507040194E-3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1.7903602037024496E-2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5.4566540978431269E-6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1.0462260997190238E-3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1.081411450546032E-5</v>
      </c>
      <c r="C8" s="449"/>
      <c r="D8" s="451">
        <f>vkm_2011_NGW_PW*SUMIFS(TableVerdeelsleutelVkm[CNG],TableVerdeelsleutelVkm[Voertuigtype],"Lichte voertuigen")*SUMIFS(TableECFTransport[EnergieConsumptieFactor (PJ per km)],TableECFTransport[Index],CONCATENATE($A8,"_CNG_CNG"))</f>
        <v>5.767181455472699E-5</v>
      </c>
      <c r="E8" s="451">
        <f>vkm_2011_NGW_PW*SUMIFS(TableVerdeelsleutelVkm[LPG],TableVerdeelsleutelVkm[Voertuigtype],"Lichte voertuigen")*SUMIFS(TableECFTransport[EnergieConsumptieFactor (PJ per km)],TableECFTransport[Index],CONCATENATE($A8,"_LPG_LPG"))</f>
        <v>7.2966612474335252E-5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1.758094914030801E-2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6.3744024359829107E-3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1.2151950944750925E-3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2.2691990668254744E-3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6.5108704895118277E-7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1.3260314272123388E-4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13.815270835018422</v>
      </c>
      <c r="C14" s="21"/>
      <c r="D14" s="21">
        <f t="shared" ref="D14:M14" si="0">((D5)*10^9/3600)+D12</f>
        <v>48.447793754042635</v>
      </c>
      <c r="E14" s="21">
        <f t="shared" si="0"/>
        <v>64.569598129708254</v>
      </c>
      <c r="F14" s="21"/>
      <c r="G14" s="21">
        <f t="shared" si="0"/>
        <v>21941.385132125499</v>
      </c>
      <c r="H14" s="21">
        <f t="shared" si="0"/>
        <v>5460.6582050067627</v>
      </c>
      <c r="I14" s="21"/>
      <c r="J14" s="21"/>
      <c r="K14" s="21"/>
      <c r="L14" s="21"/>
      <c r="M14" s="21">
        <f t="shared" si="0"/>
        <v>1443.0186632276027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0.20522674353495618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2.8352630445242855</v>
      </c>
      <c r="C18" s="23"/>
      <c r="D18" s="23">
        <f t="shared" ref="D18:M18" si="1">D14*D16</f>
        <v>9.7864543383166129</v>
      </c>
      <c r="E18" s="23">
        <f t="shared" si="1"/>
        <v>14.657298775443774</v>
      </c>
      <c r="F18" s="23"/>
      <c r="G18" s="23">
        <f t="shared" si="1"/>
        <v>5858.3498302775088</v>
      </c>
      <c r="H18" s="23">
        <f t="shared" si="1"/>
        <v>1359.703893046684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1.4373341080508905E-3</v>
      </c>
      <c r="H50" s="321">
        <f t="shared" si="2"/>
        <v>0</v>
      </c>
      <c r="I50" s="321">
        <f t="shared" si="2"/>
        <v>0</v>
      </c>
      <c r="J50" s="321">
        <f t="shared" si="2"/>
        <v>0</v>
      </c>
      <c r="K50" s="321">
        <f t="shared" si="2"/>
        <v>0</v>
      </c>
      <c r="L50" s="321">
        <f t="shared" si="2"/>
        <v>0</v>
      </c>
      <c r="M50" s="321">
        <f t="shared" si="2"/>
        <v>8.1634232116080451E-5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1.4373341080508905E-3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8.1634232116080451E-5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399.25947445858071</v>
      </c>
      <c r="H54" s="21">
        <f t="shared" si="3"/>
        <v>0</v>
      </c>
      <c r="I54" s="21">
        <f t="shared" si="3"/>
        <v>0</v>
      </c>
      <c r="J54" s="21">
        <f t="shared" si="3"/>
        <v>0</v>
      </c>
      <c r="K54" s="21">
        <f t="shared" si="3"/>
        <v>0</v>
      </c>
      <c r="L54" s="21">
        <f t="shared" si="3"/>
        <v>0</v>
      </c>
      <c r="M54" s="21">
        <f t="shared" si="3"/>
        <v>22.676175587800127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0.20522674353495618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106.60227968044106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4612.4453783923418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4612.4453783923418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2019-08-12T08:35:46Z</dcterms:modified>
</cp:coreProperties>
</file>