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K18" i="61" l="1"/>
  <c r="K20" s="1"/>
  <c r="K90" i="14"/>
  <c r="E20" i="61"/>
  <c r="M22" i="14"/>
  <c r="Q14" i="48"/>
  <c r="L78" i="14"/>
  <c r="L8" i="61"/>
  <c r="L10" s="1"/>
  <c r="E90" i="14"/>
  <c r="E18" i="61"/>
  <c r="K78" i="14"/>
  <c r="K8" i="61"/>
  <c r="K10" s="1"/>
  <c r="L90" i="14"/>
  <c r="L18" i="61"/>
  <c r="N20"/>
  <c r="N77" i="14"/>
  <c r="B10" i="18"/>
  <c r="M77" i="14"/>
  <c r="M9" i="61" s="1"/>
  <c r="H9" i="18"/>
  <c r="L20" i="61"/>
  <c r="P31" i="48"/>
  <c r="J22" i="14"/>
  <c r="P22"/>
  <c r="B20" i="18"/>
  <c r="F13" i="15"/>
  <c r="O22" i="14"/>
  <c r="G77"/>
  <c r="G9" i="61" s="1"/>
  <c r="G10" s="1"/>
  <c r="H20"/>
  <c r="P25" i="48"/>
  <c r="I77" i="14"/>
  <c r="I9" i="61" s="1"/>
  <c r="O9" i="18"/>
  <c r="O10" i="61"/>
  <c r="G20"/>
  <c r="Q11" i="48"/>
  <c r="O25"/>
  <c r="B98" i="18"/>
  <c r="B102" s="1"/>
  <c r="C17" s="1"/>
  <c r="L13" i="15"/>
  <c r="B13"/>
  <c r="H90" i="14"/>
  <c r="N13" i="15"/>
  <c r="F77" i="14"/>
  <c r="F9" i="61" s="1"/>
  <c r="I101" i="18"/>
  <c r="H8" s="1"/>
  <c r="E101"/>
  <c r="E8" s="1"/>
  <c r="G101"/>
  <c r="I8" s="1"/>
  <c r="F101"/>
  <c r="H101"/>
  <c r="D101"/>
  <c r="C101"/>
  <c r="B101"/>
  <c r="C8" s="1"/>
  <c r="I102"/>
  <c r="H17" s="1"/>
  <c r="E102"/>
  <c r="E17" s="1"/>
  <c r="C102"/>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N78" i="14"/>
  <c r="N9" i="61"/>
  <c r="N1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G5" i="48" l="1"/>
  <c r="H10" i="14"/>
  <c r="H16" s="1"/>
  <c r="H5" i="48"/>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5"/>
  <c r="I31"/>
  <c r="I27"/>
  <c r="I29"/>
  <c r="I24"/>
  <c r="I28"/>
  <c r="I30"/>
  <c r="I22"/>
  <c r="I32"/>
  <c r="I26"/>
  <c r="D4"/>
  <c r="D22" s="1"/>
  <c r="E11" i="14"/>
  <c r="H29" i="48"/>
  <c r="H32"/>
  <c r="H24"/>
  <c r="H25"/>
  <c r="H22"/>
  <c r="H28"/>
  <c r="H26"/>
  <c r="H30"/>
  <c r="H23"/>
  <c r="C4"/>
  <c r="D11" i="14"/>
  <c r="G23" i="48"/>
  <c r="G30"/>
  <c r="G32"/>
  <c r="G26"/>
  <c r="G29"/>
  <c r="G22"/>
  <c r="G24"/>
  <c r="G25"/>
  <c r="B4"/>
  <c r="C11" i="14"/>
  <c r="F30" i="48"/>
  <c r="F32"/>
  <c r="F24"/>
  <c r="F31"/>
  <c r="F27"/>
  <c r="F28"/>
  <c r="F29"/>
  <c r="N24"/>
  <c r="N31"/>
  <c r="N30"/>
  <c r="N32"/>
  <c r="N28"/>
  <c r="N27"/>
  <c r="N29"/>
  <c r="B10"/>
  <c r="C19" i="14"/>
  <c r="E31" i="48"/>
  <c r="E29"/>
  <c r="E30"/>
  <c r="E28"/>
  <c r="E32"/>
  <c r="E24"/>
  <c r="M29"/>
  <c r="M32"/>
  <c r="M25"/>
  <c r="M22"/>
  <c r="M26"/>
  <c r="M24"/>
  <c r="M30"/>
  <c r="M23"/>
  <c r="L10" i="14"/>
  <c r="L16" s="1"/>
  <c r="L27" s="1"/>
  <c r="K5" i="48"/>
  <c r="D30"/>
  <c r="D28"/>
  <c r="D24"/>
  <c r="D29"/>
  <c r="D31"/>
  <c r="D32"/>
  <c r="L29"/>
  <c r="L32"/>
  <c r="L22"/>
  <c r="L31"/>
  <c r="L30"/>
  <c r="L27"/>
  <c r="L28"/>
  <c r="L24"/>
  <c r="Q10" i="14"/>
  <c r="P5" i="48"/>
  <c r="P23" s="1"/>
  <c r="K32"/>
  <c r="K24"/>
  <c r="K22"/>
  <c r="K30"/>
  <c r="K27"/>
  <c r="K31"/>
  <c r="K25"/>
  <c r="K26"/>
  <c r="K28"/>
  <c r="K29"/>
  <c r="B7"/>
  <c r="C24" i="14"/>
  <c r="C26" s="1"/>
  <c r="J29" i="48"/>
  <c r="J30"/>
  <c r="J32"/>
  <c r="J24"/>
  <c r="J31"/>
  <c r="J27"/>
  <c r="J28"/>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O22"/>
  <c r="K23"/>
  <c r="K15"/>
  <c r="E9"/>
  <c r="E27" s="1"/>
  <c r="F20" i="14"/>
  <c r="F22" s="1"/>
  <c r="Q13"/>
  <c r="P8" i="48"/>
  <c r="P26" s="1"/>
  <c r="D9"/>
  <c r="D27" s="1"/>
  <c r="E20" i="14"/>
  <c r="E22" s="1"/>
  <c r="P10"/>
  <c r="O5" i="48"/>
  <c r="O23" s="1"/>
  <c r="B9"/>
  <c r="C20" i="14"/>
  <c r="C22" s="1"/>
  <c r="J7" i="48"/>
  <c r="J25" s="1"/>
  <c r="K24" i="14"/>
  <c r="K26" s="1"/>
  <c r="G11"/>
  <c r="F4" i="48"/>
  <c r="F22" s="1"/>
  <c r="I5"/>
  <c r="J10" i="14"/>
  <c r="J16" s="1"/>
  <c r="J27" s="1"/>
  <c r="J63" s="1"/>
  <c r="P22" i="48"/>
  <c r="P33" s="1"/>
  <c r="Q16" i="14"/>
  <c r="Q27" s="1"/>
  <c r="K33" i="48"/>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E4" i="48"/>
  <c r="J4"/>
  <c r="K11" i="14"/>
  <c r="O11"/>
  <c r="N4" i="48"/>
  <c r="N22" s="1"/>
  <c r="N19" i="14"/>
  <c r="M10" i="48"/>
  <c r="M28" s="1"/>
  <c r="I23"/>
  <c r="I33" s="1"/>
  <c r="I15"/>
  <c r="H19" i="14"/>
  <c r="G10" i="48"/>
  <c r="E7"/>
  <c r="E25" s="1"/>
  <c r="F24" i="14"/>
  <c r="F26" s="1"/>
  <c r="P13"/>
  <c r="O8" i="48"/>
  <c r="M14" i="22"/>
  <c r="H14"/>
  <c r="I20" i="14" s="1"/>
  <c r="I22" s="1"/>
  <c r="I27" s="1"/>
  <c r="P16"/>
  <c r="P27" s="1"/>
  <c r="Q63"/>
  <c r="P15" i="48"/>
  <c r="H9"/>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E22" i="48"/>
  <c r="Q4"/>
  <c r="J5"/>
  <c r="J23" s="1"/>
  <c r="K10" i="14"/>
  <c r="R19"/>
  <c r="J22" i="48"/>
  <c r="F10" i="14"/>
  <c r="E5" i="48"/>
  <c r="E23" s="1"/>
  <c r="G28"/>
  <c r="Q10"/>
  <c r="O26"/>
  <c r="O33" s="1"/>
  <c r="O15"/>
  <c r="Q7"/>
  <c r="N52" i="14"/>
  <c r="N61" s="1"/>
  <c r="R11"/>
  <c r="M15" i="48"/>
  <c r="M27"/>
  <c r="M33" s="1"/>
  <c r="Q9"/>
  <c r="H15"/>
  <c r="H27"/>
  <c r="H33" s="1"/>
  <c r="N63" i="14"/>
  <c r="R24"/>
  <c r="R26" s="1"/>
  <c r="N18" i="16"/>
  <c r="E20" i="15"/>
  <c r="F40" i="14" s="1"/>
  <c r="F18" i="16"/>
  <c r="J18"/>
  <c r="E18"/>
  <c r="G18" i="22"/>
  <c r="H50" i="14" s="1"/>
  <c r="H52" s="1"/>
  <c r="H61" s="1"/>
  <c r="H18" i="22"/>
  <c r="I50" i="14" s="1"/>
  <c r="I52" s="1"/>
  <c r="I61" s="1"/>
  <c r="I63" s="1"/>
  <c r="J8" i="48" l="1"/>
  <c r="K13" i="14"/>
  <c r="K16" s="1"/>
  <c r="K27" s="1"/>
  <c r="K63" s="1"/>
  <c r="F13"/>
  <c r="F16" s="1"/>
  <c r="F27" s="1"/>
  <c r="F63" s="1"/>
  <c r="E8" i="48"/>
  <c r="G27"/>
  <c r="G33" s="1"/>
  <c r="G15"/>
  <c r="H63" i="14"/>
  <c r="R20"/>
  <c r="R22" s="1"/>
  <c r="N8" i="48"/>
  <c r="N26" s="1"/>
  <c r="O13" i="14"/>
  <c r="F8" i="48"/>
  <c r="G13" i="14"/>
  <c r="E22" i="16"/>
  <c r="F43" i="14" s="1"/>
  <c r="F46" s="1"/>
  <c r="F61" s="1"/>
  <c r="F22" i="16"/>
  <c r="G43" i="14" s="1"/>
  <c r="N22" i="16"/>
  <c r="O43" i="14" s="1"/>
  <c r="J22" i="16"/>
  <c r="K43" i="14" s="1"/>
  <c r="K46" s="1"/>
  <c r="K61" s="1"/>
  <c r="E26" i="48" l="1"/>
  <c r="E33" s="1"/>
  <c r="E15"/>
  <c r="J26"/>
  <c r="J33" s="1"/>
  <c r="J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<sst xmlns="http://schemas.openxmlformats.org/spreadsheetml/2006/main" count="2400" uniqueCount="891">
  <si>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</si>
  <si>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</si>
  <si>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</si>
  <si>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</si>
  <si>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</si>
  <si>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</si>
  <si>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</si>
  <si>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</si>
  <si>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</si>
  <si>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</si>
  <si>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</si>
  <si>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</si>
  <si>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</si>
  <si>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</si>
  <si>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</si>
  <si>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</si>
  <si>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</si>
  <si>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</si>
  <si>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</si>
  <si>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</si>
  <si>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</si>
  <si>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</si>
  <si>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</si>
  <si>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</si>
  <si>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</si>
  <si>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</si>
  <si>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</si>
  <si>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</si>
  <si>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</si>
  <si>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</si>
  <si>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</si>
  <si>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</si>
  <si>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</si>
  <si>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</si>
  <si>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</si>
  <si>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</si>
  <si>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</si>
  <si>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</si>
  <si>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</si>
  <si>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</si>
  <si>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</si>
  <si>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</si>
  <si>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</si>
  <si>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</si>
  <si>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</si>
  <si>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</si>
  <si>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</si>
  <si>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</si>
  <si>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</si>
  <si>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</si>
  <si>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</si>
  <si>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</si>
  <si>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</si>
  <si>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</si>
  <si>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</si>
  <si>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</si>
  <si>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</si>
  <si>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</si>
  <si>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</si>
  <si>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</si>
  <si>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</si>
  <si>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</si>
  <si>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</si>
  <si>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</si>
  <si>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</si>
  <si>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</si>
  <si>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</si>
  <si>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</si>
  <si>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</si>
  <si>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</si>
  <si>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</si>
  <si>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</si>
  <si>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</si>
  <si>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</si>
  <si>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</si>
  <si>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</si>
  <si>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</si>
  <si>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</si>
  <si>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</si>
  <si>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</si>
  <si>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</si>
  <si>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</si>
  <si>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</si>
  <si>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</si>
  <si>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</si>
  <si>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</si>
  <si>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</si>
  <si>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</si>
  <si>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</si>
  <si>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</si>
  <si>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</si>
  <si>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</si>
  <si>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</si>
  <si>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</si>
  <si>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</si>
  <si>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</si>
  <si>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</si>
  <si>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</si>
  <si>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</si>
  <si>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</si>
  <si>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</si>
  <si>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</si>
  <si>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</si>
  <si>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</si>
  <si>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</si>
  <si>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</si>
  <si>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</si>
  <si>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</si>
  <si>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</si>
  <si>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</si>
  <si>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</si>
  <si>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</si>
  <si>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</si>
  <si>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</si>
  <si>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</si>
  <si>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</si>
  <si>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</si>
  <si>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</si>
  <si>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</si>
  <si>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</si>
  <si>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</si>
  <si>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</si>
  <si>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</si>
  <si>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</si>
  <si>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</si>
  <si>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</si>
  <si>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</si>
  <si>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</si>
  <si>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</si>
  <si>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</si>
  <si>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</si>
  <si>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</si>
  <si>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</si>
  <si>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</si>
  <si>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</si>
  <si>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</si>
  <si>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</si>
  <si>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</si>
  <si>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</si>
  <si>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</si>
  <si>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</si>
  <si>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</si>
  <si>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</si>
  <si>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</si>
  <si>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</si>
  <si>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</si>
  <si>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</si>
  <si>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</si>
  <si>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</si>
  <si>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</si>
  <si>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</si>
  <si>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</si>
  <si>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</si>
  <si>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</si>
  <si>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</si>
  <si>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</si>
  <si>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</si>
  <si>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</si>
  <si>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</si>
  <si>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</si>
  <si>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</si>
  <si>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</si>
  <si>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</si>
  <si>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</si>
  <si>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</si>
  <si>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</si>
  <si>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</si>
  <si>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</si>
  <si>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</si>
  <si>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</si>
  <si>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</si>
  <si>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</si>
  <si>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</si>
  <si>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</si>
  <si>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</si>
  <si>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</si>
  <si>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</si>
  <si>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</si>
  <si>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</si>
  <si>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</si>
  <si>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</si>
  <si>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</si>
  <si>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</si>
  <si>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</si>
  <si>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</si>
  <si>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</si>
  <si>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</si>
  <si>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</si>
  <si>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</si>
  <si>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</si>
  <si>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</si>
  <si>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</si>
  <si>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</si>
  <si>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</si>
  <si>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</si>
  <si>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</si>
  <si>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</si>
  <si>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</si>
  <si>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</si>
  <si>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</si>
  <si>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</si>
  <si>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</si>
  <si>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</si>
  <si>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</si>
  <si>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</si>
  <si>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</si>
  <si>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</si>
  <si>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</si>
  <si>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</si>
  <si>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</si>
  <si>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</si>
  <si>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</si>
  <si>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</si>
  <si>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</si>
  <si>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</si>
  <si>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</si>
  <si>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</si>
  <si>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</si>
  <si>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</si>
  <si>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</si>
  <si>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</si>
  <si>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</si>
  <si>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</si>
  <si>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</si>
  <si>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</si>
  <si>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</si>
  <si>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</si>
  <si>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</si>
  <si>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</si>
  <si>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</si>
  <si>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</si>
  <si>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</si>
  <si>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</si>
  <si>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</si>
  <si>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</si>
  <si>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</si>
  <si>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</si>
  <si>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</si>
  <si>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</si>
  <si>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</si>
  <si>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</si>
  <si>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</si>
  <si>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</si>
  <si>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</si>
  <si>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</si>
  <si>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</si>
  <si>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</si>
  <si>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</si>
  <si>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</si>
  <si>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</si>
  <si>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</si>
  <si>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</si>
  <si>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</si>
  <si>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</si>
  <si>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</si>
  <si>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</si>
  <si>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</si>
  <si>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</si>
  <si>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</si>
  <si>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</si>
  <si>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</si>
  <si>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</si>
  <si>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</si>
  <si>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</si>
  <si>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</si>
  <si>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</si>
  <si>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</si>
  <si>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</si>
  <si>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</si>
  <si>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</si>
  <si>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</si>
  <si>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</si>
  <si>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</si>
  <si>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</si>
  <si>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</si>
  <si>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</si>
  <si>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</si>
  <si>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</si>
  <si>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</si>
  <si>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</si>
  <si>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</si>
  <si>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</si>
  <si>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</si>
  <si>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</si>
  <si>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</si>
  <si>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</si>
  <si>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</si>
  <si>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</si>
  <si>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</si>
  <si>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</si>
  <si>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</si>
  <si>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</si>
  <si>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</si>
  <si>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</si>
  <si>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</si>
  <si>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</si>
  <si>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</si>
  <si>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</si>
  <si>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</si>
  <si>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</si>
  <si>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</si>
  <si>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</si>
  <si>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</si>
  <si>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</si>
  <si>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</si>
  <si>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</si>
  <si>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</si>
  <si>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</si>
  <si>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</si>
  <si>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</si>
  <si>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</si>
  <si>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</si>
  <si>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</si>
  <si>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</si>
  <si>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</si>
  <si>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</si>
  <si>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</si>
  <si>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</si>
  <si>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</si>
  <si>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</si>
  <si>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</si>
  <si>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</si>
  <si>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</si>
  <si>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</si>
  <si>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</si>
  <si>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</si>
  <si>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</si>
  <si>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</si>
  <si>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</si>
  <si>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</si>
  <si>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</si>
  <si>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</si>
  <si>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</si>
  <si>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</si>
  <si>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</si>
  <si>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</si>
  <si>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</si>
  <si>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</si>
  <si>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</si>
  <si>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</si>
  <si>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</si>
  <si>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</si>
  <si>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</si>
  <si>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</si>
  <si>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</si>
  <si>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</si>
  <si>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</si>
  <si>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</si>
  <si>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</si>
  <si>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</si>
  <si>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</si>
  <si>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</si>
  <si>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</si>
  <si>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</si>
  <si>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</si>
  <si>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</si>
  <si>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</si>
  <si>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</si>
  <si>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</si>
  <si>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</si>
  <si>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</si>
  <si>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</si>
  <si>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</si>
  <si>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</si>
  <si>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</si>
  <si>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</si>
  <si>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</si>
  <si>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</si>
  <si>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</si>
  <si>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</si>
  <si>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</si>
  <si>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</si>
  <si>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</si>
  <si>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</si>
  <si>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</si>
  <si>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</si>
  <si>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</si>
  <si>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</si>
  <si>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</si>
  <si>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</si>
  <si>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</si>
  <si>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</si>
  <si>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</si>
  <si>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</si>
  <si>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</si>
  <si>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</si>
  <si>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</si>
  <si>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</si>
  <si>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</si>
  <si>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</si>
  <si>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</si>
  <si>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</si>
  <si>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</si>
  <si>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</si>
  <si>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</si>
  <si>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</si>
  <si>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</si>
  <si>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</si>
  <si>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</si>
  <si>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</si>
  <si>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</si>
  <si>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</si>
  <si>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</si>
  <si>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</si>
  <si>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</si>
  <si>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</si>
  <si>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</si>
  <si>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</si>
  <si>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</si>
  <si>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</si>
  <si>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</si>
  <si>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</si>
  <si>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</si>
  <si>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</si>
  <si>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</si>
  <si>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</si>
  <si>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</si>
  <si>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</si>
  <si>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</si>
  <si>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</si>
  <si>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</si>
  <si>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</si>
  <si>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</si>
  <si>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</si>
  <si>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</si>
  <si>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</si>
  <si>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</si>
  <si>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</si>
  <si>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</si>
  <si>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</si>
  <si>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</si>
  <si>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</si>
  <si>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</si>
  <si>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</si>
  <si>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</si>
  <si>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</si>
  <si>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</si>
  <si>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</si>
  <si>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</si>
  <si>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</si>
  <si>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</si>
  <si>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</si>
  <si>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</si>
  <si>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</si>
  <si>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</si>
  <si>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</si>
  <si>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</si>
  <si>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</si>
  <si>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</si>
  <si>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</si>
  <si>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</si>
  <si>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</si>
  <si>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</si>
  <si>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</si>
  <si>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</si>
  <si>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</si>
  <si>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</si>
  <si>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</si>
  <si>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</si>
  <si>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</si>
  <si>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</si>
  <si>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</si>
  <si>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</si>
  <si>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</si>
  <si>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</si>
  <si>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</si>
  <si>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</si>
  <si>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</si>
  <si>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</si>
  <si>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</si>
  <si>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</si>
  <si>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</si>
  <si>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</si>
  <si>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</si>
  <si>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</si>
  <si>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</si>
  <si>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</si>
  <si>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</si>
  <si>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</si>
  <si>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</si>
  <si>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</si>
  <si>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</si>
  <si>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</si>
  <si>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</si>
  <si>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</si>
  <si>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</si>
  <si>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</si>
  <si>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</si>
  <si>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</si>
  <si>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</si>
  <si>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</si>
  <si>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</si>
  <si>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</si>
  <si>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</si>
  <si>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</si>
  <si>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</si>
  <si>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</si>
  <si>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</si>
  <si>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</si>
  <si>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</si>
  <si>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</si>
  <si>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</si>
  <si>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</si>
  <si>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</si>
  <si>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</si>
  <si>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</si>
  <si>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</si>
  <si>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</si>
  <si>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</si>
  <si>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</si>
  <si>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</si>
  <si>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</si>
  <si>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</si>
  <si>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</si>
  <si>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</si>
  <si>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</si>
  <si>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</si>
  <si>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</si>
  <si>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</si>
  <si>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</si>
  <si>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</si>
  <si>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</si>
  <si>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</si>
  <si>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</si>
  <si>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</si>
  <si>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</si>
  <si>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</si>
  <si>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</si>
  <si>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</si>
  <si>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</si>
  <si>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</si>
  <si>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</si>
  <si>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</si>
  <si>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</si>
  <si>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</si>
  <si>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</si>
  <si>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</si>
  <si>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</si>
  <si>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</si>
  <si>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</si>
  <si>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</si>
  <si>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</si>
  <si>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</si>
  <si>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</si>
  <si>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</si>
  <si>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</si>
  <si>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</si>
  <si>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</si>
  <si>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</si>
  <si>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</si>
  <si>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</si>
  <si>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</si>
  <si>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</si>
  <si>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</si>
  <si>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</si>
  <si>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</si>
  <si>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</si>
  <si>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</si>
  <si>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</si>
  <si>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</si>
  <si>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</si>
  <si>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</si>
  <si>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</si>
  <si>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</si>
  <si>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</si>
  <si>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</si>
  <si>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</si>
  <si>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</si>
  <si>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</si>
  <si>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</si>
  <si>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</si>
  <si>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</si>
  <si>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</si>
  <si>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</si>
  <si>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</si>
  <si>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</si>
  <si>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</si>
  <si>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</si>
  <si>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</si>
  <si>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</si>
  <si>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</si>
  <si>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</si>
  <si>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</si>
  <si>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</si>
  <si>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</si>
  <si>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</si>
  <si>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</si>
  <si>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</si>
  <si>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</si>
  <si>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</si>
  <si>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</si>
  <si>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</si>
  <si>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</si>
  <si>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</si>
  <si>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</si>
  <si>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</si>
  <si>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</si>
  <si>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</si>
  <si>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</si>
  <si>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</si>
  <si>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</si>
  <si>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</si>
  <si>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</si>
  <si>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</si>
  <si>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</si>
  <si>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</si>
  <si>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</si>
  <si>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</si>
  <si>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</si>
  <si>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</si>
  <si>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</si>
  <si>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</si>
  <si>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</si>
  <si>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</si>
  <si>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</si>
  <si>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</si>
  <si>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</si>
  <si>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</si>
  <si>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</si>
  <si>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</si>
  <si>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</si>
  <si>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</si>
  <si>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</si>
  <si>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</si>
  <si>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</si>
  <si>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</si>
  <si>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</si>
  <si>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</si>
  <si>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</si>
  <si>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</si>
  <si>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</si>
  <si>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</si>
  <si>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</si>
  <si>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</si>
  <si>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</si>
  <si>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</si>
  <si>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</si>
  <si>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</si>
  <si>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</si>
  <si>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</si>
  <si>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</si>
  <si>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</si>
  <si>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</si>
  <si>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</si>
  <si>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</si>
  <si>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</si>
  <si>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</si>
  <si>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</si>
  <si>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</si>
  <si>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</si>
  <si>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</si>
  <si>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</si>
  <si>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</si>
  <si>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</si>
  <si>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</si>
  <si>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</si>
  <si>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</si>
  <si>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</si>
  <si>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</si>
  <si>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</si>
  <si>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</si>
  <si>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</si>
  <si>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</si>
  <si>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</si>
  <si>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</si>
  <si>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</si>
  <si>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</si>
  <si>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</si>
  <si>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</si>
  <si>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</si>
  <si>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</si>
  <si>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</si>
  <si>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</si>
  <si>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</si>
  <si>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</si>
  <si>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</si>
  <si>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</si>
  <si>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</si>
  <si>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</si>
  <si>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</si>
  <si>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</si>
  <si>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</si>
  <si>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</si>
  <si>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</si>
  <si>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</si>
  <si>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</si>
  <si>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</si>
  <si>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</si>
  <si>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</si>
  <si>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</si>
  <si>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</si>
  <si>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</si>
  <si>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</si>
  <si>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</si>
  <si>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</si>
  <si>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</si>
  <si>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</si>
  <si>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</si>
  <si>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</si>
  <si>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</si>
  <si>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</si>
  <si>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</si>
  <si>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</si>
  <si>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</si>
  <si>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</si>
  <si>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</si>
  <si>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</si>
  <si>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</si>
  <si>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</si>
  <si>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</si>
  <si>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</si>
  <si>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</si>
  <si>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</si>
  <si>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</si>
  <si>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</si>
  <si>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</si>
  <si>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</si>
  <si>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</si>
  <si>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</si>
  <si>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</si>
  <si>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</si>
  <si>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</si>
  <si>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</si>
  <si>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</si>
  <si>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</si>
  <si>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</si>
  <si>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</si>
  <si>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</si>
  <si>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</si>
  <si>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</si>
  <si>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</si>
  <si>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</si>
  <si>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</si>
  <si>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</si>
  <si>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</si>
  <si>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</si>
  <si>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</si>
  <si>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</si>
  <si>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</si>
  <si>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</si>
  <si>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</si>
  <si>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</si>
  <si>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</si>
  <si>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</si>
  <si>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</si>
  <si>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</si>
  <si>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</si>
  <si>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</si>
  <si>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</si>
  <si>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</si>
  <si>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</si>
  <si>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</si>
  <si>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</si>
  <si>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</si>
  <si>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</si>
  <si>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</si>
  <si>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</si>
  <si>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</si>
  <si>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</si>
  <si>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</si>
  <si>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</si>
  <si>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</si>
  <si>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</si>
  <si>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</si>
  <si>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</si>
  <si>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</si>
  <si>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</si>
  <si>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</si>
  <si>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</si>
  <si>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</si>
  <si>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</si>
  <si>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</si>
  <si>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</si>
  <si>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</si>
  <si>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</si>
  <si>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</si>
  <si>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</si>
  <si>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</si>
  <si>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</si>
  <si>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</si>
  <si>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</si>
  <si>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</si>
  <si>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</si>
  <si>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</si>
  <si>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</si>
  <si>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</si>
  <si>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</si>
  <si>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</si>
  <si>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</si>
  <si>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</si>
  <si>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</si>
  <si>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</si>
  <si>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</si>
  <si>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</si>
  <si>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</si>
  <si>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</si>
  <si>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</si>
  <si>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</si>
  <si>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</si>
  <si>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</si>
  <si>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</si>
  <si>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</si>
  <si>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</si>
  <si>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</si>
  <si>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</si>
  <si>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</si>
  <si>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</si>
  <si>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</si>
  <si>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</si>
  <si>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</si>
  <si>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</si>
  <si>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</si>
  <si>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</si>
  <si>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</si>
  <si>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</si>
  <si>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</si>
  <si>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</si>
  <si>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</si>
  <si>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</si>
  <si>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</si>
  <si>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</si>
  <si>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</si>
  <si>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</si>
  <si>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</si>
  <si>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</si>
  <si>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</si>
  <si>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</si>
  <si>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</si>
  <si>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</si>
  <si>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</si>
  <si>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</si>
  <si>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</si>
  <si>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</si>
  <si>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</si>
  <si>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</si>
  <si>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</si>
  <si>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</si>
  <si>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</si>
  <si>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</si>
  <si>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</si>
  <si>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</si>
  <si>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</si>
  <si>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</si>
  <si>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</si>
  <si>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</si>
  <si>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</si>
  <si>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</si>
  <si>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</si>
  <si>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</si>
  <si>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</si>
  <si>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</si>
  <si>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</si>
  <si>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</si>
  <si>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</si>
  <si>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</si>
  <si>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</si>
  <si>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</si>
  <si>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</si>
  <si>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</si>
  <si>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</si>
  <si>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</si>
  <si>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</si>
  <si>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</si>
  <si>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</si>
  <si>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</si>
  <si>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</si>
  <si>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</si>
  <si>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</si>
  <si>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</si>
  <si>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</si>
  <si>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</si>
  <si>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</si>
  <si>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</si>
  <si>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73083</t>
  </si>
  <si>
    <t>TONGEREN</t>
  </si>
  <si>
    <t>Eandis (januari 2018); Infrax (juni 2018)</t>
  </si>
  <si>
    <t>MOW (september 2017)</t>
  </si>
  <si>
    <t>referentietaak LNE (2017); Jaarverslag De Lijn (2016)</t>
  </si>
  <si>
    <t>VEA (april 2018)</t>
  </si>
  <si>
    <t>VEA (januari 2017)</t>
  </si>
  <si>
    <t>VEA (juni 2018)</t>
  </si>
  <si>
    <t>Biopower Tongeren NV</t>
  </si>
  <si>
    <t>Michielenweg 1 a, 3700 Tongeren</t>
  </si>
  <si>
    <t>WKK-0460 Biopower Tongeren</t>
  </si>
  <si>
    <t>interne verbrandingsmotor</t>
  </si>
  <si>
    <t>WKK interne verbrandinsgmotor (gas)</t>
  </si>
  <si>
    <t>Inter-Energa</t>
  </si>
  <si>
    <t>AZ Vesalius</t>
  </si>
  <si>
    <t>WKK-0637 AZ Vesalius</t>
  </si>
  <si>
    <t>Hazelereik 51, 3700 Tongeren, BE</t>
  </si>
  <si>
    <t>Inter-energa (via INFRAX)</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</si>
</sst>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281691.19623329956</c:v>
                </c:pt>
                <c:pt idx="1">
                  <c:v>131704.1699431102</c:v>
                </c:pt>
                <c:pt idx="2">
                  <c:v>2038.8230000000001</c:v>
                </c:pt>
                <c:pt idx="3">
                  <c:v>31209.286563754595</c:v>
                </c:pt>
                <c:pt idx="4">
                  <c:v>54704.820818869834</c:v>
                </c:pt>
                <c:pt idx="5">
                  <c:v>187688.02350310353</c:v>
                </c:pt>
                <c:pt idx="6">
                  <c:v>5116.579969945321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72288"/>
        <c:axId val="75773824"/>
      </c:barChart>
      <c:catAx>
        <c:axId val="75772288"/>
        <c:scaling>
          <c:orientation val="minMax"/>
        </c:scaling>
        <c:axPos val="b"/>
        <c:numFmt formatCode="General" sourceLinked="0"/>
        <c:tickLblPos val="nextTo"/>
        <c:crossAx val="75773824"/>
        <c:crosses val="autoZero"/>
        <c:auto val="1"/>
        <c:lblAlgn val="ctr"/>
        <c:lblOffset val="100"/>
      </c:catAx>
      <c:valAx>
        <c:axId val="75773824"/>
        <c:scaling>
          <c:orientation val="minMax"/>
        </c:scaling>
        <c:axPos val="l"/>
        <c:majorGridlines>
          <c:spPr>
            <a:ln>
              <a:noFill/>
            </a:ln>
          </c:spPr>
        </c:majorGridlines>
        <c:numFmt formatCode="#,##0" sourceLinked="1"/>
        <c:tickLblPos val="nextTo"/>
        <c:crossAx val="757722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281691.19623329956</c:v>
                </c:pt>
                <c:pt idx="1">
                  <c:v>131704.1699431102</c:v>
                </c:pt>
                <c:pt idx="2">
                  <c:v>2038.8230000000001</c:v>
                </c:pt>
                <c:pt idx="3">
                  <c:v>31209.286563754595</c:v>
                </c:pt>
                <c:pt idx="4">
                  <c:v>54704.820818869834</c:v>
                </c:pt>
                <c:pt idx="5">
                  <c:v>187688.02350310353</c:v>
                </c:pt>
                <c:pt idx="6">
                  <c:v>5116.579969945321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55740.581787870025</c:v>
                </c:pt>
                <c:pt idx="2">
                  <c:v>24125.250721617984</c:v>
                </c:pt>
                <c:pt idx="3">
                  <c:v>354.19187089302216</c:v>
                </c:pt>
                <c:pt idx="4">
                  <c:v>3749.4922134714134</c:v>
                </c:pt>
                <c:pt idx="5">
                  <c:v>10354.987652093832</c:v>
                </c:pt>
                <c:pt idx="6">
                  <c:v>46957.792298248183</c:v>
                </c:pt>
                <c:pt idx="7">
                  <c:v>1292.7068118171503</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65792"/>
        <c:axId val="156467584"/>
      </c:barChart>
      <c:catAx>
        <c:axId val="156465792"/>
        <c:scaling>
          <c:orientation val="minMax"/>
        </c:scaling>
        <c:axPos val="b"/>
        <c:numFmt formatCode="General" sourceLinked="0"/>
        <c:tickLblPos val="nextTo"/>
        <c:crossAx val="156467584"/>
        <c:crosses val="autoZero"/>
        <c:auto val="1"/>
        <c:lblAlgn val="ctr"/>
        <c:lblOffset val="100"/>
      </c:catAx>
      <c:valAx>
        <c:axId val="156467584"/>
        <c:scaling>
          <c:orientation val="minMax"/>
        </c:scaling>
        <c:axPos val="l"/>
        <c:majorGridlines>
          <c:spPr>
            <a:ln>
              <a:noFill/>
            </a:ln>
          </c:spPr>
        </c:majorGridlines>
        <c:numFmt formatCode="#,##0" sourceLinked="1"/>
        <c:tickLblPos val="nextTo"/>
        <c:crossAx val="156465792"/>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55740.581787870025</c:v>
                </c:pt>
                <c:pt idx="2">
                  <c:v>24125.250721617984</c:v>
                </c:pt>
                <c:pt idx="3">
                  <c:v>354.19187089302216</c:v>
                </c:pt>
                <c:pt idx="4">
                  <c:v>3749.4922134714134</c:v>
                </c:pt>
                <c:pt idx="5">
                  <c:v>10354.987652093832</c:v>
                </c:pt>
                <c:pt idx="6">
                  <c:v>46957.792298248183</c:v>
                </c:pt>
                <c:pt idx="7">
                  <c:v>1292.7068118171503</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73083</v>
      </c>
      <c r="B6" s="415"/>
      <c r="C6" s="416"/>
    </row>
    <row r="7" spans="1:7" s="413" customFormat="1" ht="15.75" customHeight="1">
      <c r="A7" s="417" t="str">
        <f>txtMunicipality</f>
        <v>TONGEREN</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0.17372369788501607</v>
      </c>
      <c r="C17" s="524">
        <f ca="1">'EF ele_warmte'!B22</f>
        <v>2.810241350830504E-2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0.17372369788501607</v>
      </c>
      <c r="C29" s="525">
        <f ca="1">'EF ele_warmte'!B22</f>
        <v>2.810241350830504E-2</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73083</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13256</v>
      </c>
      <c r="C9" s="342">
        <v>13327</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5748.01</v>
      </c>
    </row>
    <row r="15" spans="1:6">
      <c r="A15" s="348" t="s">
        <v>184</v>
      </c>
      <c r="B15" s="334">
        <v>13</v>
      </c>
    </row>
    <row r="16" spans="1:6">
      <c r="A16" s="348" t="s">
        <v>6</v>
      </c>
      <c r="B16" s="334">
        <v>492</v>
      </c>
    </row>
    <row r="17" spans="1:6">
      <c r="A17" s="348" t="s">
        <v>7</v>
      </c>
      <c r="B17" s="334">
        <v>1155</v>
      </c>
    </row>
    <row r="18" spans="1:6">
      <c r="A18" s="348" t="s">
        <v>8</v>
      </c>
      <c r="B18" s="334">
        <v>1331</v>
      </c>
    </row>
    <row r="19" spans="1:6">
      <c r="A19" s="348" t="s">
        <v>9</v>
      </c>
      <c r="B19" s="334">
        <v>1080</v>
      </c>
    </row>
    <row r="20" spans="1:6">
      <c r="A20" s="348" t="s">
        <v>10</v>
      </c>
      <c r="B20" s="334">
        <v>699</v>
      </c>
    </row>
    <row r="21" spans="1:6">
      <c r="A21" s="348" t="s">
        <v>11</v>
      </c>
      <c r="B21" s="334">
        <v>5173</v>
      </c>
    </row>
    <row r="22" spans="1:6">
      <c r="A22" s="348" t="s">
        <v>12</v>
      </c>
      <c r="B22" s="334">
        <v>14600</v>
      </c>
    </row>
    <row r="23" spans="1:6">
      <c r="A23" s="348" t="s">
        <v>13</v>
      </c>
      <c r="B23" s="334">
        <v>166</v>
      </c>
    </row>
    <row r="24" spans="1:6">
      <c r="A24" s="348" t="s">
        <v>14</v>
      </c>
      <c r="B24" s="334">
        <v>9</v>
      </c>
    </row>
    <row r="25" spans="1:6">
      <c r="A25" s="348" t="s">
        <v>15</v>
      </c>
      <c r="B25" s="334">
        <v>1153</v>
      </c>
    </row>
    <row r="26" spans="1:6">
      <c r="A26" s="348" t="s">
        <v>16</v>
      </c>
      <c r="B26" s="334">
        <v>125</v>
      </c>
    </row>
    <row r="27" spans="1:6">
      <c r="A27" s="348" t="s">
        <v>17</v>
      </c>
      <c r="B27" s="334">
        <v>0</v>
      </c>
    </row>
    <row r="28" spans="1:6" s="356" customFormat="1">
      <c r="A28" s="355" t="s">
        <v>18</v>
      </c>
      <c r="B28" s="355">
        <v>145517</v>
      </c>
    </row>
    <row r="29" spans="1:6">
      <c r="A29" s="355" t="s">
        <v>744</v>
      </c>
      <c r="B29" s="355">
        <v>71</v>
      </c>
      <c r="C29" s="356"/>
      <c r="D29" s="356"/>
      <c r="E29" s="356"/>
      <c r="F29" s="356"/>
    </row>
    <row r="30" spans="1:6">
      <c r="A30" s="341" t="s">
        <v>745</v>
      </c>
      <c r="B30" s="341">
        <v>22</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13</v>
      </c>
      <c r="F36" s="334">
        <v>366727</v>
      </c>
    </row>
    <row r="37" spans="1:6">
      <c r="A37" s="348" t="s">
        <v>25</v>
      </c>
      <c r="B37" s="348" t="s">
        <v>28</v>
      </c>
      <c r="C37" s="334">
        <v>0</v>
      </c>
      <c r="D37" s="334">
        <v>0</v>
      </c>
      <c r="E37" s="334">
        <v>0</v>
      </c>
      <c r="F37" s="334">
        <v>0</v>
      </c>
    </row>
    <row r="38" spans="1:6">
      <c r="A38" s="348" t="s">
        <v>25</v>
      </c>
      <c r="B38" s="348" t="s">
        <v>29</v>
      </c>
      <c r="C38" s="334">
        <v>1</v>
      </c>
      <c r="D38" s="334">
        <v>291047</v>
      </c>
      <c r="E38" s="334">
        <v>2</v>
      </c>
      <c r="F38" s="334">
        <v>29676</v>
      </c>
    </row>
    <row r="39" spans="1:6">
      <c r="A39" s="348" t="s">
        <v>30</v>
      </c>
      <c r="B39" s="348" t="s">
        <v>31</v>
      </c>
      <c r="C39" s="334">
        <v>7470</v>
      </c>
      <c r="D39" s="334">
        <v>114292623.692</v>
      </c>
      <c r="E39" s="334">
        <v>13346</v>
      </c>
      <c r="F39" s="334">
        <v>42877272.629000001</v>
      </c>
    </row>
    <row r="40" spans="1:6">
      <c r="A40" s="348" t="s">
        <v>30</v>
      </c>
      <c r="B40" s="348" t="s">
        <v>29</v>
      </c>
      <c r="C40" s="334">
        <v>0</v>
      </c>
      <c r="D40" s="334">
        <v>0</v>
      </c>
      <c r="E40" s="334">
        <v>0</v>
      </c>
      <c r="F40" s="334">
        <v>0</v>
      </c>
    </row>
    <row r="41" spans="1:6">
      <c r="A41" s="348" t="s">
        <v>32</v>
      </c>
      <c r="B41" s="348" t="s">
        <v>33</v>
      </c>
      <c r="C41" s="334">
        <v>133</v>
      </c>
      <c r="D41" s="334">
        <v>4906874.4939999999</v>
      </c>
      <c r="E41" s="334">
        <v>264</v>
      </c>
      <c r="F41" s="334">
        <v>11220112.808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13</v>
      </c>
      <c r="D44" s="334">
        <v>9199214.7630000003</v>
      </c>
      <c r="E44" s="334">
        <v>47</v>
      </c>
      <c r="F44" s="334">
        <v>6671605.6770000001</v>
      </c>
    </row>
    <row r="45" spans="1:6">
      <c r="A45" s="348" t="s">
        <v>32</v>
      </c>
      <c r="B45" s="348" t="s">
        <v>37</v>
      </c>
      <c r="C45" s="334">
        <v>3</v>
      </c>
      <c r="D45" s="334">
        <v>161340</v>
      </c>
      <c r="E45" s="334">
        <v>7</v>
      </c>
      <c r="F45" s="334">
        <v>430668.69</v>
      </c>
    </row>
    <row r="46" spans="1:6">
      <c r="A46" s="348" t="s">
        <v>32</v>
      </c>
      <c r="B46" s="348" t="s">
        <v>38</v>
      </c>
      <c r="C46" s="334">
        <v>0</v>
      </c>
      <c r="D46" s="334">
        <v>0</v>
      </c>
      <c r="E46" s="334">
        <v>4</v>
      </c>
      <c r="F46" s="334">
        <v>30363</v>
      </c>
    </row>
    <row r="47" spans="1:6">
      <c r="A47" s="348" t="s">
        <v>32</v>
      </c>
      <c r="B47" s="348" t="s">
        <v>39</v>
      </c>
      <c r="C47" s="334">
        <v>4</v>
      </c>
      <c r="D47" s="334">
        <v>123457</v>
      </c>
      <c r="E47" s="334">
        <v>5</v>
      </c>
      <c r="F47" s="334">
        <v>37934</v>
      </c>
    </row>
    <row r="48" spans="1:6">
      <c r="A48" s="348" t="s">
        <v>32</v>
      </c>
      <c r="B48" s="348" t="s">
        <v>29</v>
      </c>
      <c r="C48" s="334">
        <v>3</v>
      </c>
      <c r="D48" s="334">
        <v>106942</v>
      </c>
      <c r="E48" s="334">
        <v>3</v>
      </c>
      <c r="F48" s="334">
        <v>28074</v>
      </c>
    </row>
    <row r="49" spans="1:6">
      <c r="A49" s="348" t="s">
        <v>32</v>
      </c>
      <c r="B49" s="348" t="s">
        <v>40</v>
      </c>
      <c r="C49" s="334">
        <v>3</v>
      </c>
      <c r="D49" s="334">
        <v>405583</v>
      </c>
      <c r="E49" s="334">
        <v>6</v>
      </c>
      <c r="F49" s="334">
        <v>166999.06899999999</v>
      </c>
    </row>
    <row r="50" spans="1:6">
      <c r="A50" s="348" t="s">
        <v>32</v>
      </c>
      <c r="B50" s="348" t="s">
        <v>41</v>
      </c>
      <c r="C50" s="334">
        <v>10</v>
      </c>
      <c r="D50" s="334">
        <v>3383631.8110000002</v>
      </c>
      <c r="E50" s="334">
        <v>25</v>
      </c>
      <c r="F50" s="334">
        <v>2128945.5499999998</v>
      </c>
    </row>
    <row r="51" spans="1:6">
      <c r="A51" s="348" t="s">
        <v>42</v>
      </c>
      <c r="B51" s="348" t="s">
        <v>43</v>
      </c>
      <c r="C51" s="334">
        <v>24</v>
      </c>
      <c r="D51" s="334">
        <v>968823</v>
      </c>
      <c r="E51" s="334">
        <v>176</v>
      </c>
      <c r="F51" s="334">
        <v>2278608.5520000001</v>
      </c>
    </row>
    <row r="52" spans="1:6">
      <c r="A52" s="348" t="s">
        <v>42</v>
      </c>
      <c r="B52" s="348" t="s">
        <v>29</v>
      </c>
      <c r="C52" s="334">
        <v>0</v>
      </c>
      <c r="D52" s="334">
        <v>0</v>
      </c>
      <c r="E52" s="334">
        <v>0</v>
      </c>
      <c r="F52" s="334">
        <v>0</v>
      </c>
    </row>
    <row r="53" spans="1:6">
      <c r="A53" s="348" t="s">
        <v>44</v>
      </c>
      <c r="B53" s="348" t="s">
        <v>45</v>
      </c>
      <c r="C53" s="334">
        <v>166</v>
      </c>
      <c r="D53" s="334">
        <v>12326863.853</v>
      </c>
      <c r="E53" s="334">
        <v>301</v>
      </c>
      <c r="F53" s="334">
        <v>1364405.446</v>
      </c>
    </row>
    <row r="54" spans="1:6">
      <c r="A54" s="348" t="s">
        <v>46</v>
      </c>
      <c r="B54" s="348" t="s">
        <v>47</v>
      </c>
      <c r="C54" s="334">
        <v>0</v>
      </c>
      <c r="D54" s="334">
        <v>0</v>
      </c>
      <c r="E54" s="334">
        <v>3</v>
      </c>
      <c r="F54" s="334">
        <v>2038823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91</v>
      </c>
      <c r="D57" s="334">
        <v>5138524.3679999998</v>
      </c>
      <c r="E57" s="334">
        <v>208</v>
      </c>
      <c r="F57" s="334">
        <v>6321091.2520000003</v>
      </c>
    </row>
    <row r="58" spans="1:6">
      <c r="A58" s="348" t="s">
        <v>49</v>
      </c>
      <c r="B58" s="348" t="s">
        <v>51</v>
      </c>
      <c r="C58" s="334">
        <v>71</v>
      </c>
      <c r="D58" s="334">
        <v>15540561.060000001</v>
      </c>
      <c r="E58" s="334">
        <v>118</v>
      </c>
      <c r="F58" s="334">
        <v>5766461.4040000001</v>
      </c>
    </row>
    <row r="59" spans="1:6">
      <c r="A59" s="348" t="s">
        <v>49</v>
      </c>
      <c r="B59" s="348" t="s">
        <v>52</v>
      </c>
      <c r="C59" s="334">
        <v>259</v>
      </c>
      <c r="D59" s="334">
        <v>17080393.987</v>
      </c>
      <c r="E59" s="334">
        <v>505</v>
      </c>
      <c r="F59" s="334">
        <v>17937028.153999999</v>
      </c>
    </row>
    <row r="60" spans="1:6">
      <c r="A60" s="348" t="s">
        <v>49</v>
      </c>
      <c r="B60" s="348" t="s">
        <v>53</v>
      </c>
      <c r="C60" s="334">
        <v>119</v>
      </c>
      <c r="D60" s="334">
        <v>5852729.7000000002</v>
      </c>
      <c r="E60" s="334">
        <v>164</v>
      </c>
      <c r="F60" s="334">
        <v>5283690.8640000001</v>
      </c>
    </row>
    <row r="61" spans="1:6">
      <c r="A61" s="348" t="s">
        <v>49</v>
      </c>
      <c r="B61" s="348" t="s">
        <v>54</v>
      </c>
      <c r="C61" s="334">
        <v>338</v>
      </c>
      <c r="D61" s="334">
        <v>18820217.260000002</v>
      </c>
      <c r="E61" s="334">
        <v>753</v>
      </c>
      <c r="F61" s="334">
        <v>15607686.802999999</v>
      </c>
    </row>
    <row r="62" spans="1:6">
      <c r="A62" s="348" t="s">
        <v>49</v>
      </c>
      <c r="B62" s="348" t="s">
        <v>55</v>
      </c>
      <c r="C62" s="334">
        <v>29</v>
      </c>
      <c r="D62" s="334">
        <v>7933421.2130000005</v>
      </c>
      <c r="E62" s="334">
        <v>39</v>
      </c>
      <c r="F62" s="334">
        <v>2296362.577</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8248</v>
      </c>
      <c r="E65" s="334">
        <v>1</v>
      </c>
      <c r="F65" s="334">
        <v>1485</v>
      </c>
    </row>
    <row r="66" spans="1:6">
      <c r="A66" s="348" t="s">
        <v>56</v>
      </c>
      <c r="B66" s="348" t="s">
        <v>58</v>
      </c>
      <c r="C66" s="334">
        <v>3</v>
      </c>
      <c r="D66" s="334">
        <v>659502</v>
      </c>
      <c r="E66" s="334">
        <v>32</v>
      </c>
      <c r="F66" s="334">
        <v>450394.179</v>
      </c>
    </row>
    <row r="67" spans="1:6">
      <c r="A67" s="355" t="s">
        <v>56</v>
      </c>
      <c r="B67" s="355" t="s">
        <v>59</v>
      </c>
      <c r="C67" s="334">
        <v>0</v>
      </c>
      <c r="D67" s="334">
        <v>0</v>
      </c>
      <c r="E67" s="334">
        <v>0</v>
      </c>
      <c r="F67" s="334">
        <v>0</v>
      </c>
    </row>
    <row r="68" spans="1:6">
      <c r="A68" s="341" t="s">
        <v>56</v>
      </c>
      <c r="B68" s="341" t="s">
        <v>60</v>
      </c>
      <c r="C68" s="334">
        <v>10</v>
      </c>
      <c r="D68" s="334">
        <v>2643309</v>
      </c>
      <c r="E68" s="334">
        <v>20</v>
      </c>
      <c r="F68" s="334">
        <v>578042</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172575705</v>
      </c>
      <c r="E73" s="475">
        <v>163722688.327299</v>
      </c>
    </row>
    <row r="74" spans="1:6">
      <c r="A74" s="348" t="s">
        <v>64</v>
      </c>
      <c r="B74" s="348" t="s">
        <v>657</v>
      </c>
      <c r="C74" s="1295" t="s">
        <v>659</v>
      </c>
      <c r="D74" s="475">
        <v>13450322</v>
      </c>
      <c r="E74" s="475">
        <v>13044559.921803383</v>
      </c>
    </row>
    <row r="75" spans="1:6">
      <c r="A75" s="348" t="s">
        <v>65</v>
      </c>
      <c r="B75" s="348" t="s">
        <v>656</v>
      </c>
      <c r="C75" s="1295" t="s">
        <v>660</v>
      </c>
      <c r="D75" s="475">
        <v>40231133</v>
      </c>
      <c r="E75" s="475">
        <v>37863168.629733533</v>
      </c>
    </row>
    <row r="76" spans="1:6">
      <c r="A76" s="348" t="s">
        <v>65</v>
      </c>
      <c r="B76" s="348" t="s">
        <v>657</v>
      </c>
      <c r="C76" s="1295" t="s">
        <v>661</v>
      </c>
      <c r="D76" s="475">
        <v>1539207</v>
      </c>
      <c r="E76" s="475">
        <v>1415035.6286223915</v>
      </c>
    </row>
    <row r="77" spans="1:6">
      <c r="A77" s="348" t="s">
        <v>66</v>
      </c>
      <c r="B77" s="348" t="s">
        <v>656</v>
      </c>
      <c r="C77" s="1295" t="s">
        <v>662</v>
      </c>
      <c r="D77" s="475">
        <v>5844143</v>
      </c>
      <c r="E77" s="475">
        <v>5947846.2423654459</v>
      </c>
    </row>
    <row r="78" spans="1:6">
      <c r="A78" s="341" t="s">
        <v>66</v>
      </c>
      <c r="B78" s="341" t="s">
        <v>657</v>
      </c>
      <c r="C78" s="341" t="s">
        <v>663</v>
      </c>
      <c r="D78" s="1296">
        <v>1389223</v>
      </c>
      <c r="E78" s="1296">
        <v>1229886.8693468955</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1387702</v>
      </c>
      <c r="C83" s="475">
        <v>1418993.3546056566</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17.590620040955631</v>
      </c>
    </row>
    <row r="90" spans="1:6">
      <c r="A90" s="348" t="s">
        <v>549</v>
      </c>
      <c r="B90" s="1297">
        <v>0</v>
      </c>
    </row>
    <row r="91" spans="1:6">
      <c r="A91" s="348" t="s">
        <v>68</v>
      </c>
      <c r="B91" s="334">
        <v>5865.3128883359468</v>
      </c>
    </row>
    <row r="92" spans="1:6">
      <c r="A92" s="341" t="s">
        <v>69</v>
      </c>
      <c r="B92" s="342">
        <v>9368.7374923901643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4164</v>
      </c>
    </row>
    <row r="98" spans="1:6">
      <c r="A98" s="348" t="s">
        <v>72</v>
      </c>
      <c r="B98" s="334">
        <v>7</v>
      </c>
    </row>
    <row r="99" spans="1:6">
      <c r="A99" s="348" t="s">
        <v>73</v>
      </c>
      <c r="B99" s="334">
        <v>116</v>
      </c>
    </row>
    <row r="100" spans="1:6">
      <c r="A100" s="348" t="s">
        <v>74</v>
      </c>
      <c r="B100" s="334">
        <v>384</v>
      </c>
    </row>
    <row r="101" spans="1:6">
      <c r="A101" s="348" t="s">
        <v>75</v>
      </c>
      <c r="B101" s="334">
        <v>107</v>
      </c>
    </row>
    <row r="102" spans="1:6">
      <c r="A102" s="348" t="s">
        <v>76</v>
      </c>
      <c r="B102" s="334">
        <v>176</v>
      </c>
    </row>
    <row r="103" spans="1:6">
      <c r="A103" s="348" t="s">
        <v>77</v>
      </c>
      <c r="B103" s="334">
        <v>455</v>
      </c>
    </row>
    <row r="104" spans="1:6">
      <c r="A104" s="348" t="s">
        <v>78</v>
      </c>
      <c r="B104" s="334">
        <v>6268</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1</v>
      </c>
      <c r="C122" s="334">
        <v>0</v>
      </c>
    </row>
    <row r="123" spans="1:6">
      <c r="A123" s="348" t="s">
        <v>88</v>
      </c>
      <c r="B123" s="334">
        <v>21</v>
      </c>
      <c r="C123" s="334">
        <v>81</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183</v>
      </c>
    </row>
    <row r="130" spans="1:6">
      <c r="A130" s="348" t="s">
        <v>295</v>
      </c>
      <c r="B130" s="334">
        <v>1</v>
      </c>
    </row>
    <row r="131" spans="1:6">
      <c r="A131" s="348" t="s">
        <v>296</v>
      </c>
      <c r="B131" s="334">
        <v>4</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130142.96438375498</v>
      </c>
      <c r="C3" s="43" t="s">
        <v>170</v>
      </c>
      <c r="D3" s="43"/>
      <c r="E3" s="154"/>
      <c r="F3" s="43"/>
      <c r="G3" s="43"/>
      <c r="H3" s="43"/>
      <c r="I3" s="43"/>
      <c r="J3" s="43"/>
      <c r="K3" s="96"/>
    </row>
    <row r="4" spans="1:11">
      <c r="A4" s="383" t="s">
        <v>171</v>
      </c>
      <c r="B4" s="49">
        <f>IF(ISERROR('SEAP template'!B78+'SEAP template'!C78),0,'SEAP template'!B78+'SEAP template'!C78)</f>
        <v>29674.141000767067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405.30705882352942</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0.17372369788501607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579.01008403361357</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20603.571428571431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2.810241350830504E-2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2038.8230000000001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2038.8230000000001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0.17372369788501607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354.19187089302216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42877.272628999999</v>
      </c>
      <c r="C5" s="17">
        <f>IF(ISERROR('Eigen informatie GS &amp; warmtenet'!B57),0,'Eigen informatie GS &amp; warmtenet'!B57)</f>
        <v>0</v>
      </c>
      <c r="D5" s="30">
        <f>(SUM(HH_hh_gas_kWh,HH_rest_gas_kWh)/1000)*0.902</f>
        <v>103091.94657018401</v>
      </c>
      <c r="E5" s="17">
        <f>B46*B57</f>
        <v>9411.7485559687593</v>
      </c>
      <c r="F5" s="17">
        <f>B51*B62</f>
        <v>85239.772595782299</v>
      </c>
      <c r="G5" s="18"/>
      <c r="H5" s="17"/>
      <c r="I5" s="17"/>
      <c r="J5" s="17">
        <f>B50*B61+C50*C61</f>
        <v>4386.3846747622665</v>
      </c>
      <c r="K5" s="17"/>
      <c r="L5" s="17"/>
      <c r="M5" s="17"/>
      <c r="N5" s="17">
        <f>B48*B59+C48*C59</f>
        <v>29586.171652599711</v>
      </c>
      <c r="O5" s="17">
        <f>B69*B70*B71</f>
        <v>412.71999999999997</v>
      </c>
      <c r="P5" s="17">
        <f>B77*B78*B79/1000-B77*B78*B79/1000/B80</f>
        <v>819.86666666666667</v>
      </c>
    </row>
    <row r="6" spans="1:16">
      <c r="A6" s="16" t="s">
        <v>621</v>
      </c>
      <c r="B6" s="788">
        <f>kWh_PV_kleiner_dan_10kW</f>
        <v>5865.3128883359468</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48742.585517335945</v>
      </c>
      <c r="C8" s="21">
        <f>C5</f>
        <v>0</v>
      </c>
      <c r="D8" s="21">
        <f>D5</f>
        <v>103091.94657018401</v>
      </c>
      <c r="E8" s="21">
        <f>E5</f>
        <v>9411.7485559687593</v>
      </c>
      <c r="F8" s="21">
        <f>F5</f>
        <v>85239.772595782299</v>
      </c>
      <c r="G8" s="21"/>
      <c r="H8" s="21"/>
      <c r="I8" s="21"/>
      <c r="J8" s="21">
        <f>J5</f>
        <v>4386.3846747622665</v>
      </c>
      <c r="K8" s="21"/>
      <c r="L8" s="21">
        <f>L5</f>
        <v>0</v>
      </c>
      <c r="M8" s="21">
        <f>M5</f>
        <v>0</v>
      </c>
      <c r="N8" s="21">
        <f>N5</f>
        <v>29586.171652599711</v>
      </c>
      <c r="O8" s="21">
        <f>O5</f>
        <v>412.71999999999997</v>
      </c>
      <c r="P8" s="21">
        <f>P5</f>
        <v>819.86666666666667</v>
      </c>
    </row>
    <row r="9" spans="1:16">
      <c r="B9" s="19"/>
      <c r="C9" s="19"/>
      <c r="D9" s="258"/>
      <c r="E9" s="19"/>
      <c r="F9" s="19"/>
      <c r="G9" s="19"/>
      <c r="H9" s="19"/>
      <c r="I9" s="19"/>
      <c r="J9" s="19"/>
      <c r="K9" s="19"/>
      <c r="L9" s="19"/>
      <c r="M9" s="19"/>
      <c r="N9" s="19"/>
      <c r="O9" s="19"/>
      <c r="P9" s="19"/>
    </row>
    <row r="10" spans="1:16">
      <c r="A10" s="24" t="s">
        <v>214</v>
      </c>
      <c r="B10" s="25">
        <f ca="1">'EF ele_warmte'!B12</f>
        <v>0.17372369788501607</v>
      </c>
      <c r="C10" s="25">
        <f ca="1">'EF ele_warmte'!B22</f>
        <v>2.810241350830504E-2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8467.7422005482294</v>
      </c>
      <c r="C12" s="23">
        <f ca="1">C10*C8</f>
        <v>0</v>
      </c>
      <c r="D12" s="23">
        <f>D8*D10</f>
        <v>20824.573207177171</v>
      </c>
      <c r="E12" s="23">
        <f>E10*E8</f>
        <v>2136.4669222049083</v>
      </c>
      <c r="F12" s="23">
        <f>F10*F8</f>
        <v>22759.019283073874</v>
      </c>
      <c r="G12" s="23"/>
      <c r="H12" s="23"/>
      <c r="I12" s="23"/>
      <c r="J12" s="23">
        <f>J10*J8</f>
        <v>1552.7801748658424</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4164</v>
      </c>
      <c r="C18" s="166" t="s">
        <v>111</v>
      </c>
      <c r="D18" s="228"/>
      <c r="E18" s="15"/>
    </row>
    <row r="19" spans="1:7">
      <c r="A19" s="171" t="s">
        <v>72</v>
      </c>
      <c r="B19" s="37">
        <f>aantalw2001_ander</f>
        <v>7</v>
      </c>
      <c r="C19" s="166" t="s">
        <v>111</v>
      </c>
      <c r="D19" s="229"/>
      <c r="E19" s="15"/>
    </row>
    <row r="20" spans="1:7">
      <c r="A20" s="171" t="s">
        <v>73</v>
      </c>
      <c r="B20" s="37">
        <f>aantalw2001_propaan</f>
        <v>116</v>
      </c>
      <c r="C20" s="167">
        <f>IF(ISERROR(B20/SUM($B$20,$B$21,$B$22)*100),0,B20/SUM($B$20,$B$21,$B$22)*100)</f>
        <v>19.110378912685338</v>
      </c>
      <c r="D20" s="229"/>
      <c r="E20" s="15"/>
    </row>
    <row r="21" spans="1:7">
      <c r="A21" s="171" t="s">
        <v>74</v>
      </c>
      <c r="B21" s="37">
        <f>aantalw2001_elektriciteit</f>
        <v>384</v>
      </c>
      <c r="C21" s="167">
        <f>IF(ISERROR(B21/SUM($B$20,$B$21,$B$22)*100),0,B21/SUM($B$20,$B$21,$B$22)*100)</f>
        <v>63.261943986820427</v>
      </c>
      <c r="D21" s="229"/>
      <c r="E21" s="15"/>
    </row>
    <row r="22" spans="1:7">
      <c r="A22" s="171" t="s">
        <v>75</v>
      </c>
      <c r="B22" s="37">
        <f>aantalw2001_hout</f>
        <v>107</v>
      </c>
      <c r="C22" s="167">
        <f>IF(ISERROR(B22/SUM($B$20,$B$21,$B$22)*100),0,B22/SUM($B$20,$B$21,$B$22)*100)</f>
        <v>17.627677100494235</v>
      </c>
      <c r="D22" s="229"/>
      <c r="E22" s="15"/>
    </row>
    <row r="23" spans="1:7">
      <c r="A23" s="171" t="s">
        <v>76</v>
      </c>
      <c r="B23" s="37">
        <f>aantalw2001_niet_gespec</f>
        <v>176</v>
      </c>
      <c r="C23" s="166" t="s">
        <v>111</v>
      </c>
      <c r="D23" s="228"/>
      <c r="E23" s="15"/>
    </row>
    <row r="24" spans="1:7">
      <c r="A24" s="171" t="s">
        <v>77</v>
      </c>
      <c r="B24" s="37">
        <f>aantalw2001_steenkool</f>
        <v>455</v>
      </c>
      <c r="C24" s="166" t="s">
        <v>111</v>
      </c>
      <c r="D24" s="229"/>
      <c r="E24" s="15"/>
    </row>
    <row r="25" spans="1:7">
      <c r="A25" s="171" t="s">
        <v>78</v>
      </c>
      <c r="B25" s="37">
        <f>aantalw2001_stookolie</f>
        <v>6268</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793</v>
      </c>
      <c r="B28" s="37">
        <f>aantalHuishoudens2011</f>
        <v>13256</v>
      </c>
      <c r="C28" s="36"/>
      <c r="D28" s="228"/>
    </row>
    <row r="29" spans="1:7" s="15" customFormat="1">
      <c r="A29" s="230" t="s">
        <v>794</v>
      </c>
      <c r="B29" s="37">
        <f>SUM(HH_hh_gas_aantal,HH_rest_gas_aantal)</f>
        <v>7470</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7470</v>
      </c>
      <c r="C32" s="167">
        <f>IF(ISERROR(B32/SUM($B$32,$B$34,$B$35,$B$36,$B$38,$B$39)*100),0,B32/SUM($B$32,$B$34,$B$35,$B$36,$B$38,$B$39)*100)</f>
        <v>56.535230454855068</v>
      </c>
      <c r="D32" s="233"/>
      <c r="G32" s="15"/>
    </row>
    <row r="33" spans="1:7">
      <c r="A33" s="171" t="s">
        <v>72</v>
      </c>
      <c r="B33" s="34" t="s">
        <v>111</v>
      </c>
      <c r="C33" s="167"/>
      <c r="D33" s="233"/>
      <c r="G33" s="15"/>
    </row>
    <row r="34" spans="1:7">
      <c r="A34" s="171" t="s">
        <v>73</v>
      </c>
      <c r="B34" s="33">
        <f>IF((($B$28-$B$32-$B$39-$B$77-$B$38)*C20/100)&lt;0,0,($B$28-$B$32-$B$39-$B$77-$B$38)*C20/100)</f>
        <v>444.50741350906094</v>
      </c>
      <c r="C34" s="167">
        <f>IF(ISERROR(B34/SUM($B$32,$B$34,$B$35,$B$36,$B$38,$B$39)*100),0,B34/SUM($B$32,$B$34,$B$35,$B$36,$B$38,$B$39)*100)</f>
        <v>3.3641672103917428</v>
      </c>
      <c r="D34" s="233"/>
      <c r="G34" s="15"/>
    </row>
    <row r="35" spans="1:7">
      <c r="A35" s="171" t="s">
        <v>74</v>
      </c>
      <c r="B35" s="33">
        <f>IF((($B$28-$B$32-$B$39-$B$77-$B$38)*C21/100)&lt;0,0,($B$28-$B$32-$B$39-$B$77-$B$38)*C21/100)</f>
        <v>1471.472817133443</v>
      </c>
      <c r="C35" s="167">
        <f>IF(ISERROR(B35/SUM($B$32,$B$34,$B$35,$B$36,$B$38,$B$39)*100),0,B35/SUM($B$32,$B$34,$B$35,$B$36,$B$38,$B$39)*100)</f>
        <v>11.136553524055422</v>
      </c>
      <c r="D35" s="233"/>
      <c r="G35" s="15"/>
    </row>
    <row r="36" spans="1:7">
      <c r="A36" s="171" t="s">
        <v>75</v>
      </c>
      <c r="B36" s="33">
        <f>IF((($B$28-$B$32-$B$39-$B$77-$B$38)*C22/100)&lt;0,0,($B$28-$B$32-$B$39-$B$77-$B$38)*C22/100)</f>
        <v>410.01976935749587</v>
      </c>
      <c r="C36" s="167">
        <f>IF(ISERROR(B36/SUM($B$32,$B$34,$B$35,$B$36,$B$38,$B$39)*100),0,B36/SUM($B$32,$B$34,$B$35,$B$36,$B$38,$B$39)*100)</f>
        <v>3.1031542371716938</v>
      </c>
      <c r="D36" s="233"/>
      <c r="G36" s="15"/>
    </row>
    <row r="37" spans="1:7">
      <c r="A37" s="171" t="s">
        <v>76</v>
      </c>
      <c r="B37" s="34" t="s">
        <v>111</v>
      </c>
      <c r="C37" s="167"/>
      <c r="D37" s="173"/>
      <c r="G37" s="15"/>
    </row>
    <row r="38" spans="1:7">
      <c r="A38" s="171" t="s">
        <v>77</v>
      </c>
      <c r="B38" s="33">
        <f>IF((B24-(B29-B18)*0.1)&lt;0,0,B24-(B29-B18)*0.1)</f>
        <v>124.39999999999998</v>
      </c>
      <c r="C38" s="167">
        <f>IF(ISERROR(B38/SUM($B$32,$B$34,$B$35,$B$36,$B$38,$B$39)*100),0,B38/SUM($B$32,$B$34,$B$35,$B$36,$B$38,$B$39)*100)</f>
        <v>0.94149701051994239</v>
      </c>
      <c r="D38" s="234"/>
      <c r="G38" s="15"/>
    </row>
    <row r="39" spans="1:7">
      <c r="A39" s="171" t="s">
        <v>78</v>
      </c>
      <c r="B39" s="33">
        <f>IF((B25-(B29-B18))&lt;0,0,B25-(B29-B18)*0.9)</f>
        <v>3292.6</v>
      </c>
      <c r="C39" s="167">
        <f>IF(ISERROR(B39/SUM($B$32,$B$34,$B$35,$B$36,$B$38,$B$39)*100),0,B39/SUM($B$32,$B$34,$B$35,$B$36,$B$38,$B$39)*100)</f>
        <v>24.919397563006129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7470</v>
      </c>
      <c r="C44" s="34" t="s">
        <v>111</v>
      </c>
      <c r="D44" s="174"/>
    </row>
    <row r="45" spans="1:7">
      <c r="A45" s="171" t="s">
        <v>72</v>
      </c>
      <c r="B45" s="33" t="str">
        <f t="shared" si="0"/>
        <v>-</v>
      </c>
      <c r="C45" s="34" t="s">
        <v>111</v>
      </c>
      <c r="D45" s="174"/>
    </row>
    <row r="46" spans="1:7">
      <c r="A46" s="171" t="s">
        <v>73</v>
      </c>
      <c r="B46" s="33">
        <f t="shared" si="0"/>
        <v>444.50741350906094</v>
      </c>
      <c r="C46" s="34" t="s">
        <v>111</v>
      </c>
      <c r="D46" s="174"/>
    </row>
    <row r="47" spans="1:7">
      <c r="A47" s="171" t="s">
        <v>74</v>
      </c>
      <c r="B47" s="33">
        <f t="shared" si="0"/>
        <v>1471.472817133443</v>
      </c>
      <c r="C47" s="34" t="s">
        <v>111</v>
      </c>
      <c r="D47" s="174"/>
    </row>
    <row r="48" spans="1:7">
      <c r="A48" s="171" t="s">
        <v>75</v>
      </c>
      <c r="B48" s="33">
        <f t="shared" si="0"/>
        <v>410.01976935749587</v>
      </c>
      <c r="C48" s="33">
        <f>B48*10</f>
        <v>4100.197693574959</v>
      </c>
      <c r="D48" s="234"/>
    </row>
    <row r="49" spans="1:6">
      <c r="A49" s="171" t="s">
        <v>76</v>
      </c>
      <c r="B49" s="33" t="str">
        <f t="shared" si="0"/>
        <v>-</v>
      </c>
      <c r="C49" s="34" t="s">
        <v>111</v>
      </c>
      <c r="D49" s="234"/>
    </row>
    <row r="50" spans="1:6">
      <c r="A50" s="171" t="s">
        <v>77</v>
      </c>
      <c r="B50" s="33">
        <f t="shared" si="0"/>
        <v>124.39999999999998</v>
      </c>
      <c r="C50" s="33">
        <f>B50*2</f>
        <v>248.79999999999995</v>
      </c>
      <c r="D50" s="234"/>
    </row>
    <row r="51" spans="1:6">
      <c r="A51" s="171" t="s">
        <v>78</v>
      </c>
      <c r="B51" s="33">
        <f t="shared" si="0"/>
        <v>3292.6</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264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53212.321054</v>
      </c>
      <c r="C5" s="17">
        <f>IF(ISERROR('Eigen informatie GS &amp; warmtenet'!B58),0,'Eigen informatie GS &amp; warmtenet'!B58)</f>
        <v>0</v>
      </c>
      <c r="D5" s="30">
        <f>SUM(D6:D12)</f>
        <v>63469.994524376008</v>
      </c>
      <c r="E5" s="17">
        <f>SUM(E6:E12)</f>
        <v>768.87716107325787</v>
      </c>
      <c r="F5" s="17">
        <f>SUM(F6:F12)</f>
        <v>9382.2052716752878</v>
      </c>
      <c r="G5" s="18"/>
      <c r="H5" s="17"/>
      <c r="I5" s="17"/>
      <c r="J5" s="17">
        <f>SUM(J6:J12)</f>
        <v>0.13720611308738115</v>
      </c>
      <c r="K5" s="17"/>
      <c r="L5" s="17"/>
      <c r="M5" s="17"/>
      <c r="N5" s="17">
        <f>SUM(N6:N12)</f>
        <v>5504.6666306344769</v>
      </c>
      <c r="O5" s="17">
        <f>B38*B39*B40</f>
        <v>1.5633333333333335</v>
      </c>
      <c r="P5" s="17">
        <f>B46*B47*B48/1000-B46*B47*B48/1000/B49</f>
        <v>95.333333333333343</v>
      </c>
      <c r="R5" s="32"/>
    </row>
    <row r="6" spans="1:18">
      <c r="A6" s="32" t="s">
        <v>54</v>
      </c>
      <c r="B6" s="37">
        <f>B26</f>
        <v>15607.686802999999</v>
      </c>
      <c r="C6" s="33"/>
      <c r="D6" s="37">
        <f>IF(ISERROR(TER_kantoor_gas_kWh/1000),0,TER_kantoor_gas_kWh/1000)*0.902</f>
        <v>16975.835968520001</v>
      </c>
      <c r="E6" s="33">
        <f>$C$26*'E Balans VL '!I12/100/3.6*1000000</f>
        <v>9.7823789845898207E-2</v>
      </c>
      <c r="F6" s="33">
        <f>$C$26*('E Balans VL '!L12+'E Balans VL '!N12)/100/3.6*1000000</f>
        <v>2345.3992061271838</v>
      </c>
      <c r="G6" s="34"/>
      <c r="H6" s="33"/>
      <c r="I6" s="33"/>
      <c r="J6" s="33">
        <f>$C$26*('E Balans VL '!D12+'E Balans VL '!E12)/100/3.6*1000000</f>
        <v>0</v>
      </c>
      <c r="K6" s="33"/>
      <c r="L6" s="33"/>
      <c r="M6" s="33"/>
      <c r="N6" s="33">
        <f>$C$26*'E Balans VL '!Y12/100/3.6*1000000</f>
        <v>14.92643833354269</v>
      </c>
      <c r="O6" s="33"/>
      <c r="P6" s="33"/>
      <c r="R6" s="32"/>
    </row>
    <row r="7" spans="1:18">
      <c r="A7" s="32" t="s">
        <v>53</v>
      </c>
      <c r="B7" s="37">
        <f t="shared" ref="B7:B12" si="0">B27</f>
        <v>5283.6908640000001</v>
      </c>
      <c r="C7" s="33"/>
      <c r="D7" s="37">
        <f>IF(ISERROR(TER_horeca_gas_kWh/1000),0,TER_horeca_gas_kWh/1000)*0.902</f>
        <v>5279.1621894</v>
      </c>
      <c r="E7" s="33">
        <f>$C$27*'E Balans VL '!I9/100/3.6*1000000</f>
        <v>75.661573077590504</v>
      </c>
      <c r="F7" s="33">
        <f>$C$27*('E Balans VL '!L9+'E Balans VL '!N9)/100/3.6*1000000</f>
        <v>669.08952622072104</v>
      </c>
      <c r="G7" s="34"/>
      <c r="H7" s="33"/>
      <c r="I7" s="33"/>
      <c r="J7" s="33">
        <f>$C$27*('E Balans VL '!D9+'E Balans VL '!E9)/100/3.6*1000000</f>
        <v>0</v>
      </c>
      <c r="K7" s="33"/>
      <c r="L7" s="33"/>
      <c r="M7" s="33"/>
      <c r="N7" s="33">
        <f>$C$27*'E Balans VL '!Y9/100/3.6*1000000</f>
        <v>1.5189446280163732</v>
      </c>
      <c r="O7" s="33"/>
      <c r="P7" s="33"/>
      <c r="R7" s="32"/>
    </row>
    <row r="8" spans="1:18">
      <c r="A8" s="6" t="s">
        <v>52</v>
      </c>
      <c r="B8" s="37">
        <f t="shared" si="0"/>
        <v>17937.028154</v>
      </c>
      <c r="C8" s="33"/>
      <c r="D8" s="37">
        <f>IF(ISERROR(TER_handel_gas_kWh/1000),0,TER_handel_gas_kWh/1000)*0.902</f>
        <v>15406.515376273999</v>
      </c>
      <c r="E8" s="33">
        <f>$C$28*'E Balans VL '!I13/100/3.6*1000000</f>
        <v>650.57379925036423</v>
      </c>
      <c r="F8" s="33">
        <f>$C$28*('E Balans VL '!L13+'E Balans VL '!N13)/100/3.6*1000000</f>
        <v>3454.8532464177492</v>
      </c>
      <c r="G8" s="34"/>
      <c r="H8" s="33"/>
      <c r="I8" s="33"/>
      <c r="J8" s="33">
        <f>$C$28*('E Balans VL '!D13+'E Balans VL '!E13)/100/3.6*1000000</f>
        <v>0</v>
      </c>
      <c r="K8" s="33"/>
      <c r="L8" s="33"/>
      <c r="M8" s="33"/>
      <c r="N8" s="33">
        <f>$C$28*'E Balans VL '!Y13/100/3.6*1000000</f>
        <v>24.84691111940392</v>
      </c>
      <c r="O8" s="33"/>
      <c r="P8" s="33"/>
      <c r="R8" s="32"/>
    </row>
    <row r="9" spans="1:18">
      <c r="A9" s="32" t="s">
        <v>51</v>
      </c>
      <c r="B9" s="37">
        <f t="shared" si="0"/>
        <v>5766.4614039999997</v>
      </c>
      <c r="C9" s="33"/>
      <c r="D9" s="37">
        <f>IF(ISERROR(TER_gezond_gas_kWh/1000),0,TER_gezond_gas_kWh/1000)*0.902</f>
        <v>14017.58607612</v>
      </c>
      <c r="E9" s="33">
        <f>$C$29*'E Balans VL '!I10/100/3.6*1000000</f>
        <v>0.36103741741112927</v>
      </c>
      <c r="F9" s="33">
        <f>$C$29*('E Balans VL '!L10+'E Balans VL '!N10)/100/3.6*1000000</f>
        <v>856.62539876711548</v>
      </c>
      <c r="G9" s="34"/>
      <c r="H9" s="33"/>
      <c r="I9" s="33"/>
      <c r="J9" s="33">
        <f>$C$29*('E Balans VL '!D10+'E Balans VL '!E10)/100/3.6*1000000</f>
        <v>0</v>
      </c>
      <c r="K9" s="33"/>
      <c r="L9" s="33"/>
      <c r="M9" s="33"/>
      <c r="N9" s="33">
        <f>$C$29*'E Balans VL '!Y10/100/3.6*1000000</f>
        <v>89.19618141303495</v>
      </c>
      <c r="O9" s="33"/>
      <c r="P9" s="33"/>
      <c r="R9" s="32"/>
    </row>
    <row r="10" spans="1:18">
      <c r="A10" s="32" t="s">
        <v>50</v>
      </c>
      <c r="B10" s="37">
        <f t="shared" si="0"/>
        <v>6321.0912520000002</v>
      </c>
      <c r="C10" s="33"/>
      <c r="D10" s="37">
        <f>IF(ISERROR(TER_ander_gas_kWh/1000),0,TER_ander_gas_kWh/1000)*0.902</f>
        <v>4634.9489799359999</v>
      </c>
      <c r="E10" s="33">
        <f>$C$30*'E Balans VL '!I14/100/3.6*1000000</f>
        <v>7.5345148947492691</v>
      </c>
      <c r="F10" s="33">
        <f>$C$30*('E Balans VL '!L14+'E Balans VL '!N14)/100/3.6*1000000</f>
        <v>1653.8784851685696</v>
      </c>
      <c r="G10" s="34"/>
      <c r="H10" s="33"/>
      <c r="I10" s="33"/>
      <c r="J10" s="33">
        <f>$C$30*('E Balans VL '!D14+'E Balans VL '!E14)/100/3.6*1000000</f>
        <v>0.13720611308738115</v>
      </c>
      <c r="K10" s="33"/>
      <c r="L10" s="33"/>
      <c r="M10" s="33"/>
      <c r="N10" s="33">
        <f>$C$30*'E Balans VL '!Y14/100/3.6*1000000</f>
        <v>5367.7160162726695</v>
      </c>
      <c r="O10" s="33"/>
      <c r="P10" s="33"/>
      <c r="R10" s="32"/>
    </row>
    <row r="11" spans="1:18">
      <c r="A11" s="32" t="s">
        <v>55</v>
      </c>
      <c r="B11" s="37">
        <f t="shared" si="0"/>
        <v>2296.3625769999999</v>
      </c>
      <c r="C11" s="33"/>
      <c r="D11" s="37">
        <f>IF(ISERROR(TER_onderwijs_gas_kWh/1000),0,TER_onderwijs_gas_kWh/1000)*0.902</f>
        <v>7155.9459341260008</v>
      </c>
      <c r="E11" s="33">
        <f>$C$31*'E Balans VL '!I11/100/3.6*1000000</f>
        <v>34.648412643296844</v>
      </c>
      <c r="F11" s="33">
        <f>$C$31*('E Balans VL '!L11+'E Balans VL '!N11)/100/3.6*1000000</f>
        <v>402.3594089739484</v>
      </c>
      <c r="G11" s="34"/>
      <c r="H11" s="33"/>
      <c r="I11" s="33"/>
      <c r="J11" s="33">
        <f>$C$31*('E Balans VL '!D11+'E Balans VL '!E11)/100/3.6*1000000</f>
        <v>0</v>
      </c>
      <c r="K11" s="33"/>
      <c r="L11" s="33"/>
      <c r="M11" s="33"/>
      <c r="N11" s="33">
        <f>$C$31*'E Balans VL '!Y11/100/3.6*1000000</f>
        <v>6.4621388678092879</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1705.5</v>
      </c>
      <c r="C13" s="247">
        <f ca="1">'lokale energieproductie'!O91+'lokale energieproductie'!O60</f>
        <v>2436.4285714285716</v>
      </c>
      <c r="D13" s="310">
        <f ca="1">('lokale energieproductie'!P60+'lokale energieproductie'!P91)*(-1)</f>
        <v>-4872.8571428571431</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54917.821054</v>
      </c>
      <c r="C16" s="21">
        <f t="shared" ca="1" si="1"/>
        <v>2436.4285714285716</v>
      </c>
      <c r="D16" s="21">
        <f t="shared" ca="1" si="1"/>
        <v>58597.137381518864</v>
      </c>
      <c r="E16" s="21">
        <f t="shared" si="1"/>
        <v>768.87716107325787</v>
      </c>
      <c r="F16" s="21">
        <f t="shared" ca="1" si="1"/>
        <v>9382.2052716752878</v>
      </c>
      <c r="G16" s="21">
        <f t="shared" si="1"/>
        <v>0</v>
      </c>
      <c r="H16" s="21">
        <f t="shared" si="1"/>
        <v>0</v>
      </c>
      <c r="I16" s="21">
        <f t="shared" si="1"/>
        <v>0</v>
      </c>
      <c r="J16" s="21">
        <f t="shared" si="1"/>
        <v>0.13720611308738115</v>
      </c>
      <c r="K16" s="21">
        <f t="shared" si="1"/>
        <v>0</v>
      </c>
      <c r="L16" s="21">
        <f t="shared" ca="1" si="1"/>
        <v>0</v>
      </c>
      <c r="M16" s="21">
        <f t="shared" si="1"/>
        <v>0</v>
      </c>
      <c r="N16" s="21">
        <f t="shared" ca="1" si="1"/>
        <v>5504.6666306344769</v>
      </c>
      <c r="O16" s="21">
        <f>O5</f>
        <v>1.5633333333333335</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0.17372369788501607</v>
      </c>
      <c r="C18" s="25">
        <f ca="1">'EF ele_warmte'!B22</f>
        <v>2.810241350830504E-2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9540.5269532884704</v>
      </c>
      <c r="C20" s="23">
        <f t="shared" ref="C20:P20" ca="1" si="2">C16*C18</f>
        <v>68.469523197734645</v>
      </c>
      <c r="D20" s="23">
        <f t="shared" ca="1" si="2"/>
        <v>11836.621751066812</v>
      </c>
      <c r="E20" s="23">
        <f t="shared" si="2"/>
        <v>174.53511556362955</v>
      </c>
      <c r="F20" s="23">
        <f t="shared" ca="1" si="2"/>
        <v>2505.0488075373019</v>
      </c>
      <c r="G20" s="23">
        <f t="shared" si="2"/>
        <v>0</v>
      </c>
      <c r="H20" s="23">
        <f t="shared" si="2"/>
        <v>0</v>
      </c>
      <c r="I20" s="23">
        <f t="shared" si="2"/>
        <v>0</v>
      </c>
      <c r="J20" s="23">
        <f t="shared" si="2"/>
        <v>4.8570964032932921E-2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15607.686802999999</v>
      </c>
      <c r="C26" s="39">
        <f>IF(ISERROR(B26*3.6/1000000/'E Balans VL '!Z12*100),0,B26*3.6/1000000/'E Balans VL '!Z12*100)</f>
        <v>0.3299217744423949</v>
      </c>
      <c r="D26" s="237" t="s">
        <v>754</v>
      </c>
      <c r="F26" s="6"/>
    </row>
    <row r="27" spans="1:18">
      <c r="A27" s="231" t="s">
        <v>53</v>
      </c>
      <c r="B27" s="33">
        <f>IF(ISERROR(TER_horeca_ele_kWh/1000),0,TER_horeca_ele_kWh/1000)</f>
        <v>5283.6908640000001</v>
      </c>
      <c r="C27" s="39">
        <f>IF(ISERROR(B27*3.6/1000000/'E Balans VL '!Z9*100),0,B27*3.6/1000000/'E Balans VL '!Z9*100)</f>
        <v>0.4165113814769969</v>
      </c>
      <c r="D27" s="237" t="s">
        <v>754</v>
      </c>
      <c r="F27" s="6"/>
    </row>
    <row r="28" spans="1:18">
      <c r="A28" s="171" t="s">
        <v>52</v>
      </c>
      <c r="B28" s="33">
        <f>IF(ISERROR(TER_handel_ele_kWh/1000),0,TER_handel_ele_kWh/1000)</f>
        <v>17937.028154</v>
      </c>
      <c r="C28" s="39">
        <f>IF(ISERROR(B28*3.6/1000000/'E Balans VL '!Z13*100),0,B28*3.6/1000000/'E Balans VL '!Z13*100)</f>
        <v>0.52060503074394426</v>
      </c>
      <c r="D28" s="237" t="s">
        <v>754</v>
      </c>
      <c r="F28" s="6"/>
    </row>
    <row r="29" spans="1:18">
      <c r="A29" s="231" t="s">
        <v>51</v>
      </c>
      <c r="B29" s="33">
        <f>IF(ISERROR(TER_gezond_ele_kWh/1000),0,TER_gezond_ele_kWh/1000)</f>
        <v>5766.4614039999997</v>
      </c>
      <c r="C29" s="39">
        <f>IF(ISERROR(B29*3.6/1000000/'E Balans VL '!Z10*100),0,B29*3.6/1000000/'E Balans VL '!Z10*100)</f>
        <v>0.60730307363684544</v>
      </c>
      <c r="D29" s="237" t="s">
        <v>754</v>
      </c>
      <c r="F29" s="6"/>
    </row>
    <row r="30" spans="1:18">
      <c r="A30" s="231" t="s">
        <v>50</v>
      </c>
      <c r="B30" s="33">
        <f>IF(ISERROR(TER_ander_ele_kWh/1000),0,TER_ander_ele_kWh/1000)</f>
        <v>6321.0912520000002</v>
      </c>
      <c r="C30" s="39">
        <f>IF(ISERROR(B30*3.6/1000000/'E Balans VL '!Z14*100),0,B30*3.6/1000000/'E Balans VL '!Z14*100)</f>
        <v>0.46624506368171054</v>
      </c>
      <c r="D30" s="237" t="s">
        <v>754</v>
      </c>
      <c r="F30" s="6"/>
    </row>
    <row r="31" spans="1:18">
      <c r="A31" s="231" t="s">
        <v>55</v>
      </c>
      <c r="B31" s="33">
        <f>IF(ISERROR(TER_onderwijs_ele_kWh/1000),0,TER_onderwijs_ele_kWh/1000)</f>
        <v>2296.3625769999999</v>
      </c>
      <c r="C31" s="39">
        <f>IF(ISERROR(B31*3.6/1000000/'E Balans VL '!Z11*100),0,B31*3.6/1000000/'E Balans VL '!Z11*100)</f>
        <v>0.57029439582710517</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5</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20714.702794000004</v>
      </c>
      <c r="C5" s="17">
        <f>IF(ISERROR('Eigen informatie GS &amp; warmtenet'!B59),0,'Eigen informatie GS &amp; warmtenet'!B59)</f>
        <v>0</v>
      </c>
      <c r="D5" s="30">
        <f>SUM(D6:D15)</f>
        <v>16494.912847336</v>
      </c>
      <c r="E5" s="17">
        <f>SUM(E6:E15)</f>
        <v>3360.5646283466335</v>
      </c>
      <c r="F5" s="17">
        <f>SUM(F6:F15)</f>
        <v>9955.6806712077141</v>
      </c>
      <c r="G5" s="18"/>
      <c r="H5" s="17"/>
      <c r="I5" s="17"/>
      <c r="J5" s="17">
        <f>SUM(J6:J15)</f>
        <v>9.507280005818064</v>
      </c>
      <c r="K5" s="17"/>
      <c r="L5" s="17"/>
      <c r="M5" s="17"/>
      <c r="N5" s="17">
        <f>SUM(N6:N15)</f>
        <v>4169.4525979736618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30.363</v>
      </c>
      <c r="C7" s="33"/>
      <c r="D7" s="37">
        <f>IF( ISERROR(IND_nonf_gas_kWhh/1000),0,IND_nonf_gas_kWh/1000)*0.902</f>
        <v>0</v>
      </c>
      <c r="E7" s="33">
        <f>C29*'E Balans VL '!I17/100/3.6*1000000</f>
        <v>0.28119989629534026</v>
      </c>
      <c r="F7" s="33">
        <f>C29*'E Balans VL '!L17/100/3.6*1000000+C29*'E Balans VL '!N17/100/3.6*1000000</f>
        <v>7.1087367093017253</v>
      </c>
      <c r="G7" s="34"/>
      <c r="H7" s="33"/>
      <c r="I7" s="33"/>
      <c r="J7" s="40">
        <f>C29*'E Balans VL '!D17/100/3.6*1000000+C29*'E Balans VL '!E17/100/3.6*1000000</f>
        <v>8.6931903326728115</v>
      </c>
      <c r="K7" s="33"/>
      <c r="L7" s="33"/>
      <c r="M7" s="33"/>
      <c r="N7" s="33">
        <f>C29*'E Balans VL '!Y17/100/3.6*1000000</f>
        <v>0</v>
      </c>
      <c r="O7" s="33"/>
      <c r="P7" s="33"/>
      <c r="R7" s="32"/>
    </row>
    <row r="8" spans="1:18">
      <c r="A8" s="6" t="s">
        <v>36</v>
      </c>
      <c r="B8" s="37">
        <f t="shared" si="0"/>
        <v>6671.6056770000005</v>
      </c>
      <c r="C8" s="33"/>
      <c r="D8" s="37">
        <f>IF( ISERROR(IND_metaal_Gas_kWH/1000),0,IND_metaal_Gas_kWH/1000)*0.902</f>
        <v>8297.6917162259997</v>
      </c>
      <c r="E8" s="33">
        <f>C30*'E Balans VL '!I18/100/3.6*1000000</f>
        <v>61.338970701974311</v>
      </c>
      <c r="F8" s="33">
        <f>C30*'E Balans VL '!L18/100/3.6*1000000+C30*'E Balans VL '!N18/100/3.6*1000000</f>
        <v>625.57449226558413</v>
      </c>
      <c r="G8" s="34"/>
      <c r="H8" s="33"/>
      <c r="I8" s="33"/>
      <c r="J8" s="40">
        <f>C30*'E Balans VL '!D18/100/3.6*1000000+C30*'E Balans VL '!E18/100/3.6*1000000</f>
        <v>0</v>
      </c>
      <c r="K8" s="33"/>
      <c r="L8" s="33"/>
      <c r="M8" s="33"/>
      <c r="N8" s="33">
        <f>C30*'E Balans VL '!Y18/100/3.6*1000000</f>
        <v>95.1814802750729</v>
      </c>
      <c r="O8" s="33"/>
      <c r="P8" s="33"/>
      <c r="R8" s="32"/>
    </row>
    <row r="9" spans="1:18">
      <c r="A9" s="6" t="s">
        <v>33</v>
      </c>
      <c r="B9" s="37">
        <f t="shared" si="0"/>
        <v>11220.112808</v>
      </c>
      <c r="C9" s="33"/>
      <c r="D9" s="37">
        <f>IF( ISERROR(IND_andere_gas_kWh/1000),0,IND_andere_gas_kWh/1000)*0.902</f>
        <v>4426.0007935879994</v>
      </c>
      <c r="E9" s="33">
        <f>C31*'E Balans VL '!I19/100/3.6*1000000</f>
        <v>3279.8574036111218</v>
      </c>
      <c r="F9" s="33">
        <f>C31*'E Balans VL '!L19/100/3.6*1000000+C31*'E Balans VL '!N19/100/3.6*1000000</f>
        <v>9016.2099257302762</v>
      </c>
      <c r="G9" s="34"/>
      <c r="H9" s="33"/>
      <c r="I9" s="33"/>
      <c r="J9" s="40">
        <f>C31*'E Balans VL '!D19/100/3.6*1000000+C31*'E Balans VL '!E19/100/3.6*1000000</f>
        <v>0</v>
      </c>
      <c r="K9" s="33"/>
      <c r="L9" s="33"/>
      <c r="M9" s="33"/>
      <c r="N9" s="33">
        <f>C31*'E Balans VL '!Y19/100/3.6*1000000</f>
        <v>3707.2992833754183</v>
      </c>
      <c r="O9" s="33"/>
      <c r="P9" s="33"/>
      <c r="R9" s="32"/>
    </row>
    <row r="10" spans="1:18">
      <c r="A10" s="6" t="s">
        <v>41</v>
      </c>
      <c r="B10" s="37">
        <f t="shared" si="0"/>
        <v>2128.9455499999999</v>
      </c>
      <c r="C10" s="33"/>
      <c r="D10" s="37">
        <f>IF( ISERROR(IND_voed_gas_kWh/1000),0,IND_voed_gas_kWh/1000)*0.902</f>
        <v>3052.0358935220002</v>
      </c>
      <c r="E10" s="33">
        <f>C32*'E Balans VL '!I20/100/3.6*1000000</f>
        <v>4.5038173207167143</v>
      </c>
      <c r="F10" s="33">
        <f>C32*'E Balans VL '!L20/100/3.6*1000000+C32*'E Balans VL '!N20/100/3.6*1000000</f>
        <v>135.36053272310858</v>
      </c>
      <c r="G10" s="34"/>
      <c r="H10" s="33"/>
      <c r="I10" s="33"/>
      <c r="J10" s="40">
        <f>C32*'E Balans VL '!D20/100/3.6*1000000+C32*'E Balans VL '!E20/100/3.6*1000000</f>
        <v>0</v>
      </c>
      <c r="K10" s="33"/>
      <c r="L10" s="33"/>
      <c r="M10" s="33"/>
      <c r="N10" s="33">
        <f>C32*'E Balans VL '!Y20/100/3.6*1000000</f>
        <v>146.91825189803225</v>
      </c>
      <c r="O10" s="33"/>
      <c r="P10" s="33"/>
      <c r="R10" s="32"/>
    </row>
    <row r="11" spans="1:18">
      <c r="A11" s="6" t="s">
        <v>40</v>
      </c>
      <c r="B11" s="37">
        <f t="shared" si="0"/>
        <v>166.99906899999999</v>
      </c>
      <c r="C11" s="33"/>
      <c r="D11" s="37">
        <f>IF( ISERROR(IND_textiel_gas_kWh/1000),0,IND_textiel_gas_kWh/1000)*0.902</f>
        <v>365.83586600000001</v>
      </c>
      <c r="E11" s="33">
        <f>C33*'E Balans VL '!I21/100/3.6*1000000</f>
        <v>0.49597283684232674</v>
      </c>
      <c r="F11" s="33">
        <f>C33*'E Balans VL '!L21/100/3.6*1000000+C33*'E Balans VL '!N21/100/3.6*1000000</f>
        <v>16.871490780914574</v>
      </c>
      <c r="G11" s="34"/>
      <c r="H11" s="33"/>
      <c r="I11" s="33"/>
      <c r="J11" s="40">
        <f>C33*'E Balans VL '!D21/100/3.6*1000000+C33*'E Balans VL '!E21/100/3.6*1000000</f>
        <v>0</v>
      </c>
      <c r="K11" s="33"/>
      <c r="L11" s="33"/>
      <c r="M11" s="33"/>
      <c r="N11" s="33">
        <f>C33*'E Balans VL '!Y21/100/3.6*1000000</f>
        <v>9.2105316085388118</v>
      </c>
      <c r="O11" s="33"/>
      <c r="P11" s="33"/>
      <c r="R11" s="32"/>
    </row>
    <row r="12" spans="1:18">
      <c r="A12" s="6" t="s">
        <v>37</v>
      </c>
      <c r="B12" s="37">
        <f t="shared" si="0"/>
        <v>430.66869000000003</v>
      </c>
      <c r="C12" s="33"/>
      <c r="D12" s="37">
        <f>IF( ISERROR(IND_min_gas_kWh/1000),0,IND_min_gas_kWh/1000)*0.902</f>
        <v>145.52868000000001</v>
      </c>
      <c r="E12" s="33">
        <f>C34*'E Balans VL '!I22/100/3.6*1000000</f>
        <v>12.483311974082833</v>
      </c>
      <c r="F12" s="33">
        <f>C34*'E Balans VL '!L22/100/3.6*1000000+C34*'E Balans VL '!N22/100/3.6*1000000</f>
        <v>148.06876228666084</v>
      </c>
      <c r="G12" s="34"/>
      <c r="H12" s="33"/>
      <c r="I12" s="33"/>
      <c r="J12" s="40">
        <f>C34*'E Balans VL '!D22/100/3.6*1000000+C34*'E Balans VL '!E22/100/3.6*1000000</f>
        <v>0.70771843774389143</v>
      </c>
      <c r="K12" s="33"/>
      <c r="L12" s="33"/>
      <c r="M12" s="33"/>
      <c r="N12" s="33">
        <f>C34*'E Balans VL '!Y22/100/3.6*1000000</f>
        <v>94.280453545029957</v>
      </c>
      <c r="O12" s="33"/>
      <c r="P12" s="33"/>
      <c r="R12" s="32"/>
    </row>
    <row r="13" spans="1:18">
      <c r="A13" s="6" t="s">
        <v>39</v>
      </c>
      <c r="B13" s="37">
        <f t="shared" si="0"/>
        <v>37.933999999999997</v>
      </c>
      <c r="C13" s="33"/>
      <c r="D13" s="37">
        <f>IF( ISERROR(IND_papier_gas_kWh/1000),0,IND_papier_gas_kWh/1000)*0.902</f>
        <v>111.358214</v>
      </c>
      <c r="E13" s="33">
        <f>C35*'E Balans VL '!I23/100/3.6*1000000</f>
        <v>5.3819670561547253E-2</v>
      </c>
      <c r="F13" s="33">
        <f>C35*'E Balans VL '!L23/100/3.6*1000000+C35*'E Balans VL '!N23/100/3.6*1000000</f>
        <v>0.92611158103669666</v>
      </c>
      <c r="G13" s="34"/>
      <c r="H13" s="33"/>
      <c r="I13" s="33"/>
      <c r="J13" s="40">
        <f>C35*'E Balans VL '!D23/100/3.6*1000000+C35*'E Balans VL '!E23/100/3.6*1000000</f>
        <v>5.8668492460946355E-3</v>
      </c>
      <c r="K13" s="33"/>
      <c r="L13" s="33"/>
      <c r="M13" s="33"/>
      <c r="N13" s="33">
        <f>C35*'E Balans VL '!Y23/100/3.6*1000000</f>
        <v>110.26515840542253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28.074000000000002</v>
      </c>
      <c r="C15" s="33"/>
      <c r="D15" s="37">
        <f>IF( ISERROR(IND_rest_gas_kWh/1000),0,IND_rest_gas_kWh/1000)*0.902</f>
        <v>96.461683999999991</v>
      </c>
      <c r="E15" s="33">
        <f>C37*'E Balans VL '!I15/100/3.6*1000000</f>
        <v>1.5501323350387606</v>
      </c>
      <c r="F15" s="33">
        <f>C37*'E Balans VL '!L15/100/3.6*1000000+C37*'E Balans VL '!N15/100/3.6*1000000</f>
        <v>5.5606191308305686</v>
      </c>
      <c r="G15" s="34"/>
      <c r="H15" s="33"/>
      <c r="I15" s="33"/>
      <c r="J15" s="40">
        <f>C37*'E Balans VL '!D15/100/3.6*1000000+C37*'E Balans VL '!E15/100/3.6*1000000</f>
        <v>0.10050438615526611</v>
      </c>
      <c r="K15" s="33"/>
      <c r="L15" s="33"/>
      <c r="M15" s="33"/>
      <c r="N15" s="33">
        <f>C37*'E Balans VL '!Y15/100/3.6*1000000</f>
        <v>6.2974388661465968</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20714.702794000004</v>
      </c>
      <c r="C18" s="21">
        <f>C5+C16</f>
        <v>0</v>
      </c>
      <c r="D18" s="21">
        <f>MAX((D5+D16),0)</f>
        <v>16494.912847336</v>
      </c>
      <c r="E18" s="21">
        <f>MAX((E5+E16),0)</f>
        <v>3360.5646283466335</v>
      </c>
      <c r="F18" s="21">
        <f>MAX((F5+F16),0)</f>
        <v>9955.6806712077141</v>
      </c>
      <c r="G18" s="21"/>
      <c r="H18" s="21"/>
      <c r="I18" s="21"/>
      <c r="J18" s="21">
        <f>MAX((J5+J16),0)</f>
        <v>9.507280005818064</v>
      </c>
      <c r="K18" s="21"/>
      <c r="L18" s="21">
        <f>MAX((L5+L16),0)</f>
        <v>0</v>
      </c>
      <c r="M18" s="21"/>
      <c r="N18" s="21">
        <f>MAX((N5+N16),0)</f>
        <v>4169.4525979736618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0.17372369788501607</v>
      </c>
      <c r="C20" s="25">
        <f ca="1">'EF ele_warmte'!B22</f>
        <v>2.810241350830504E-2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3598.6347699627549</v>
      </c>
      <c r="C22" s="23">
        <f ca="1">C18*C20</f>
        <v>0</v>
      </c>
      <c r="D22" s="23">
        <f>D18*D20</f>
        <v>3331.9723951618721</v>
      </c>
      <c r="E22" s="23">
        <f>E18*E20</f>
        <v>762.84817063468586</v>
      </c>
      <c r="F22" s="23">
        <f>F18*F20</f>
        <v>2658.16673921246</v>
      </c>
      <c r="G22" s="23"/>
      <c r="H22" s="23"/>
      <c r="I22" s="23"/>
      <c r="J22" s="23">
        <f>J18*J20</f>
        <v>3.3655771220595945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30.363</v>
      </c>
      <c r="C29" s="39">
        <f>IF(ISERROR(B29*3.6/1000000/'E Balans VL '!Z17*100),0,B29*3.6/1000000/'E Balans VL '!Z17*100)</f>
        <v>1.9682695092844097E-2</v>
      </c>
      <c r="D29" s="237" t="s">
        <v>754</v>
      </c>
    </row>
    <row r="30" spans="1:18">
      <c r="A30" s="171" t="s">
        <v>36</v>
      </c>
      <c r="B30" s="37">
        <f>IF( ISERROR(IND_metaal_ele_kWh/1000),0,IND_metaal_ele_kWh/1000)</f>
        <v>6671.6056770000005</v>
      </c>
      <c r="C30" s="39">
        <f>IF(ISERROR(B30*3.6/1000000/'E Balans VL '!Z18*100),0,B30*3.6/1000000/'E Balans VL '!Z18*100)</f>
        <v>0.3780970008314341</v>
      </c>
      <c r="D30" s="237" t="s">
        <v>754</v>
      </c>
    </row>
    <row r="31" spans="1:18">
      <c r="A31" s="6" t="s">
        <v>33</v>
      </c>
      <c r="B31" s="37">
        <f>IF( ISERROR(IND_ander_ele_kWh/1000),0,IND_ander_ele_kWh/1000)</f>
        <v>11220.112808</v>
      </c>
      <c r="C31" s="39">
        <f>IF(ISERROR(B31*3.6/1000000/'E Balans VL '!Z19*100),0,B31*3.6/1000000/'E Balans VL '!Z19*100)</f>
        <v>0.50889759723429018</v>
      </c>
      <c r="D31" s="237" t="s">
        <v>754</v>
      </c>
    </row>
    <row r="32" spans="1:18">
      <c r="A32" s="171" t="s">
        <v>41</v>
      </c>
      <c r="B32" s="37">
        <f>IF( ISERROR(IND_voed_ele_kWh/1000),0,IND_voed_ele_kWh/1000)</f>
        <v>2128.9455499999999</v>
      </c>
      <c r="C32" s="39">
        <f>IF(ISERROR(B32*3.6/1000000/'E Balans VL '!Z20*100),0,B32*3.6/1000000/'E Balans VL '!Z20*100)</f>
        <v>6.5857950458261996E-2</v>
      </c>
      <c r="D32" s="237" t="s">
        <v>754</v>
      </c>
    </row>
    <row r="33" spans="1:5">
      <c r="A33" s="171" t="s">
        <v>40</v>
      </c>
      <c r="B33" s="37">
        <f>IF( ISERROR(IND_textiel_ele_kWh/1000),0,IND_textiel_ele_kWh/1000)</f>
        <v>166.99906899999999</v>
      </c>
      <c r="C33" s="39">
        <f>IF(ISERROR(B33*3.6/1000000/'E Balans VL '!Z21*100),0,B33*3.6/1000000/'E Balans VL '!Z21*100)</f>
        <v>2.1774822308425566E-2</v>
      </c>
      <c r="D33" s="237" t="s">
        <v>754</v>
      </c>
    </row>
    <row r="34" spans="1:5">
      <c r="A34" s="171" t="s">
        <v>37</v>
      </c>
      <c r="B34" s="37">
        <f>IF( ISERROR(IND_min_ele_kWh/1000),0,IND_min_ele_kWh/1000)</f>
        <v>430.66869000000003</v>
      </c>
      <c r="C34" s="39">
        <f>IF(ISERROR(B34*3.6/1000000/'E Balans VL '!Z22*100),0,B34*3.6/1000000/'E Balans VL '!Z22*100)</f>
        <v>7.746386062262145E-2</v>
      </c>
      <c r="D34" s="237" t="s">
        <v>754</v>
      </c>
    </row>
    <row r="35" spans="1:5">
      <c r="A35" s="171" t="s">
        <v>39</v>
      </c>
      <c r="B35" s="37">
        <f>IF( ISERROR(IND_papier_ele_kWh/1000),0,IND_papier_ele_kWh/1000)</f>
        <v>37.933999999999997</v>
      </c>
      <c r="C35" s="39">
        <f>IF(ISERROR(B35*3.6/1000000/'E Balans VL '!Z22*100),0,B35*3.6/1000000/'E Balans VL '!Z22*100)</f>
        <v>6.8231430728305821E-3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28.074000000000002</v>
      </c>
      <c r="C37" s="39">
        <f>IF(ISERROR(B37*3.6/1000000/'E Balans VL '!Z15*100),0,B37*3.6/1000000/'E Balans VL '!Z15*100)</f>
        <v>2.225209281510381E-4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2278.6085520000001</v>
      </c>
      <c r="C5" s="17">
        <f>'Eigen informatie GS &amp; warmtenet'!B60</f>
        <v>0</v>
      </c>
      <c r="D5" s="30">
        <f>IF(ISERROR(SUM(LB_lb_gas_kWh,LB_rest_gas_kWh)/1000),0,SUM(LB_lb_gas_kWh,LB_rest_gas_kWh)/1000)*0.902</f>
        <v>873.87834599999996</v>
      </c>
      <c r="E5" s="17">
        <f>B17*'E Balans VL '!I25/3.6*1000000/100</f>
        <v>66.975265017093804</v>
      </c>
      <c r="F5" s="17">
        <f>B17*('E Balans VL '!L25/3.6*1000000+'E Balans VL '!N25/3.6*1000000)/100</f>
        <v>9492.5600980886338</v>
      </c>
      <c r="G5" s="18"/>
      <c r="H5" s="17"/>
      <c r="I5" s="17"/>
      <c r="J5" s="17">
        <f>('E Balans VL '!D25+'E Balans VL '!E25)/3.6*1000000*landbouw!B17/100</f>
        <v>330.12144550600749</v>
      </c>
      <c r="K5" s="17"/>
      <c r="L5" s="17">
        <f>L6*(-1)</f>
        <v>0</v>
      </c>
      <c r="M5" s="17"/>
      <c r="N5" s="17">
        <f>N6*(-1)</f>
        <v>36334.285714285717</v>
      </c>
      <c r="O5" s="17"/>
      <c r="P5" s="17"/>
      <c r="R5" s="32"/>
    </row>
    <row r="6" spans="1:18">
      <c r="A6" s="16" t="s">
        <v>488</v>
      </c>
      <c r="B6" s="17" t="s">
        <v>211</v>
      </c>
      <c r="C6" s="17">
        <f>'lokale energieproductie'!O92+'lokale energieproductie'!O61</f>
        <v>18167.142857142859</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-36334.285714285717</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2278.6085520000001</v>
      </c>
      <c r="C8" s="21">
        <f>C5+C6</f>
        <v>18167.142857142859</v>
      </c>
      <c r="D8" s="21">
        <f>MAX((D5+D6),0)</f>
        <v>873.87834599999996</v>
      </c>
      <c r="E8" s="21">
        <f>MAX((E5+E6),0)</f>
        <v>66.975265017093804</v>
      </c>
      <c r="F8" s="21">
        <f>MAX((F5+F6),0)</f>
        <v>9492.5600980886338</v>
      </c>
      <c r="G8" s="21"/>
      <c r="H8" s="21"/>
      <c r="I8" s="21"/>
      <c r="J8" s="21">
        <f>MAX((J5+J6),0)</f>
        <v>330.12144550600749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0.17372369788501607</v>
      </c>
      <c r="C10" s="31">
        <f ca="1">'EF ele_warmte'!B22</f>
        <v>2.810241350830504E-2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395.84830368586194</v>
      </c>
      <c r="C12" s="23">
        <f ca="1">C8*C10</f>
        <v>510.54056083587892</v>
      </c>
      <c r="D12" s="23">
        <f>D8*D10</f>
        <v>176.52342589200001</v>
      </c>
      <c r="E12" s="23">
        <f>E8*E10</f>
        <v>15.203385158880295</v>
      </c>
      <c r="F12" s="23">
        <f>F8*F10</f>
        <v>2534.5135461896652</v>
      </c>
      <c r="G12" s="23"/>
      <c r="H12" s="23"/>
      <c r="I12" s="23"/>
      <c r="J12" s="23">
        <f>J8*J10</f>
        <v>116.86299170912665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0.32334170244511223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343.92109541364812</v>
      </c>
      <c r="C26" s="247">
        <f>B26*'GWP N2O_CH4'!B5</f>
        <v>7222.3430036866102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128.75588117873599</v>
      </c>
      <c r="C27" s="247">
        <f>B27*'GWP N2O_CH4'!B5</f>
        <v>2703.8735047534556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5.0398861346491124</v>
      </c>
      <c r="C28" s="247">
        <f>B28*'GWP N2O_CH4'!B4</f>
        <v>1562.3647017412247</v>
      </c>
      <c r="D28" s="50"/>
    </row>
    <row r="29" spans="1:4">
      <c r="A29" s="41" t="s">
        <v>277</v>
      </c>
      <c r="B29" s="247">
        <f>B34*'ha_N2O bodem landbouw'!B4</f>
        <v>37.397934795494507</v>
      </c>
      <c r="C29" s="247">
        <f>B29*'GWP N2O_CH4'!B4</f>
        <v>11593.359786603298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8.5340798413150905E-3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3.0966487350848914E-4</v>
      </c>
      <c r="C5" s="463" t="s">
        <v>211</v>
      </c>
      <c r="D5" s="448">
        <f>SUM(D6:D11)</f>
        <v>1.0629217002693944E-3</v>
      </c>
      <c r="E5" s="448">
        <f>SUM(E6:E11)</f>
        <v>1.4301373054042073E-3</v>
      </c>
      <c r="F5" s="461" t="s">
        <v>211</v>
      </c>
      <c r="G5" s="448">
        <f>SUM(G6:G11)</f>
        <v>0.51892240574526749</v>
      </c>
      <c r="H5" s="448">
        <f>SUM(H6:H11)</f>
        <v>0.12009085325700747</v>
      </c>
      <c r="I5" s="463" t="s">
        <v>211</v>
      </c>
      <c r="J5" s="463" t="s">
        <v>211</v>
      </c>
      <c r="K5" s="463" t="s">
        <v>211</v>
      </c>
      <c r="L5" s="463" t="s">
        <v>211</v>
      </c>
      <c r="M5" s="448">
        <f>SUM(M6:M11)</f>
        <v>3.3860901729715669E-2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2.4441067501756753E-4</v>
      </c>
      <c r="C6" s="449"/>
      <c r="D6" s="892">
        <f>vkm_2011_GW_PW*SUMIFS(TableVerdeelsleutelVkm[CNG],TableVerdeelsleutelVkm[Voertuigtype],"Lichte voertuigen")*SUMIFS(TableECFTransport[EnergieConsumptieFactor (PJ per km)],TableECFTransport[Index],CONCATENATE($A6,"_CNG_CNG"))</f>
        <v>7.3309174608515585E-4</v>
      </c>
      <c r="E6" s="892">
        <f>vkm_2011_GW_PW*SUMIFS(TableVerdeelsleutelVkm[LPG],TableVerdeelsleutelVkm[Voertuigtype],"Lichte voertuigen")*SUMIFS(TableECFTransport[EnergieConsumptieFactor (PJ per km)],TableECFTransport[Index],CONCATENATE($A6,"_LPG_LPG"))</f>
        <v>1.001508628592057E-3</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0.25894422148480867</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8.3380750770761014E-2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1.7588405881931592E-2</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0.12621848189181864</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3.846882850804222E-5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7.3757822447711374E-3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5.6977419696773286E-5</v>
      </c>
      <c r="C8" s="449"/>
      <c r="D8" s="451">
        <f>vkm_2011_NGW_PW*SUMIFS(TableVerdeelsleutelVkm[CNG],TableVerdeelsleutelVkm[Voertuigtype],"Lichte voertuigen")*SUMIFS(TableECFTransport[EnergieConsumptieFactor (PJ per km)],TableECFTransport[Index],CONCATENATE($A8,"_CNG_CNG"))</f>
        <v>3.0386132687054294E-4</v>
      </c>
      <c r="E8" s="451">
        <f>vkm_2011_NGW_PW*SUMIFS(TableVerdeelsleutelVkm[LPG],TableVerdeelsleutelVkm[Voertuigtype],"Lichte voertuigen")*SUMIFS(TableECFTransport[EnergieConsumptieFactor (PJ per km)],TableECFTransport[Index],CONCATENATE($A8,"_LPG_LPG"))</f>
        <v>3.8444657680504609E-4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9.2630526274635139E-2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3.358545932981799E-2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6.4026213959919743E-3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1.8520720346849137E-2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5.3140340710388482E-6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1.0822786591786402E-3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8.2767787941482977E-6</v>
      </c>
      <c r="C10" s="449"/>
      <c r="D10" s="451">
        <f>vkm_2011_SW_PW*SUMIFS(TableVerdeelsleutelVkm[CNG],TableVerdeelsleutelVkm[Voertuigtype],"Lichte voertuigen")*SUMIFS(TableECFTransport[EnergieConsumptieFactor (PJ per km)],TableECFTransport[Index],CONCATENATE($A10,"_CNG_CNG"))</f>
        <v>2.5968627313695624E-5</v>
      </c>
      <c r="E10" s="451">
        <f>vkm_2011_SW_PW*SUMIFS(TableVerdeelsleutelVkm[LPG],TableVerdeelsleutelVkm[Voertuigtype],"Lichte voertuigen")*SUMIFS(TableECFTransport[EnergieConsumptieFactor (PJ per km)],TableECFTransport[Index],CONCATENATE($A10,"_LPG_LPG"))</f>
        <v>4.4182100007104104E-5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1.0184074154914883E-2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3.076771075347482E-3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6.8576568374721528E-4</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1.2424381592240977E-2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4.0892185018959777E-6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7.2604786409510846E-4</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86.018020419024765</v>
      </c>
      <c r="C14" s="21"/>
      <c r="D14" s="21">
        <f t="shared" ref="D14:M14" si="0">((D5)*10^9/3600)+D12</f>
        <v>295.25602785260952</v>
      </c>
      <c r="E14" s="21">
        <f t="shared" si="0"/>
        <v>397.26036261227978</v>
      </c>
      <c r="F14" s="21"/>
      <c r="G14" s="21">
        <f t="shared" si="0"/>
        <v>144145.11270701876</v>
      </c>
      <c r="H14" s="21">
        <f t="shared" si="0"/>
        <v>33358.570349168738</v>
      </c>
      <c r="I14" s="21"/>
      <c r="J14" s="21"/>
      <c r="K14" s="21"/>
      <c r="L14" s="21"/>
      <c r="M14" s="21">
        <f t="shared" si="0"/>
        <v>9405.8060360321306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0.17372369788501607</v>
      </c>
      <c r="C16" s="56">
        <f ca="1">'EF ele_warmte'!B22</f>
        <v>2.810241350830504E-2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14.943368591941802</v>
      </c>
      <c r="C18" s="23"/>
      <c r="D18" s="23">
        <f t="shared" ref="D18:M18" si="1">D14*D16</f>
        <v>59.641717626227127</v>
      </c>
      <c r="E18" s="23">
        <f t="shared" si="1"/>
        <v>90.178102312987519</v>
      </c>
      <c r="F18" s="23"/>
      <c r="G18" s="23">
        <f t="shared" si="1"/>
        <v>38486.745092774014</v>
      </c>
      <c r="H18" s="23">
        <f t="shared" si="1"/>
        <v>8306.2840169430165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1.7429754766073936E-2</v>
      </c>
      <c r="H50" s="321">
        <f t="shared" si="2"/>
        <v>0</v>
      </c>
      <c r="I50" s="321">
        <f t="shared" si="2"/>
        <v>0</v>
      </c>
      <c r="J50" s="321">
        <f t="shared" si="2"/>
        <v>0</v>
      </c>
      <c r="K50" s="321">
        <f t="shared" si="2"/>
        <v>0</v>
      </c>
      <c r="L50" s="321">
        <f t="shared" si="2"/>
        <v>0</v>
      </c>
      <c r="M50" s="321">
        <f t="shared" si="2"/>
        <v>9.8993312572922035E-4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1.7429754766073936E-2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9.8993312572922035E-4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4841.5985461316486</v>
      </c>
      <c r="H54" s="21">
        <f t="shared" si="3"/>
        <v>0</v>
      </c>
      <c r="I54" s="21">
        <f t="shared" si="3"/>
        <v>0</v>
      </c>
      <c r="J54" s="21">
        <f t="shared" si="3"/>
        <v>0</v>
      </c>
      <c r="K54" s="21">
        <f t="shared" si="3"/>
        <v>0</v>
      </c>
      <c r="L54" s="21">
        <f t="shared" si="3"/>
        <v>0</v>
      </c>
      <c r="M54" s="21">
        <f t="shared" si="3"/>
        <v>274.98142381367234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0.17372369788501607</v>
      </c>
      <c r="C56" s="56">
        <f ca="1">'EF ele_warmte'!B22</f>
        <v>2.810241350830504E-2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1292.7068118171503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56956.644053999997</v>
      </c>
      <c r="D10" s="1013">
        <f ca="1">tertiair!C16</f>
        <v>2436.4285714285716</v>
      </c>
      <c r="E10" s="1013">
        <f ca="1">tertiair!D16</f>
        <v>58597.137381518864</v>
      </c>
      <c r="F10" s="1013">
        <f>tertiair!E16</f>
        <v>768.87716107325787</v>
      </c>
      <c r="G10" s="1013">
        <f ca="1">tertiair!F16</f>
        <v>9382.2052716752878</v>
      </c>
      <c r="H10" s="1013">
        <f>tertiair!G16</f>
        <v>0</v>
      </c>
      <c r="I10" s="1013">
        <f>tertiair!H16</f>
        <v>0</v>
      </c>
      <c r="J10" s="1013">
        <f>tertiair!I16</f>
        <v>0</v>
      </c>
      <c r="K10" s="1013">
        <f>tertiair!J16</f>
        <v>0.13720611308738115</v>
      </c>
      <c r="L10" s="1013">
        <f>tertiair!K16</f>
        <v>0</v>
      </c>
      <c r="M10" s="1013">
        <f ca="1">tertiair!L16</f>
        <v>0</v>
      </c>
      <c r="N10" s="1013">
        <f>tertiair!M16</f>
        <v>0</v>
      </c>
      <c r="O10" s="1013">
        <f ca="1">tertiair!N16</f>
        <v>5504.6666306344769</v>
      </c>
      <c r="P10" s="1013">
        <f>tertiair!O16</f>
        <v>1.5633333333333335</v>
      </c>
      <c r="Q10" s="1014">
        <f>tertiair!P16</f>
        <v>95.333333333333343</v>
      </c>
      <c r="R10" s="700">
        <f ca="1">SUM(C10:Q10)</f>
        <v>133742.99294311021</v>
      </c>
      <c r="S10" s="67"/>
    </row>
    <row r="11" spans="1:19" s="473" customFormat="1">
      <c r="A11" s="809" t="s">
        <v>225</v>
      </c>
      <c r="B11" s="814"/>
      <c r="C11" s="1013">
        <f>huishoudens!B8</f>
        <v>48742.585517335945</v>
      </c>
      <c r="D11" s="1013">
        <f>huishoudens!C8</f>
        <v>0</v>
      </c>
      <c r="E11" s="1013">
        <f>huishoudens!D8</f>
        <v>103091.94657018401</v>
      </c>
      <c r="F11" s="1013">
        <f>huishoudens!E8</f>
        <v>9411.7485559687593</v>
      </c>
      <c r="G11" s="1013">
        <f>huishoudens!F8</f>
        <v>85239.772595782299</v>
      </c>
      <c r="H11" s="1013">
        <f>huishoudens!G8</f>
        <v>0</v>
      </c>
      <c r="I11" s="1013">
        <f>huishoudens!H8</f>
        <v>0</v>
      </c>
      <c r="J11" s="1013">
        <f>huishoudens!I8</f>
        <v>0</v>
      </c>
      <c r="K11" s="1013">
        <f>huishoudens!J8</f>
        <v>4386.3846747622665</v>
      </c>
      <c r="L11" s="1013">
        <f>huishoudens!K8</f>
        <v>0</v>
      </c>
      <c r="M11" s="1013">
        <f>huishoudens!L8</f>
        <v>0</v>
      </c>
      <c r="N11" s="1013">
        <f>huishoudens!M8</f>
        <v>0</v>
      </c>
      <c r="O11" s="1013">
        <f>huishoudens!N8</f>
        <v>29586.171652599711</v>
      </c>
      <c r="P11" s="1013">
        <f>huishoudens!O8</f>
        <v>412.71999999999997</v>
      </c>
      <c r="Q11" s="1014">
        <f>huishoudens!P8</f>
        <v>819.86666666666667</v>
      </c>
      <c r="R11" s="700">
        <f>SUM(C11:Q11)</f>
        <v>281691.19623329956</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20714.702794000004</v>
      </c>
      <c r="D13" s="1013">
        <f>industrie!C18</f>
        <v>0</v>
      </c>
      <c r="E13" s="1013">
        <f>industrie!D18</f>
        <v>16494.912847336</v>
      </c>
      <c r="F13" s="1013">
        <f>industrie!E18</f>
        <v>3360.5646283466335</v>
      </c>
      <c r="G13" s="1013">
        <f>industrie!F18</f>
        <v>9955.6806712077141</v>
      </c>
      <c r="H13" s="1013">
        <f>industrie!G18</f>
        <v>0</v>
      </c>
      <c r="I13" s="1013">
        <f>industrie!H18</f>
        <v>0</v>
      </c>
      <c r="J13" s="1013">
        <f>industrie!I18</f>
        <v>0</v>
      </c>
      <c r="K13" s="1013">
        <f>industrie!J18</f>
        <v>9.507280005818064</v>
      </c>
      <c r="L13" s="1013">
        <f>industrie!K18</f>
        <v>0</v>
      </c>
      <c r="M13" s="1013">
        <f>industrie!L18</f>
        <v>0</v>
      </c>
      <c r="N13" s="1013">
        <f>industrie!M18</f>
        <v>0</v>
      </c>
      <c r="O13" s="1013">
        <f>industrie!N18</f>
        <v>4169.4525979736618</v>
      </c>
      <c r="P13" s="1013">
        <f>industrie!O18</f>
        <v>0</v>
      </c>
      <c r="Q13" s="1014">
        <f>industrie!P18</f>
        <v>0</v>
      </c>
      <c r="R13" s="700">
        <f>SUM(C13:Q13)</f>
        <v>54704.820818869834</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126413.93236533596</v>
      </c>
      <c r="D16" s="732">
        <f t="shared" ref="D16:R16" ca="1" si="0">SUM(D9:D15)</f>
        <v>2436.4285714285716</v>
      </c>
      <c r="E16" s="732">
        <f t="shared" ca="1" si="0"/>
        <v>178183.99679903887</v>
      </c>
      <c r="F16" s="732">
        <f t="shared" si="0"/>
        <v>13541.190345388652</v>
      </c>
      <c r="G16" s="732">
        <f t="shared" ca="1" si="0"/>
        <v>104577.65853866529</v>
      </c>
      <c r="H16" s="732">
        <f t="shared" si="0"/>
        <v>0</v>
      </c>
      <c r="I16" s="732">
        <f t="shared" si="0"/>
        <v>0</v>
      </c>
      <c r="J16" s="732">
        <f t="shared" si="0"/>
        <v>0</v>
      </c>
      <c r="K16" s="732">
        <f t="shared" si="0"/>
        <v>4396.0291608811722</v>
      </c>
      <c r="L16" s="732">
        <f t="shared" si="0"/>
        <v>0</v>
      </c>
      <c r="M16" s="732">
        <f t="shared" ca="1" si="0"/>
        <v>0</v>
      </c>
      <c r="N16" s="732">
        <f t="shared" si="0"/>
        <v>0</v>
      </c>
      <c r="O16" s="732">
        <f t="shared" ca="1" si="0"/>
        <v>39260.290881207853</v>
      </c>
      <c r="P16" s="732">
        <f t="shared" si="0"/>
        <v>414.2833333333333</v>
      </c>
      <c r="Q16" s="732">
        <f t="shared" si="0"/>
        <v>915.2</v>
      </c>
      <c r="R16" s="732">
        <f t="shared" ca="1" si="0"/>
        <v>470139.0099952796</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4841.5985461316486</v>
      </c>
      <c r="I19" s="1013">
        <f>transport!H54</f>
        <v>0</v>
      </c>
      <c r="J19" s="1013">
        <f>transport!I54</f>
        <v>0</v>
      </c>
      <c r="K19" s="1013">
        <f>transport!J54</f>
        <v>0</v>
      </c>
      <c r="L19" s="1013">
        <f>transport!K54</f>
        <v>0</v>
      </c>
      <c r="M19" s="1013">
        <f>transport!L54</f>
        <v>0</v>
      </c>
      <c r="N19" s="1013">
        <f>transport!M54</f>
        <v>274.98142381367234</v>
      </c>
      <c r="O19" s="1013">
        <f>transport!N54</f>
        <v>0</v>
      </c>
      <c r="P19" s="1013">
        <f>transport!O54</f>
        <v>0</v>
      </c>
      <c r="Q19" s="1014">
        <f>transport!P54</f>
        <v>0</v>
      </c>
      <c r="R19" s="700">
        <f>SUM(C19:Q19)</f>
        <v>5116.579969945321</v>
      </c>
      <c r="S19" s="67"/>
    </row>
    <row r="20" spans="1:19" s="473" customFormat="1">
      <c r="A20" s="809" t="s">
        <v>307</v>
      </c>
      <c r="B20" s="814"/>
      <c r="C20" s="1013">
        <f>transport!B14</f>
        <v>86.018020419024765</v>
      </c>
      <c r="D20" s="1013">
        <f>transport!C14</f>
        <v>0</v>
      </c>
      <c r="E20" s="1013">
        <f>transport!D14</f>
        <v>295.25602785260952</v>
      </c>
      <c r="F20" s="1013">
        <f>transport!E14</f>
        <v>397.26036261227978</v>
      </c>
      <c r="G20" s="1013">
        <f>transport!F14</f>
        <v>0</v>
      </c>
      <c r="H20" s="1013">
        <f>transport!G14</f>
        <v>144145.11270701876</v>
      </c>
      <c r="I20" s="1013">
        <f>transport!H14</f>
        <v>33358.570349168738</v>
      </c>
      <c r="J20" s="1013">
        <f>transport!I14</f>
        <v>0</v>
      </c>
      <c r="K20" s="1013">
        <f>transport!J14</f>
        <v>0</v>
      </c>
      <c r="L20" s="1013">
        <f>transport!K14</f>
        <v>0</v>
      </c>
      <c r="M20" s="1013">
        <f>transport!L14</f>
        <v>0</v>
      </c>
      <c r="N20" s="1013">
        <f>transport!M14</f>
        <v>9405.8060360321306</v>
      </c>
      <c r="O20" s="1013">
        <f>transport!N14</f>
        <v>0</v>
      </c>
      <c r="P20" s="1013">
        <f>transport!O14</f>
        <v>0</v>
      </c>
      <c r="Q20" s="1014">
        <f>transport!P14</f>
        <v>0</v>
      </c>
      <c r="R20" s="700">
        <f>SUM(C20:Q20)</f>
        <v>187688.02350310353</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86.018020419024765</v>
      </c>
      <c r="D22" s="812">
        <f t="shared" ref="D22:R22" si="1">SUM(D18:D21)</f>
        <v>0</v>
      </c>
      <c r="E22" s="812">
        <f t="shared" si="1"/>
        <v>295.25602785260952</v>
      </c>
      <c r="F22" s="812">
        <f t="shared" si="1"/>
        <v>397.26036261227978</v>
      </c>
      <c r="G22" s="812">
        <f t="shared" si="1"/>
        <v>0</v>
      </c>
      <c r="H22" s="812">
        <f t="shared" si="1"/>
        <v>148986.71125315042</v>
      </c>
      <c r="I22" s="812">
        <f t="shared" si="1"/>
        <v>33358.570349168738</v>
      </c>
      <c r="J22" s="812">
        <f t="shared" si="1"/>
        <v>0</v>
      </c>
      <c r="K22" s="812">
        <f t="shared" si="1"/>
        <v>0</v>
      </c>
      <c r="L22" s="812">
        <f t="shared" si="1"/>
        <v>0</v>
      </c>
      <c r="M22" s="812">
        <f t="shared" si="1"/>
        <v>0</v>
      </c>
      <c r="N22" s="812">
        <f t="shared" si="1"/>
        <v>9680.7874598458038</v>
      </c>
      <c r="O22" s="812">
        <f t="shared" si="1"/>
        <v>0</v>
      </c>
      <c r="P22" s="812">
        <f t="shared" si="1"/>
        <v>0</v>
      </c>
      <c r="Q22" s="812">
        <f t="shared" si="1"/>
        <v>0</v>
      </c>
      <c r="R22" s="812">
        <f t="shared" si="1"/>
        <v>192804.60347304886</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2278.6085520000001</v>
      </c>
      <c r="D24" s="1013">
        <f>+landbouw!C8</f>
        <v>18167.142857142859</v>
      </c>
      <c r="E24" s="1013">
        <f>+landbouw!D8</f>
        <v>873.87834599999996</v>
      </c>
      <c r="F24" s="1013">
        <f>+landbouw!E8</f>
        <v>66.975265017093804</v>
      </c>
      <c r="G24" s="1013">
        <f>+landbouw!F8</f>
        <v>9492.5600980886338</v>
      </c>
      <c r="H24" s="1013">
        <f>+landbouw!G8</f>
        <v>0</v>
      </c>
      <c r="I24" s="1013">
        <f>+landbouw!H8</f>
        <v>0</v>
      </c>
      <c r="J24" s="1013">
        <f>+landbouw!I8</f>
        <v>0</v>
      </c>
      <c r="K24" s="1013">
        <f>+landbouw!J8</f>
        <v>330.12144550600749</v>
      </c>
      <c r="L24" s="1013">
        <f>+landbouw!K8</f>
        <v>0</v>
      </c>
      <c r="M24" s="1013">
        <f>+landbouw!L8</f>
        <v>0</v>
      </c>
      <c r="N24" s="1013">
        <f>+landbouw!M8</f>
        <v>0</v>
      </c>
      <c r="O24" s="1013">
        <f>+landbouw!N8</f>
        <v>0</v>
      </c>
      <c r="P24" s="1013">
        <f>+landbouw!O8</f>
        <v>0</v>
      </c>
      <c r="Q24" s="1014">
        <f>+landbouw!P8</f>
        <v>0</v>
      </c>
      <c r="R24" s="700">
        <f>SUM(C24:Q24)</f>
        <v>31209.286563754595</v>
      </c>
      <c r="S24" s="67"/>
    </row>
    <row r="25" spans="1:19" s="473" customFormat="1" ht="15" thickBot="1">
      <c r="A25" s="831" t="s">
        <v>836</v>
      </c>
      <c r="B25" s="1016"/>
      <c r="C25" s="1017">
        <f>IF(Onbekend_ele_kWh="---",0,Onbekend_ele_kWh)/1000+IF(REST_rest_ele_kWh="---",0,REST_rest_ele_kWh)/1000</f>
        <v>1364.405446</v>
      </c>
      <c r="D25" s="1017"/>
      <c r="E25" s="1017">
        <f>IF(onbekend_gas_kWh="---",0,onbekend_gas_kWh)/1000+IF(REST_rest_gas_kWh="---",0,REST_rest_gas_kWh)/1000</f>
        <v>12326.863853000001</v>
      </c>
      <c r="F25" s="1017"/>
      <c r="G25" s="1017"/>
      <c r="H25" s="1017"/>
      <c r="I25" s="1017"/>
      <c r="J25" s="1017"/>
      <c r="K25" s="1017"/>
      <c r="L25" s="1017"/>
      <c r="M25" s="1017"/>
      <c r="N25" s="1017"/>
      <c r="O25" s="1017"/>
      <c r="P25" s="1017"/>
      <c r="Q25" s="1018"/>
      <c r="R25" s="700">
        <f>SUM(C25:Q25)</f>
        <v>13691.269299000001</v>
      </c>
      <c r="S25" s="67"/>
    </row>
    <row r="26" spans="1:19" s="473" customFormat="1" ht="15.75" thickBot="1">
      <c r="A26" s="705" t="s">
        <v>837</v>
      </c>
      <c r="B26" s="817"/>
      <c r="C26" s="812">
        <f>SUM(C24:C25)</f>
        <v>3643.0139980000004</v>
      </c>
      <c r="D26" s="812">
        <f t="shared" ref="D26:R26" si="2">SUM(D24:D25)</f>
        <v>18167.142857142859</v>
      </c>
      <c r="E26" s="812">
        <f t="shared" si="2"/>
        <v>13200.742199</v>
      </c>
      <c r="F26" s="812">
        <f t="shared" si="2"/>
        <v>66.975265017093804</v>
      </c>
      <c r="G26" s="812">
        <f t="shared" si="2"/>
        <v>9492.5600980886338</v>
      </c>
      <c r="H26" s="812">
        <f t="shared" si="2"/>
        <v>0</v>
      </c>
      <c r="I26" s="812">
        <f t="shared" si="2"/>
        <v>0</v>
      </c>
      <c r="J26" s="812">
        <f t="shared" si="2"/>
        <v>0</v>
      </c>
      <c r="K26" s="812">
        <f t="shared" si="2"/>
        <v>330.12144550600749</v>
      </c>
      <c r="L26" s="812">
        <f t="shared" si="2"/>
        <v>0</v>
      </c>
      <c r="M26" s="812">
        <f t="shared" si="2"/>
        <v>0</v>
      </c>
      <c r="N26" s="812">
        <f t="shared" si="2"/>
        <v>0</v>
      </c>
      <c r="O26" s="812">
        <f t="shared" si="2"/>
        <v>0</v>
      </c>
      <c r="P26" s="812">
        <f t="shared" si="2"/>
        <v>0</v>
      </c>
      <c r="Q26" s="812">
        <f t="shared" si="2"/>
        <v>0</v>
      </c>
      <c r="R26" s="812">
        <f t="shared" si="2"/>
        <v>44900.555862754598</v>
      </c>
      <c r="S26" s="67"/>
    </row>
    <row r="27" spans="1:19" s="473" customFormat="1" ht="17.25" thickTop="1" thickBot="1">
      <c r="A27" s="706" t="s">
        <v>116</v>
      </c>
      <c r="B27" s="805"/>
      <c r="C27" s="707">
        <f ca="1">C22+C16+C26</f>
        <v>130142.96438375498</v>
      </c>
      <c r="D27" s="707">
        <f t="shared" ref="D27:R27" ca="1" si="3">D22+D16+D26</f>
        <v>20603.571428571431</v>
      </c>
      <c r="E27" s="707">
        <f t="shared" ca="1" si="3"/>
        <v>191679.99502589149</v>
      </c>
      <c r="F27" s="707">
        <f t="shared" si="3"/>
        <v>14005.425973018026</v>
      </c>
      <c r="G27" s="707">
        <f t="shared" ca="1" si="3"/>
        <v>114070.21863675393</v>
      </c>
      <c r="H27" s="707">
        <f t="shared" si="3"/>
        <v>148986.71125315042</v>
      </c>
      <c r="I27" s="707">
        <f t="shared" si="3"/>
        <v>33358.570349168738</v>
      </c>
      <c r="J27" s="707">
        <f t="shared" si="3"/>
        <v>0</v>
      </c>
      <c r="K27" s="707">
        <f t="shared" si="3"/>
        <v>4726.1506063871793</v>
      </c>
      <c r="L27" s="707">
        <f t="shared" si="3"/>
        <v>0</v>
      </c>
      <c r="M27" s="707">
        <f t="shared" ca="1" si="3"/>
        <v>0</v>
      </c>
      <c r="N27" s="707">
        <f t="shared" si="3"/>
        <v>9680.7874598458038</v>
      </c>
      <c r="O27" s="707">
        <f t="shared" ca="1" si="3"/>
        <v>39260.290881207853</v>
      </c>
      <c r="P27" s="707">
        <f t="shared" si="3"/>
        <v>414.2833333333333</v>
      </c>
      <c r="Q27" s="707">
        <f t="shared" si="3"/>
        <v>915.2</v>
      </c>
      <c r="R27" s="707">
        <f t="shared" ca="1" si="3"/>
        <v>707844.16933108307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9894.7188241814929</v>
      </c>
      <c r="D40" s="1013">
        <f ca="1">tertiair!C20</f>
        <v>68.469523197734645</v>
      </c>
      <c r="E40" s="1013">
        <f ca="1">tertiair!D20</f>
        <v>11836.621751066812</v>
      </c>
      <c r="F40" s="1013">
        <f>tertiair!E20</f>
        <v>174.53511556362955</v>
      </c>
      <c r="G40" s="1013">
        <f ca="1">tertiair!F20</f>
        <v>2505.0488075373019</v>
      </c>
      <c r="H40" s="1013">
        <f>tertiair!G20</f>
        <v>0</v>
      </c>
      <c r="I40" s="1013">
        <f>tertiair!H20</f>
        <v>0</v>
      </c>
      <c r="J40" s="1013">
        <f>tertiair!I20</f>
        <v>0</v>
      </c>
      <c r="K40" s="1013">
        <f>tertiair!J20</f>
        <v>4.8570964032932921E-2</v>
      </c>
      <c r="L40" s="1013">
        <f>tertiair!K20</f>
        <v>0</v>
      </c>
      <c r="M40" s="1013">
        <f ca="1">tertiair!L20</f>
        <v>0</v>
      </c>
      <c r="N40" s="1013">
        <f>tertiair!M20</f>
        <v>0</v>
      </c>
      <c r="O40" s="1013">
        <f ca="1">tertiair!N20</f>
        <v>0</v>
      </c>
      <c r="P40" s="1013">
        <f>tertiair!O20</f>
        <v>0</v>
      </c>
      <c r="Q40" s="774">
        <f>tertiair!P20</f>
        <v>0</v>
      </c>
      <c r="R40" s="850">
        <f t="shared" ca="1" si="4"/>
        <v>24479.442592511008</v>
      </c>
    </row>
    <row r="41" spans="1:18">
      <c r="A41" s="822" t="s">
        <v>225</v>
      </c>
      <c r="B41" s="829"/>
      <c r="C41" s="1013">
        <f ca="1">huishoudens!B12</f>
        <v>8467.7422005482294</v>
      </c>
      <c r="D41" s="1013">
        <f ca="1">huishoudens!C12</f>
        <v>0</v>
      </c>
      <c r="E41" s="1013">
        <f>huishoudens!D12</f>
        <v>20824.573207177171</v>
      </c>
      <c r="F41" s="1013">
        <f>huishoudens!E12</f>
        <v>2136.4669222049083</v>
      </c>
      <c r="G41" s="1013">
        <f>huishoudens!F12</f>
        <v>22759.019283073874</v>
      </c>
      <c r="H41" s="1013">
        <f>huishoudens!G12</f>
        <v>0</v>
      </c>
      <c r="I41" s="1013">
        <f>huishoudens!H12</f>
        <v>0</v>
      </c>
      <c r="J41" s="1013">
        <f>huishoudens!I12</f>
        <v>0</v>
      </c>
      <c r="K41" s="1013">
        <f>huishoudens!J12</f>
        <v>1552.7801748658424</v>
      </c>
      <c r="L41" s="1013">
        <f>huishoudens!K12</f>
        <v>0</v>
      </c>
      <c r="M41" s="1013">
        <f>huishoudens!L12</f>
        <v>0</v>
      </c>
      <c r="N41" s="1013">
        <f>huishoudens!M12</f>
        <v>0</v>
      </c>
      <c r="O41" s="1013">
        <f>huishoudens!N12</f>
        <v>0</v>
      </c>
      <c r="P41" s="1013">
        <f>huishoudens!O12</f>
        <v>0</v>
      </c>
      <c r="Q41" s="774">
        <f>huishoudens!P12</f>
        <v>0</v>
      </c>
      <c r="R41" s="850">
        <f t="shared" ca="1" si="4"/>
        <v>55740.581787870025</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3598.6347699627549</v>
      </c>
      <c r="D43" s="1013">
        <f ca="1">industrie!C22</f>
        <v>0</v>
      </c>
      <c r="E43" s="1013">
        <f>industrie!D22</f>
        <v>3331.9723951618721</v>
      </c>
      <c r="F43" s="1013">
        <f>industrie!E22</f>
        <v>762.84817063468586</v>
      </c>
      <c r="G43" s="1013">
        <f>industrie!F22</f>
        <v>2658.16673921246</v>
      </c>
      <c r="H43" s="1013">
        <f>industrie!G22</f>
        <v>0</v>
      </c>
      <c r="I43" s="1013">
        <f>industrie!H22</f>
        <v>0</v>
      </c>
      <c r="J43" s="1013">
        <f>industrie!I22</f>
        <v>0</v>
      </c>
      <c r="K43" s="1013">
        <f>industrie!J22</f>
        <v>3.3655771220595945</v>
      </c>
      <c r="L43" s="1013">
        <f>industrie!K22</f>
        <v>0</v>
      </c>
      <c r="M43" s="1013">
        <f>industrie!L22</f>
        <v>0</v>
      </c>
      <c r="N43" s="1013">
        <f>industrie!M22</f>
        <v>0</v>
      </c>
      <c r="O43" s="1013">
        <f>industrie!N22</f>
        <v>0</v>
      </c>
      <c r="P43" s="1013">
        <f>industrie!O22</f>
        <v>0</v>
      </c>
      <c r="Q43" s="774">
        <f>industrie!P22</f>
        <v>0</v>
      </c>
      <c r="R43" s="849">
        <f t="shared" ca="1" si="4"/>
        <v>10354.987652093832</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21961.095794692479</v>
      </c>
      <c r="D46" s="732">
        <f t="shared" ref="D46:Q46" ca="1" si="5">SUM(D39:D45)</f>
        <v>68.469523197734645</v>
      </c>
      <c r="E46" s="732">
        <f t="shared" ca="1" si="5"/>
        <v>35993.167353405857</v>
      </c>
      <c r="F46" s="732">
        <f t="shared" si="5"/>
        <v>3073.8502084032234</v>
      </c>
      <c r="G46" s="732">
        <f t="shared" ca="1" si="5"/>
        <v>27922.234829823639</v>
      </c>
      <c r="H46" s="732">
        <f t="shared" si="5"/>
        <v>0</v>
      </c>
      <c r="I46" s="732">
        <f t="shared" si="5"/>
        <v>0</v>
      </c>
      <c r="J46" s="732">
        <f t="shared" si="5"/>
        <v>0</v>
      </c>
      <c r="K46" s="732">
        <f t="shared" si="5"/>
        <v>1556.194322951935</v>
      </c>
      <c r="L46" s="732">
        <f t="shared" si="5"/>
        <v>0</v>
      </c>
      <c r="M46" s="732">
        <f t="shared" ca="1" si="5"/>
        <v>0</v>
      </c>
      <c r="N46" s="732">
        <f t="shared" si="5"/>
        <v>0</v>
      </c>
      <c r="O46" s="732">
        <f t="shared" ca="1" si="5"/>
        <v>0</v>
      </c>
      <c r="P46" s="732">
        <f t="shared" si="5"/>
        <v>0</v>
      </c>
      <c r="Q46" s="732">
        <f t="shared" si="5"/>
        <v>0</v>
      </c>
      <c r="R46" s="732">
        <f ca="1">SUM(R39:R45)</f>
        <v>90575.012032474857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1292.7068118171503</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1292.7068118171503</v>
      </c>
    </row>
    <row r="50" spans="1:18">
      <c r="A50" s="825" t="s">
        <v>307</v>
      </c>
      <c r="B50" s="835"/>
      <c r="C50" s="703">
        <f ca="1">transport!B18</f>
        <v>14.943368591941802</v>
      </c>
      <c r="D50" s="703">
        <f>transport!C18</f>
        <v>0</v>
      </c>
      <c r="E50" s="703">
        <f>transport!D18</f>
        <v>59.641717626227127</v>
      </c>
      <c r="F50" s="703">
        <f>transport!E18</f>
        <v>90.178102312987519</v>
      </c>
      <c r="G50" s="703">
        <f>transport!F18</f>
        <v>0</v>
      </c>
      <c r="H50" s="703">
        <f>transport!G18</f>
        <v>38486.745092774014</v>
      </c>
      <c r="I50" s="703">
        <f>transport!H18</f>
        <v>8306.2840169430165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46957.792298248183</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14.943368591941802</v>
      </c>
      <c r="D52" s="732">
        <f t="shared" ref="D52:Q52" ca="1" si="6">SUM(D48:D51)</f>
        <v>0</v>
      </c>
      <c r="E52" s="732">
        <f t="shared" si="6"/>
        <v>59.641717626227127</v>
      </c>
      <c r="F52" s="732">
        <f t="shared" si="6"/>
        <v>90.178102312987519</v>
      </c>
      <c r="G52" s="732">
        <f t="shared" si="6"/>
        <v>0</v>
      </c>
      <c r="H52" s="732">
        <f t="shared" si="6"/>
        <v>39779.451904591166</v>
      </c>
      <c r="I52" s="732">
        <f t="shared" si="6"/>
        <v>8306.2840169430165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48250.499110065335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395.84830368586194</v>
      </c>
      <c r="D54" s="703">
        <f ca="1">+landbouw!C12</f>
        <v>510.54056083587892</v>
      </c>
      <c r="E54" s="703">
        <f>+landbouw!D12</f>
        <v>176.52342589200001</v>
      </c>
      <c r="F54" s="703">
        <f>+landbouw!E12</f>
        <v>15.203385158880295</v>
      </c>
      <c r="G54" s="703">
        <f>+landbouw!F12</f>
        <v>2534.5135461896652</v>
      </c>
      <c r="H54" s="703">
        <f>+landbouw!G12</f>
        <v>0</v>
      </c>
      <c r="I54" s="703">
        <f>+landbouw!H12</f>
        <v>0</v>
      </c>
      <c r="J54" s="703">
        <f>+landbouw!I12</f>
        <v>0</v>
      </c>
      <c r="K54" s="703">
        <f>+landbouw!J12</f>
        <v>116.86299170912665</v>
      </c>
      <c r="L54" s="703">
        <f>+landbouw!K12</f>
        <v>0</v>
      </c>
      <c r="M54" s="703">
        <f>+landbouw!L12</f>
        <v>0</v>
      </c>
      <c r="N54" s="703">
        <f>+landbouw!M12</f>
        <v>0</v>
      </c>
      <c r="O54" s="703">
        <f>+landbouw!N12</f>
        <v>0</v>
      </c>
      <c r="P54" s="703">
        <f>+landbouw!O12</f>
        <v>0</v>
      </c>
      <c r="Q54" s="704">
        <f>+landbouw!P12</f>
        <v>0</v>
      </c>
      <c r="R54" s="731">
        <f ca="1">SUM(C54:Q54)</f>
        <v>3749.4922134714134</v>
      </c>
    </row>
    <row r="55" spans="1:18" ht="15" thickBot="1">
      <c r="A55" s="825" t="s">
        <v>836</v>
      </c>
      <c r="B55" s="835"/>
      <c r="C55" s="703">
        <f ca="1">C25*'EF ele_warmte'!B12</f>
        <v>237.0295594935746</v>
      </c>
      <c r="D55" s="703"/>
      <c r="E55" s="703">
        <f>E25*EF_CO2_aardgas</f>
        <v>2490.0264983060001</v>
      </c>
      <c r="F55" s="703"/>
      <c r="G55" s="703"/>
      <c r="H55" s="703"/>
      <c r="I55" s="703"/>
      <c r="J55" s="703"/>
      <c r="K55" s="703"/>
      <c r="L55" s="703"/>
      <c r="M55" s="703"/>
      <c r="N55" s="703"/>
      <c r="O55" s="703"/>
      <c r="P55" s="703"/>
      <c r="Q55" s="704"/>
      <c r="R55" s="731">
        <f ca="1">SUM(C55:Q55)</f>
        <v>2727.0560577995748</v>
      </c>
    </row>
    <row r="56" spans="1:18" ht="15.75" thickBot="1">
      <c r="A56" s="823" t="s">
        <v>837</v>
      </c>
      <c r="B56" s="836"/>
      <c r="C56" s="732">
        <f ca="1">SUM(C54:C55)</f>
        <v>632.87786317943653</v>
      </c>
      <c r="D56" s="732">
        <f t="shared" ref="D56:Q56" ca="1" si="7">SUM(D54:D55)</f>
        <v>510.54056083587892</v>
      </c>
      <c r="E56" s="732">
        <f t="shared" si="7"/>
        <v>2666.5499241980001</v>
      </c>
      <c r="F56" s="732">
        <f t="shared" si="7"/>
        <v>15.203385158880295</v>
      </c>
      <c r="G56" s="732">
        <f t="shared" si="7"/>
        <v>2534.5135461896652</v>
      </c>
      <c r="H56" s="732">
        <f t="shared" si="7"/>
        <v>0</v>
      </c>
      <c r="I56" s="732">
        <f t="shared" si="7"/>
        <v>0</v>
      </c>
      <c r="J56" s="732">
        <f t="shared" si="7"/>
        <v>0</v>
      </c>
      <c r="K56" s="732">
        <f t="shared" si="7"/>
        <v>116.86299170912665</v>
      </c>
      <c r="L56" s="732">
        <f t="shared" si="7"/>
        <v>0</v>
      </c>
      <c r="M56" s="732">
        <f t="shared" si="7"/>
        <v>0</v>
      </c>
      <c r="N56" s="732">
        <f t="shared" si="7"/>
        <v>0</v>
      </c>
      <c r="O56" s="732">
        <f t="shared" si="7"/>
        <v>0</v>
      </c>
      <c r="P56" s="732">
        <f t="shared" si="7"/>
        <v>0</v>
      </c>
      <c r="Q56" s="733">
        <f t="shared" si="7"/>
        <v>0</v>
      </c>
      <c r="R56" s="734">
        <f ca="1">SUM(R54:R55)</f>
        <v>6476.5482712709882</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22608.91702646386</v>
      </c>
      <c r="D61" s="740">
        <f t="shared" ref="D61:Q61" ca="1" si="8">D46+D52+D56</f>
        <v>579.01008403361357</v>
      </c>
      <c r="E61" s="740">
        <f t="shared" ca="1" si="8"/>
        <v>38719.358995230083</v>
      </c>
      <c r="F61" s="740">
        <f t="shared" si="8"/>
        <v>3179.2316958750912</v>
      </c>
      <c r="G61" s="740">
        <f t="shared" ca="1" si="8"/>
        <v>30456.748376013304</v>
      </c>
      <c r="H61" s="740">
        <f t="shared" si="8"/>
        <v>39779.451904591166</v>
      </c>
      <c r="I61" s="740">
        <f t="shared" si="8"/>
        <v>8306.2840169430165</v>
      </c>
      <c r="J61" s="740">
        <f t="shared" si="8"/>
        <v>0</v>
      </c>
      <c r="K61" s="740">
        <f t="shared" si="8"/>
        <v>1673.0573146610616</v>
      </c>
      <c r="L61" s="740">
        <f t="shared" si="8"/>
        <v>0</v>
      </c>
      <c r="M61" s="740">
        <f t="shared" ca="1" si="8"/>
        <v>0</v>
      </c>
      <c r="N61" s="740">
        <f t="shared" si="8"/>
        <v>0</v>
      </c>
      <c r="O61" s="740">
        <f t="shared" ca="1" si="8"/>
        <v>0</v>
      </c>
      <c r="P61" s="740">
        <f t="shared" si="8"/>
        <v>0</v>
      </c>
      <c r="Q61" s="740">
        <f t="shared" si="8"/>
        <v>0</v>
      </c>
      <c r="R61" s="740">
        <f ca="1">R46+R52+R56</f>
        <v>145302.05941381119</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0.1737236978850161</v>
      </c>
      <c r="D63" s="781">
        <f t="shared" ca="1" si="9"/>
        <v>2.810241350830504E-2</v>
      </c>
      <c r="E63" s="1024">
        <f t="shared" ca="1" si="9"/>
        <v>0.20200000000000001</v>
      </c>
      <c r="F63" s="781">
        <f t="shared" si="9"/>
        <v>0.22699999999999995</v>
      </c>
      <c r="G63" s="781">
        <f t="shared" ca="1" si="9"/>
        <v>0.26700000000000007</v>
      </c>
      <c r="H63" s="781">
        <f t="shared" si="9"/>
        <v>0.26700000000000002</v>
      </c>
      <c r="I63" s="781">
        <f t="shared" si="9"/>
        <v>0.24900000000000003</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17.590620040955631</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15234.050380726112</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12717</v>
      </c>
      <c r="C76" s="750">
        <f>'lokale energieproductie'!B8*IFERROR(SUM(D76:H76)/SUM(D76:O76),0)</f>
        <v>1705.5</v>
      </c>
      <c r="D76" s="1034">
        <f>'lokale energieproductie'!C8</f>
        <v>2006.4705882352939</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14961.176470588234</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405.30705882352942</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27968.641000767067</v>
      </c>
      <c r="C78" s="755">
        <f>SUM(C72:C77)</f>
        <v>1705.5</v>
      </c>
      <c r="D78" s="756">
        <f t="shared" ref="D78:H78" si="10">SUM(D76:D77)</f>
        <v>2006.4705882352939</v>
      </c>
      <c r="E78" s="756">
        <f t="shared" si="10"/>
        <v>0</v>
      </c>
      <c r="F78" s="756">
        <f t="shared" si="10"/>
        <v>0</v>
      </c>
      <c r="G78" s="756">
        <f t="shared" si="10"/>
        <v>0</v>
      </c>
      <c r="H78" s="756">
        <f t="shared" si="10"/>
        <v>0</v>
      </c>
      <c r="I78" s="756">
        <f>SUM(I76:I77)</f>
        <v>0</v>
      </c>
      <c r="J78" s="756">
        <f>SUM(J76:J77)</f>
        <v>14961.176470588234</v>
      </c>
      <c r="K78" s="756">
        <f t="shared" ref="K78:L78" si="11">SUM(K76:K77)</f>
        <v>0</v>
      </c>
      <c r="L78" s="756">
        <f t="shared" si="11"/>
        <v>0</v>
      </c>
      <c r="M78" s="756">
        <f>SUM(M76:M77)</f>
        <v>0</v>
      </c>
      <c r="N78" s="756">
        <f>SUM(N76:N77)</f>
        <v>0</v>
      </c>
      <c r="O78" s="860">
        <f>SUM(O76:O77)</f>
        <v>0</v>
      </c>
      <c r="P78" s="757">
        <v>0</v>
      </c>
      <c r="Q78" s="757">
        <f>SUM(Q76:Q77)</f>
        <v>405.30705882352942</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18167.142857142859</v>
      </c>
      <c r="C87" s="766">
        <f>'lokale energieproductie'!B17*IFERROR(SUM(D87:H87)/SUM(D87:O87),0)</f>
        <v>2436.4285714285716</v>
      </c>
      <c r="D87" s="777">
        <f>'lokale energieproductie'!C17</f>
        <v>2866.386554621849</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21373.109243697483</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579.01008403361357</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18167.142857142859</v>
      </c>
      <c r="C90" s="755">
        <f>SUM(C87:C89)</f>
        <v>2436.4285714285716</v>
      </c>
      <c r="D90" s="755">
        <f t="shared" ref="D90:H90" si="12">SUM(D87:D89)</f>
        <v>2866.386554621849</v>
      </c>
      <c r="E90" s="755">
        <f t="shared" si="12"/>
        <v>0</v>
      </c>
      <c r="F90" s="755">
        <f t="shared" si="12"/>
        <v>0</v>
      </c>
      <c r="G90" s="755">
        <f t="shared" si="12"/>
        <v>0</v>
      </c>
      <c r="H90" s="755">
        <f t="shared" si="12"/>
        <v>0</v>
      </c>
      <c r="I90" s="755">
        <f>SUM(I87:I89)</f>
        <v>0</v>
      </c>
      <c r="J90" s="755">
        <f>SUM(J87:J89)</f>
        <v>21373.109243697483</v>
      </c>
      <c r="K90" s="755">
        <f t="shared" ref="K90:L90" si="13">SUM(K87:K89)</f>
        <v>0</v>
      </c>
      <c r="L90" s="755">
        <f t="shared" si="13"/>
        <v>0</v>
      </c>
      <c r="M90" s="755">
        <f>SUM(M87:M89)</f>
        <v>0</v>
      </c>
      <c r="N90" s="755">
        <f>SUM(N87:N89)</f>
        <v>0</v>
      </c>
      <c r="O90" s="755">
        <f>SUM(O87:O89)</f>
        <v>0</v>
      </c>
      <c r="P90" s="755">
        <v>0</v>
      </c>
      <c r="Q90" s="755">
        <f>SUM(Q87:Q89)</f>
        <v>579.01008403361357</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17.590620040955631</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15234.050380726112</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14422.5</v>
      </c>
      <c r="C8" s="570">
        <f>B101</f>
        <v>2006.4705882352939</v>
      </c>
      <c r="D8" s="1044"/>
      <c r="E8" s="1044">
        <f>E101</f>
        <v>0</v>
      </c>
      <c r="F8" s="1045"/>
      <c r="G8" s="571"/>
      <c r="H8" s="1044">
        <f>I101</f>
        <v>0</v>
      </c>
      <c r="I8" s="1044">
        <f>G101+F101</f>
        <v>0</v>
      </c>
      <c r="J8" s="1044">
        <f>H101+D101+C101</f>
        <v>14961.176470588234</v>
      </c>
      <c r="K8" s="1044"/>
      <c r="L8" s="1044"/>
      <c r="M8" s="1044"/>
      <c r="N8" s="572"/>
      <c r="O8" s="573">
        <f>C8*$C$12+D8*$D$12+E8*$E$12+F8*$F$12+G8*$G$12+H8*$H$12+I8*$I$12+J8*$J$12</f>
        <v>405.30705882352942</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29674.141000767067</v>
      </c>
      <c r="C10" s="583">
        <f t="shared" ref="C10:L10" si="0">SUM(C8:C9)</f>
        <v>2006.4705882352939</v>
      </c>
      <c r="D10" s="583">
        <f t="shared" si="0"/>
        <v>0</v>
      </c>
      <c r="E10" s="583">
        <f t="shared" si="0"/>
        <v>0</v>
      </c>
      <c r="F10" s="583">
        <f t="shared" si="0"/>
        <v>0</v>
      </c>
      <c r="G10" s="583">
        <f t="shared" si="0"/>
        <v>0</v>
      </c>
      <c r="H10" s="583">
        <f t="shared" si="0"/>
        <v>0</v>
      </c>
      <c r="I10" s="583">
        <f t="shared" si="0"/>
        <v>0</v>
      </c>
      <c r="J10" s="583">
        <f t="shared" si="0"/>
        <v>14961.176470588234</v>
      </c>
      <c r="K10" s="583">
        <f t="shared" si="0"/>
        <v>0</v>
      </c>
      <c r="L10" s="583">
        <f t="shared" si="0"/>
        <v>0</v>
      </c>
      <c r="M10" s="1047"/>
      <c r="N10" s="1047"/>
      <c r="O10" s="584">
        <f>SUM(O4:O9)</f>
        <v>405.30705882352942</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20603.571428571431</v>
      </c>
      <c r="C17" s="595">
        <f>B102</f>
        <v>2866.386554621849</v>
      </c>
      <c r="D17" s="596"/>
      <c r="E17" s="596">
        <f>E102</f>
        <v>0</v>
      </c>
      <c r="F17" s="1050"/>
      <c r="G17" s="597"/>
      <c r="H17" s="595">
        <f>I102</f>
        <v>0</v>
      </c>
      <c r="I17" s="596">
        <f>G102+F102</f>
        <v>0</v>
      </c>
      <c r="J17" s="596">
        <f>H102+D102+C102</f>
        <v>21373.109243697483</v>
      </c>
      <c r="K17" s="596"/>
      <c r="L17" s="596"/>
      <c r="M17" s="596"/>
      <c r="N17" s="1051"/>
      <c r="O17" s="598">
        <f>C17*$C$22+E17*$E$22+H17*$H$22+I17*$I$22+J17*$J$22+D17*$D$22+F17*$F$22+G17*$G$22+K17*$K$22+L17*$L$22</f>
        <v>579.01008403361357</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20603.571428571431</v>
      </c>
      <c r="C20" s="582">
        <f>SUM(C17:C19)</f>
        <v>2866.386554621849</v>
      </c>
      <c r="D20" s="582">
        <f t="shared" ref="D20:L20" si="1">SUM(D17:D19)</f>
        <v>0</v>
      </c>
      <c r="E20" s="582">
        <f t="shared" si="1"/>
        <v>0</v>
      </c>
      <c r="F20" s="582">
        <f t="shared" si="1"/>
        <v>0</v>
      </c>
      <c r="G20" s="582">
        <f t="shared" si="1"/>
        <v>0</v>
      </c>
      <c r="H20" s="582">
        <f t="shared" si="1"/>
        <v>0</v>
      </c>
      <c r="I20" s="582">
        <f t="shared" si="1"/>
        <v>0</v>
      </c>
      <c r="J20" s="582">
        <f t="shared" si="1"/>
        <v>21373.109243697483</v>
      </c>
      <c r="K20" s="582">
        <f t="shared" si="1"/>
        <v>0</v>
      </c>
      <c r="L20" s="582">
        <f t="shared" si="1"/>
        <v>0</v>
      </c>
      <c r="M20" s="582"/>
      <c r="N20" s="582"/>
      <c r="O20" s="601">
        <f>SUM(O17:O19)</f>
        <v>579.01008403361357</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73083</v>
      </c>
      <c r="C28" s="796">
        <v>3700</v>
      </c>
      <c r="D28" s="653" t="s">
        <v>881</v>
      </c>
      <c r="E28" s="652" t="s">
        <v>882</v>
      </c>
      <c r="F28" s="652" t="s">
        <v>883</v>
      </c>
      <c r="G28" s="652" t="s">
        <v>884</v>
      </c>
      <c r="H28" s="652" t="s">
        <v>885</v>
      </c>
      <c r="I28" s="652" t="s">
        <v>882</v>
      </c>
      <c r="J28" s="795">
        <v>41131</v>
      </c>
      <c r="K28" s="795">
        <v>41131</v>
      </c>
      <c r="L28" s="652" t="s">
        <v>886</v>
      </c>
      <c r="M28" s="652">
        <v>2826</v>
      </c>
      <c r="N28" s="652">
        <v>12717</v>
      </c>
      <c r="O28" s="652">
        <v>18167.142857142859</v>
      </c>
      <c r="P28" s="652">
        <v>0</v>
      </c>
      <c r="Q28" s="652">
        <v>36334.285714285717</v>
      </c>
      <c r="R28" s="652">
        <v>0</v>
      </c>
      <c r="S28" s="652">
        <v>0</v>
      </c>
      <c r="T28" s="652">
        <v>0</v>
      </c>
      <c r="U28" s="652">
        <v>0</v>
      </c>
      <c r="V28" s="652">
        <v>0</v>
      </c>
      <c r="W28" s="652">
        <v>0</v>
      </c>
      <c r="X28" s="652">
        <v>10</v>
      </c>
      <c r="Y28" s="652" t="s">
        <v>112</v>
      </c>
      <c r="Z28" s="654" t="s">
        <v>112</v>
      </c>
    </row>
    <row r="29" spans="1:26" s="606" customFormat="1" ht="51">
      <c r="A29" s="605"/>
      <c r="B29" s="796">
        <v>73083</v>
      </c>
      <c r="C29" s="796">
        <v>3700</v>
      </c>
      <c r="D29" s="653" t="s">
        <v>887</v>
      </c>
      <c r="E29" s="652"/>
      <c r="F29" s="652" t="s">
        <v>888</v>
      </c>
      <c r="G29" s="652" t="s">
        <v>884</v>
      </c>
      <c r="H29" s="652" t="s">
        <v>885</v>
      </c>
      <c r="I29" s="652" t="s">
        <v>889</v>
      </c>
      <c r="J29" s="795">
        <v>41869</v>
      </c>
      <c r="K29" s="795">
        <v>42117</v>
      </c>
      <c r="L29" s="652" t="s">
        <v>890</v>
      </c>
      <c r="M29" s="652">
        <v>379</v>
      </c>
      <c r="N29" s="652">
        <v>1705.5</v>
      </c>
      <c r="O29" s="652">
        <v>2436.4285714285716</v>
      </c>
      <c r="P29" s="652">
        <v>4872.8571428571431</v>
      </c>
      <c r="Q29" s="652">
        <v>0</v>
      </c>
      <c r="R29" s="652">
        <v>0</v>
      </c>
      <c r="S29" s="652">
        <v>0</v>
      </c>
      <c r="T29" s="652">
        <v>0</v>
      </c>
      <c r="U29" s="652">
        <v>0</v>
      </c>
      <c r="V29" s="652">
        <v>0</v>
      </c>
      <c r="W29" s="652">
        <v>0</v>
      </c>
      <c r="X29" s="652">
        <v>1500</v>
      </c>
      <c r="Y29" s="652" t="s">
        <v>51</v>
      </c>
      <c r="Z29" s="654" t="s">
        <v>156</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3205</v>
      </c>
      <c r="N58" s="610">
        <f>SUM(N28:N57)</f>
        <v>14422.5</v>
      </c>
      <c r="O58" s="610">
        <f t="shared" ref="O58:W58" si="2">SUM(O28:O57)</f>
        <v>20603.571428571431</v>
      </c>
      <c r="P58" s="610">
        <f t="shared" si="2"/>
        <v>4872.8571428571431</v>
      </c>
      <c r="Q58" s="610">
        <f t="shared" si="2"/>
        <v>36334.285714285717</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379</v>
      </c>
      <c r="N60" s="610">
        <f ca="1">SUMIF($Z$28:AD57,"tertiair",N28:N57)</f>
        <v>1705.5</v>
      </c>
      <c r="O60" s="610">
        <f ca="1">SUMIF($Z$28:AE57,"tertiair",O28:O57)</f>
        <v>2436.4285714285716</v>
      </c>
      <c r="P60" s="610">
        <f ca="1">SUMIF($Z$28:AF57,"tertiair",P28:P57)</f>
        <v>4872.8571428571431</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2826</v>
      </c>
      <c r="N61" s="615">
        <f t="shared" si="4"/>
        <v>12717</v>
      </c>
      <c r="O61" s="615">
        <f t="shared" si="4"/>
        <v>18167.142857142859</v>
      </c>
      <c r="P61" s="615">
        <f t="shared" si="4"/>
        <v>0</v>
      </c>
      <c r="Q61" s="615">
        <f t="shared" si="4"/>
        <v>36334.285714285717</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0.41176470588235287</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2006.4705882352939</v>
      </c>
      <c r="C101" s="644">
        <f t="shared" si="9"/>
        <v>14961.176470588234</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2866.386554621849</v>
      </c>
      <c r="C102" s="647">
        <f t="shared" si="10"/>
        <v>21373.109243697483</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48742.585517335945</v>
      </c>
      <c r="C4" s="477">
        <f>huishoudens!C8</f>
        <v>0</v>
      </c>
      <c r="D4" s="477">
        <f>huishoudens!D8</f>
        <v>103091.94657018401</v>
      </c>
      <c r="E4" s="477">
        <f>huishoudens!E8</f>
        <v>9411.7485559687593</v>
      </c>
      <c r="F4" s="477">
        <f>huishoudens!F8</f>
        <v>85239.772595782299</v>
      </c>
      <c r="G4" s="477">
        <f>huishoudens!G8</f>
        <v>0</v>
      </c>
      <c r="H4" s="477">
        <f>huishoudens!H8</f>
        <v>0</v>
      </c>
      <c r="I4" s="477">
        <f>huishoudens!I8</f>
        <v>0</v>
      </c>
      <c r="J4" s="477">
        <f>huishoudens!J8</f>
        <v>4386.3846747622665</v>
      </c>
      <c r="K4" s="477">
        <f>huishoudens!K8</f>
        <v>0</v>
      </c>
      <c r="L4" s="477">
        <f>huishoudens!L8</f>
        <v>0</v>
      </c>
      <c r="M4" s="477">
        <f>huishoudens!M8</f>
        <v>0</v>
      </c>
      <c r="N4" s="477">
        <f>huishoudens!N8</f>
        <v>29586.171652599711</v>
      </c>
      <c r="O4" s="477">
        <f>huishoudens!O8</f>
        <v>412.71999999999997</v>
      </c>
      <c r="P4" s="478">
        <f>huishoudens!P8</f>
        <v>819.86666666666667</v>
      </c>
      <c r="Q4" s="479">
        <f>SUM(B4:P4)</f>
        <v>281691.19623329956</v>
      </c>
    </row>
    <row r="5" spans="1:17">
      <c r="A5" s="476" t="s">
        <v>156</v>
      </c>
      <c r="B5" s="477">
        <f ca="1">tertiair!B16</f>
        <v>54917.821054</v>
      </c>
      <c r="C5" s="477">
        <f ca="1">tertiair!C16</f>
        <v>2436.4285714285716</v>
      </c>
      <c r="D5" s="477">
        <f ca="1">tertiair!D16</f>
        <v>58597.137381518864</v>
      </c>
      <c r="E5" s="477">
        <f>tertiair!E16</f>
        <v>768.87716107325787</v>
      </c>
      <c r="F5" s="477">
        <f ca="1">tertiair!F16</f>
        <v>9382.2052716752878</v>
      </c>
      <c r="G5" s="477">
        <f>tertiair!G16</f>
        <v>0</v>
      </c>
      <c r="H5" s="477">
        <f>tertiair!H16</f>
        <v>0</v>
      </c>
      <c r="I5" s="477">
        <f>tertiair!I16</f>
        <v>0</v>
      </c>
      <c r="J5" s="477">
        <f>tertiair!J16</f>
        <v>0.13720611308738115</v>
      </c>
      <c r="K5" s="477">
        <f>tertiair!K16</f>
        <v>0</v>
      </c>
      <c r="L5" s="477">
        <f ca="1">tertiair!L16</f>
        <v>0</v>
      </c>
      <c r="M5" s="477">
        <f>tertiair!M16</f>
        <v>0</v>
      </c>
      <c r="N5" s="477">
        <f ca="1">tertiair!N16</f>
        <v>5504.6666306344769</v>
      </c>
      <c r="O5" s="477">
        <f>tertiair!O16</f>
        <v>1.5633333333333335</v>
      </c>
      <c r="P5" s="478">
        <f>tertiair!P16</f>
        <v>95.333333333333343</v>
      </c>
      <c r="Q5" s="476">
        <f t="shared" ref="Q5:Q14" ca="1" si="0">SUM(B5:P5)</f>
        <v>131704.1699431102</v>
      </c>
    </row>
    <row r="6" spans="1:17">
      <c r="A6" s="476" t="s">
        <v>194</v>
      </c>
      <c r="B6" s="477">
        <f>'openbare verlichting'!B8</f>
        <v>2038.8230000000001</v>
      </c>
      <c r="C6" s="477"/>
      <c r="D6" s="477"/>
      <c r="E6" s="477"/>
      <c r="F6" s="477"/>
      <c r="G6" s="477"/>
      <c r="H6" s="477"/>
      <c r="I6" s="477"/>
      <c r="J6" s="477"/>
      <c r="K6" s="477"/>
      <c r="L6" s="477"/>
      <c r="M6" s="477"/>
      <c r="N6" s="477"/>
      <c r="O6" s="477"/>
      <c r="P6" s="478"/>
      <c r="Q6" s="476">
        <f t="shared" si="0"/>
        <v>2038.8230000000001</v>
      </c>
    </row>
    <row r="7" spans="1:17">
      <c r="A7" s="476" t="s">
        <v>112</v>
      </c>
      <c r="B7" s="477">
        <f>landbouw!B8</f>
        <v>2278.6085520000001</v>
      </c>
      <c r="C7" s="477">
        <f>landbouw!C8</f>
        <v>18167.142857142859</v>
      </c>
      <c r="D7" s="477">
        <f>landbouw!D8</f>
        <v>873.87834599999996</v>
      </c>
      <c r="E7" s="477">
        <f>landbouw!E8</f>
        <v>66.975265017093804</v>
      </c>
      <c r="F7" s="477">
        <f>landbouw!F8</f>
        <v>9492.5600980886338</v>
      </c>
      <c r="G7" s="477">
        <f>landbouw!G8</f>
        <v>0</v>
      </c>
      <c r="H7" s="477">
        <f>landbouw!H8</f>
        <v>0</v>
      </c>
      <c r="I7" s="477">
        <f>landbouw!I8</f>
        <v>0</v>
      </c>
      <c r="J7" s="477">
        <f>landbouw!J8</f>
        <v>330.12144550600749</v>
      </c>
      <c r="K7" s="477">
        <f>landbouw!K8</f>
        <v>0</v>
      </c>
      <c r="L7" s="477">
        <f>landbouw!L8</f>
        <v>0</v>
      </c>
      <c r="M7" s="477">
        <f>landbouw!M8</f>
        <v>0</v>
      </c>
      <c r="N7" s="477">
        <f>landbouw!N8</f>
        <v>0</v>
      </c>
      <c r="O7" s="477">
        <f>landbouw!O8</f>
        <v>0</v>
      </c>
      <c r="P7" s="478">
        <f>landbouw!P8</f>
        <v>0</v>
      </c>
      <c r="Q7" s="476">
        <f t="shared" si="0"/>
        <v>31209.286563754595</v>
      </c>
    </row>
    <row r="8" spans="1:17">
      <c r="A8" s="476" t="s">
        <v>635</v>
      </c>
      <c r="B8" s="477">
        <f>industrie!B18</f>
        <v>20714.702794000004</v>
      </c>
      <c r="C8" s="477">
        <f>industrie!C18</f>
        <v>0</v>
      </c>
      <c r="D8" s="477">
        <f>industrie!D18</f>
        <v>16494.912847336</v>
      </c>
      <c r="E8" s="477">
        <f>industrie!E18</f>
        <v>3360.5646283466335</v>
      </c>
      <c r="F8" s="477">
        <f>industrie!F18</f>
        <v>9955.6806712077141</v>
      </c>
      <c r="G8" s="477">
        <f>industrie!G18</f>
        <v>0</v>
      </c>
      <c r="H8" s="477">
        <f>industrie!H18</f>
        <v>0</v>
      </c>
      <c r="I8" s="477">
        <f>industrie!I18</f>
        <v>0</v>
      </c>
      <c r="J8" s="477">
        <f>industrie!J18</f>
        <v>9.507280005818064</v>
      </c>
      <c r="K8" s="477">
        <f>industrie!K18</f>
        <v>0</v>
      </c>
      <c r="L8" s="477">
        <f>industrie!L18</f>
        <v>0</v>
      </c>
      <c r="M8" s="477">
        <f>industrie!M18</f>
        <v>0</v>
      </c>
      <c r="N8" s="477">
        <f>industrie!N18</f>
        <v>4169.4525979736618</v>
      </c>
      <c r="O8" s="477">
        <f>industrie!O18</f>
        <v>0</v>
      </c>
      <c r="P8" s="478">
        <f>industrie!P18</f>
        <v>0</v>
      </c>
      <c r="Q8" s="476">
        <f t="shared" si="0"/>
        <v>54704.820818869834</v>
      </c>
    </row>
    <row r="9" spans="1:17" s="482" customFormat="1">
      <c r="A9" s="480" t="s">
        <v>561</v>
      </c>
      <c r="B9" s="481">
        <f>transport!B14</f>
        <v>86.018020419024765</v>
      </c>
      <c r="C9" s="481">
        <f>transport!C14</f>
        <v>0</v>
      </c>
      <c r="D9" s="481">
        <f>transport!D14</f>
        <v>295.25602785260952</v>
      </c>
      <c r="E9" s="481">
        <f>transport!E14</f>
        <v>397.26036261227978</v>
      </c>
      <c r="F9" s="481">
        <f>transport!F14</f>
        <v>0</v>
      </c>
      <c r="G9" s="481">
        <f>transport!G14</f>
        <v>144145.11270701876</v>
      </c>
      <c r="H9" s="481">
        <f>transport!H14</f>
        <v>33358.570349168738</v>
      </c>
      <c r="I9" s="481">
        <f>transport!I14</f>
        <v>0</v>
      </c>
      <c r="J9" s="481">
        <f>transport!J14</f>
        <v>0</v>
      </c>
      <c r="K9" s="481">
        <f>transport!K14</f>
        <v>0</v>
      </c>
      <c r="L9" s="481">
        <f>transport!L14</f>
        <v>0</v>
      </c>
      <c r="M9" s="481">
        <f>transport!M14</f>
        <v>9405.8060360321306</v>
      </c>
      <c r="N9" s="481">
        <f>transport!N14</f>
        <v>0</v>
      </c>
      <c r="O9" s="481">
        <f>transport!O14</f>
        <v>0</v>
      </c>
      <c r="P9" s="481">
        <f>transport!P14</f>
        <v>0</v>
      </c>
      <c r="Q9" s="480">
        <f>SUM(B9:P9)</f>
        <v>187688.02350310353</v>
      </c>
    </row>
    <row r="10" spans="1:17">
      <c r="A10" s="476" t="s">
        <v>551</v>
      </c>
      <c r="B10" s="477">
        <f>transport!B54</f>
        <v>0</v>
      </c>
      <c r="C10" s="477">
        <f>transport!C54</f>
        <v>0</v>
      </c>
      <c r="D10" s="477">
        <f>transport!D54</f>
        <v>0</v>
      </c>
      <c r="E10" s="477">
        <f>transport!E54</f>
        <v>0</v>
      </c>
      <c r="F10" s="477">
        <f>transport!F54</f>
        <v>0</v>
      </c>
      <c r="G10" s="477">
        <f>transport!G54</f>
        <v>4841.5985461316486</v>
      </c>
      <c r="H10" s="477">
        <f>transport!H54</f>
        <v>0</v>
      </c>
      <c r="I10" s="477">
        <f>transport!I54</f>
        <v>0</v>
      </c>
      <c r="J10" s="477">
        <f>transport!J54</f>
        <v>0</v>
      </c>
      <c r="K10" s="477">
        <f>transport!K54</f>
        <v>0</v>
      </c>
      <c r="L10" s="477">
        <f>transport!L54</f>
        <v>0</v>
      </c>
      <c r="M10" s="477">
        <f>transport!M54</f>
        <v>274.98142381367234</v>
      </c>
      <c r="N10" s="477">
        <f>transport!N54</f>
        <v>0</v>
      </c>
      <c r="O10" s="477">
        <f>transport!O54</f>
        <v>0</v>
      </c>
      <c r="P10" s="478">
        <f>transport!P54</f>
        <v>0</v>
      </c>
      <c r="Q10" s="476">
        <f t="shared" si="0"/>
        <v>5116.579969945321</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1364.405446</v>
      </c>
      <c r="C14" s="484"/>
      <c r="D14" s="484">
        <f>'SEAP template'!E25</f>
        <v>12326.863853000001</v>
      </c>
      <c r="E14" s="484"/>
      <c r="F14" s="484"/>
      <c r="G14" s="484"/>
      <c r="H14" s="484"/>
      <c r="I14" s="484"/>
      <c r="J14" s="484"/>
      <c r="K14" s="484"/>
      <c r="L14" s="484"/>
      <c r="M14" s="484"/>
      <c r="N14" s="484"/>
      <c r="O14" s="484"/>
      <c r="P14" s="485"/>
      <c r="Q14" s="476">
        <f t="shared" si="0"/>
        <v>13691.269299000001</v>
      </c>
    </row>
    <row r="15" spans="1:17" s="486" customFormat="1">
      <c r="A15" s="1039" t="s">
        <v>555</v>
      </c>
      <c r="B15" s="987">
        <f ca="1">SUM(B4:B14)</f>
        <v>130142.96438375498</v>
      </c>
      <c r="C15" s="987">
        <f t="shared" ref="C15:Q15" ca="1" si="1">SUM(C4:C14)</f>
        <v>20603.571428571431</v>
      </c>
      <c r="D15" s="987">
        <f t="shared" ca="1" si="1"/>
        <v>191679.99502589149</v>
      </c>
      <c r="E15" s="987">
        <f t="shared" si="1"/>
        <v>14005.425973018026</v>
      </c>
      <c r="F15" s="987">
        <f t="shared" ca="1" si="1"/>
        <v>114070.21863675393</v>
      </c>
      <c r="G15" s="987">
        <f t="shared" si="1"/>
        <v>148986.71125315042</v>
      </c>
      <c r="H15" s="987">
        <f t="shared" si="1"/>
        <v>33358.570349168738</v>
      </c>
      <c r="I15" s="987">
        <f t="shared" si="1"/>
        <v>0</v>
      </c>
      <c r="J15" s="987">
        <f t="shared" si="1"/>
        <v>4726.1506063871793</v>
      </c>
      <c r="K15" s="987">
        <f t="shared" si="1"/>
        <v>0</v>
      </c>
      <c r="L15" s="987">
        <f t="shared" ca="1" si="1"/>
        <v>0</v>
      </c>
      <c r="M15" s="987">
        <f t="shared" si="1"/>
        <v>9680.7874598458038</v>
      </c>
      <c r="N15" s="987">
        <f t="shared" ca="1" si="1"/>
        <v>39260.290881207853</v>
      </c>
      <c r="O15" s="987">
        <f t="shared" si="1"/>
        <v>414.2833333333333</v>
      </c>
      <c r="P15" s="987">
        <f t="shared" si="1"/>
        <v>915.2</v>
      </c>
      <c r="Q15" s="987">
        <f t="shared" ca="1" si="1"/>
        <v>707844.16933108307</v>
      </c>
    </row>
    <row r="17" spans="1:17">
      <c r="A17" s="487" t="s">
        <v>556</v>
      </c>
      <c r="B17" s="786">
        <f ca="1">huishoudens!B10</f>
        <v>0.17372369788501607</v>
      </c>
      <c r="C17" s="786">
        <f ca="1">huishoudens!C10</f>
        <v>2.810241350830504E-2</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8467.7422005482294</v>
      </c>
      <c r="C22" s="477">
        <f t="shared" ref="C22:C32" ca="1" si="3">C4*$C$17</f>
        <v>0</v>
      </c>
      <c r="D22" s="477">
        <f t="shared" ref="D22:D32" si="4">D4*$D$17</f>
        <v>20824.573207177171</v>
      </c>
      <c r="E22" s="477">
        <f t="shared" ref="E22:E32" si="5">E4*$E$17</f>
        <v>2136.4669222049083</v>
      </c>
      <c r="F22" s="477">
        <f t="shared" ref="F22:F32" si="6">F4*$F$17</f>
        <v>22759.019283073874</v>
      </c>
      <c r="G22" s="477">
        <f t="shared" ref="G22:G32" si="7">G4*$G$17</f>
        <v>0</v>
      </c>
      <c r="H22" s="477">
        <f t="shared" ref="H22:H32" si="8">H4*$H$17</f>
        <v>0</v>
      </c>
      <c r="I22" s="477">
        <f t="shared" ref="I22:I32" si="9">I4*$I$17</f>
        <v>0</v>
      </c>
      <c r="J22" s="477">
        <f t="shared" ref="J22:J32" si="10">J4*$J$17</f>
        <v>1552.7801748658424</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55740.581787870025</v>
      </c>
    </row>
    <row r="23" spans="1:17">
      <c r="A23" s="476" t="s">
        <v>156</v>
      </c>
      <c r="B23" s="477">
        <f t="shared" ca="1" si="2"/>
        <v>9540.5269532884704</v>
      </c>
      <c r="C23" s="477">
        <f t="shared" ca="1" si="3"/>
        <v>68.469523197734645</v>
      </c>
      <c r="D23" s="477">
        <f t="shared" ca="1" si="4"/>
        <v>11836.621751066812</v>
      </c>
      <c r="E23" s="477">
        <f t="shared" si="5"/>
        <v>174.53511556362955</v>
      </c>
      <c r="F23" s="477">
        <f t="shared" ca="1" si="6"/>
        <v>2505.0488075373019</v>
      </c>
      <c r="G23" s="477">
        <f t="shared" si="7"/>
        <v>0</v>
      </c>
      <c r="H23" s="477">
        <f t="shared" si="8"/>
        <v>0</v>
      </c>
      <c r="I23" s="477">
        <f t="shared" si="9"/>
        <v>0</v>
      </c>
      <c r="J23" s="477">
        <f t="shared" si="10"/>
        <v>4.8570964032932921E-2</v>
      </c>
      <c r="K23" s="477">
        <f t="shared" si="11"/>
        <v>0</v>
      </c>
      <c r="L23" s="477">
        <f t="shared" ca="1" si="12"/>
        <v>0</v>
      </c>
      <c r="M23" s="477">
        <f t="shared" si="13"/>
        <v>0</v>
      </c>
      <c r="N23" s="477">
        <f t="shared" ca="1" si="14"/>
        <v>0</v>
      </c>
      <c r="O23" s="477">
        <f t="shared" si="15"/>
        <v>0</v>
      </c>
      <c r="P23" s="478">
        <f t="shared" si="16"/>
        <v>0</v>
      </c>
      <c r="Q23" s="476">
        <f t="shared" ref="Q23:Q32" ca="1" si="17">SUM(B23:P23)</f>
        <v>24125.250721617984</v>
      </c>
    </row>
    <row r="24" spans="1:17">
      <c r="A24" s="476" t="s">
        <v>194</v>
      </c>
      <c r="B24" s="477">
        <f t="shared" ca="1" si="2"/>
        <v>354.19187089302216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354.19187089302216</v>
      </c>
    </row>
    <row r="25" spans="1:17">
      <c r="A25" s="476" t="s">
        <v>112</v>
      </c>
      <c r="B25" s="477">
        <f t="shared" ca="1" si="2"/>
        <v>395.84830368586194</v>
      </c>
      <c r="C25" s="477">
        <f t="shared" ca="1" si="3"/>
        <v>510.54056083587892</v>
      </c>
      <c r="D25" s="477">
        <f t="shared" si="4"/>
        <v>176.52342589200001</v>
      </c>
      <c r="E25" s="477">
        <f t="shared" si="5"/>
        <v>15.203385158880295</v>
      </c>
      <c r="F25" s="477">
        <f t="shared" si="6"/>
        <v>2534.5135461896652</v>
      </c>
      <c r="G25" s="477">
        <f t="shared" si="7"/>
        <v>0</v>
      </c>
      <c r="H25" s="477">
        <f t="shared" si="8"/>
        <v>0</v>
      </c>
      <c r="I25" s="477">
        <f t="shared" si="9"/>
        <v>0</v>
      </c>
      <c r="J25" s="477">
        <f t="shared" si="10"/>
        <v>116.86299170912665</v>
      </c>
      <c r="K25" s="477">
        <f t="shared" si="11"/>
        <v>0</v>
      </c>
      <c r="L25" s="477">
        <f t="shared" si="12"/>
        <v>0</v>
      </c>
      <c r="M25" s="477">
        <f t="shared" si="13"/>
        <v>0</v>
      </c>
      <c r="N25" s="477">
        <f t="shared" si="14"/>
        <v>0</v>
      </c>
      <c r="O25" s="477">
        <f t="shared" si="15"/>
        <v>0</v>
      </c>
      <c r="P25" s="478">
        <f t="shared" si="16"/>
        <v>0</v>
      </c>
      <c r="Q25" s="476">
        <f t="shared" ca="1" si="17"/>
        <v>3749.4922134714134</v>
      </c>
    </row>
    <row r="26" spans="1:17">
      <c r="A26" s="476" t="s">
        <v>635</v>
      </c>
      <c r="B26" s="477">
        <f t="shared" ca="1" si="2"/>
        <v>3598.6347699627549</v>
      </c>
      <c r="C26" s="477">
        <f t="shared" ca="1" si="3"/>
        <v>0</v>
      </c>
      <c r="D26" s="477">
        <f t="shared" si="4"/>
        <v>3331.9723951618721</v>
      </c>
      <c r="E26" s="477">
        <f t="shared" si="5"/>
        <v>762.84817063468586</v>
      </c>
      <c r="F26" s="477">
        <f t="shared" si="6"/>
        <v>2658.16673921246</v>
      </c>
      <c r="G26" s="477">
        <f t="shared" si="7"/>
        <v>0</v>
      </c>
      <c r="H26" s="477">
        <f t="shared" si="8"/>
        <v>0</v>
      </c>
      <c r="I26" s="477">
        <f t="shared" si="9"/>
        <v>0</v>
      </c>
      <c r="J26" s="477">
        <f t="shared" si="10"/>
        <v>3.3655771220595945</v>
      </c>
      <c r="K26" s="477">
        <f t="shared" si="11"/>
        <v>0</v>
      </c>
      <c r="L26" s="477">
        <f t="shared" si="12"/>
        <v>0</v>
      </c>
      <c r="M26" s="477">
        <f t="shared" si="13"/>
        <v>0</v>
      </c>
      <c r="N26" s="477">
        <f t="shared" si="14"/>
        <v>0</v>
      </c>
      <c r="O26" s="477">
        <f t="shared" si="15"/>
        <v>0</v>
      </c>
      <c r="P26" s="478">
        <f t="shared" si="16"/>
        <v>0</v>
      </c>
      <c r="Q26" s="476">
        <f t="shared" ca="1" si="17"/>
        <v>10354.987652093832</v>
      </c>
    </row>
    <row r="27" spans="1:17" s="482" customFormat="1">
      <c r="A27" s="480" t="s">
        <v>561</v>
      </c>
      <c r="B27" s="780">
        <f t="shared" ca="1" si="2"/>
        <v>14.943368591941802</v>
      </c>
      <c r="C27" s="481">
        <f t="shared" ca="1" si="3"/>
        <v>0</v>
      </c>
      <c r="D27" s="481">
        <f t="shared" si="4"/>
        <v>59.641717626227127</v>
      </c>
      <c r="E27" s="481">
        <f t="shared" si="5"/>
        <v>90.178102312987519</v>
      </c>
      <c r="F27" s="481">
        <f t="shared" si="6"/>
        <v>0</v>
      </c>
      <c r="G27" s="481">
        <f t="shared" si="7"/>
        <v>38486.745092774014</v>
      </c>
      <c r="H27" s="481">
        <f t="shared" si="8"/>
        <v>8306.2840169430165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46957.792298248183</v>
      </c>
    </row>
    <row r="28" spans="1:17">
      <c r="A28" s="476" t="s">
        <v>551</v>
      </c>
      <c r="B28" s="477">
        <f t="shared" ca="1" si="2"/>
        <v>0</v>
      </c>
      <c r="C28" s="477">
        <f t="shared" ca="1" si="3"/>
        <v>0</v>
      </c>
      <c r="D28" s="477">
        <f t="shared" si="4"/>
        <v>0</v>
      </c>
      <c r="E28" s="477">
        <f t="shared" si="5"/>
        <v>0</v>
      </c>
      <c r="F28" s="477">
        <f t="shared" si="6"/>
        <v>0</v>
      </c>
      <c r="G28" s="477">
        <f t="shared" si="7"/>
        <v>1292.7068118171503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1292.7068118171503</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237.0295594935746</v>
      </c>
      <c r="C32" s="477">
        <f t="shared" ca="1" si="3"/>
        <v>0</v>
      </c>
      <c r="D32" s="477">
        <f t="shared" si="4"/>
        <v>2490.0264983060001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2727.0560577995748</v>
      </c>
    </row>
    <row r="33" spans="1:17" s="486" customFormat="1">
      <c r="A33" s="1039" t="s">
        <v>555</v>
      </c>
      <c r="B33" s="987">
        <f ca="1">SUM(B22:B32)</f>
        <v>22608.917026463856</v>
      </c>
      <c r="C33" s="987">
        <f t="shared" ref="C33:Q33" ca="1" si="18">SUM(C22:C32)</f>
        <v>579.01008403361357</v>
      </c>
      <c r="D33" s="987">
        <f t="shared" ca="1" si="18"/>
        <v>38719.358995230083</v>
      </c>
      <c r="E33" s="987">
        <f t="shared" si="18"/>
        <v>3179.2316958750912</v>
      </c>
      <c r="F33" s="987">
        <f t="shared" ca="1" si="18"/>
        <v>30456.748376013304</v>
      </c>
      <c r="G33" s="987">
        <f t="shared" si="18"/>
        <v>39779.451904591166</v>
      </c>
      <c r="H33" s="987">
        <f t="shared" si="18"/>
        <v>8306.2840169430165</v>
      </c>
      <c r="I33" s="987">
        <f t="shared" si="18"/>
        <v>0</v>
      </c>
      <c r="J33" s="987">
        <f t="shared" si="18"/>
        <v>1673.0573146610616</v>
      </c>
      <c r="K33" s="987">
        <f t="shared" si="18"/>
        <v>0</v>
      </c>
      <c r="L33" s="987">
        <f t="shared" ca="1" si="18"/>
        <v>0</v>
      </c>
      <c r="M33" s="987">
        <f t="shared" si="18"/>
        <v>0</v>
      </c>
      <c r="N33" s="987">
        <f t="shared" ca="1" si="18"/>
        <v>0</v>
      </c>
      <c r="O33" s="987">
        <f t="shared" si="18"/>
        <v>0</v>
      </c>
      <c r="P33" s="987">
        <f t="shared" si="18"/>
        <v>0</v>
      </c>
      <c r="Q33" s="987">
        <f t="shared" ca="1" si="18"/>
        <v>145302.05941381119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17.590620040955631</v>
      </c>
      <c r="C5" s="1056"/>
      <c r="D5" s="1056"/>
      <c r="E5" s="1056"/>
      <c r="F5" s="1056"/>
      <c r="G5" s="1056"/>
      <c r="H5" s="1056"/>
      <c r="I5" s="1056"/>
      <c r="J5" s="1056"/>
      <c r="K5" s="1056"/>
      <c r="L5" s="1056"/>
      <c r="M5" s="1056"/>
      <c r="N5" s="1056"/>
      <c r="O5" s="1056"/>
      <c r="P5" s="1057">
        <f>'SEAP template'!Q73</f>
        <v>0</v>
      </c>
    </row>
    <row r="6" spans="1:16">
      <c r="A6" s="1058" t="s">
        <v>251</v>
      </c>
      <c r="B6" s="1056">
        <f>'SEAP template'!B74</f>
        <v>15234.050380726112</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12717</v>
      </c>
      <c r="C8" s="1056">
        <f>'SEAP template'!C76</f>
        <v>1705.5</v>
      </c>
      <c r="D8" s="1056">
        <f>'SEAP template'!D76</f>
        <v>2006.4705882352939</v>
      </c>
      <c r="E8" s="1056">
        <f>'SEAP template'!E76</f>
        <v>0</v>
      </c>
      <c r="F8" s="1056">
        <f>'SEAP template'!F76</f>
        <v>0</v>
      </c>
      <c r="G8" s="1056">
        <f>'SEAP template'!G76</f>
        <v>0</v>
      </c>
      <c r="H8" s="1056">
        <f>'SEAP template'!H76</f>
        <v>0</v>
      </c>
      <c r="I8" s="1056">
        <f>'SEAP template'!I76</f>
        <v>0</v>
      </c>
      <c r="J8" s="1056">
        <f>'SEAP template'!J76</f>
        <v>14961.176470588234</v>
      </c>
      <c r="K8" s="1056">
        <f>'SEAP template'!K76</f>
        <v>0</v>
      </c>
      <c r="L8" s="1056">
        <f>'SEAP template'!L76</f>
        <v>0</v>
      </c>
      <c r="M8" s="1056">
        <f>'SEAP template'!M76</f>
        <v>0</v>
      </c>
      <c r="N8" s="1056">
        <f>'SEAP template'!N76</f>
        <v>0</v>
      </c>
      <c r="O8" s="1056">
        <f>'SEAP template'!O76</f>
        <v>0</v>
      </c>
      <c r="P8" s="1057">
        <f>'SEAP template'!Q76</f>
        <v>405.30705882352942</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27968.641000767067</v>
      </c>
      <c r="C10" s="1060">
        <f>SUM(C4:C9)</f>
        <v>1705.5</v>
      </c>
      <c r="D10" s="1060">
        <f t="shared" ref="D10:H10" si="0">SUM(D8:D9)</f>
        <v>2006.4705882352939</v>
      </c>
      <c r="E10" s="1060">
        <f t="shared" si="0"/>
        <v>0</v>
      </c>
      <c r="F10" s="1060">
        <f t="shared" si="0"/>
        <v>0</v>
      </c>
      <c r="G10" s="1060">
        <f t="shared" si="0"/>
        <v>0</v>
      </c>
      <c r="H10" s="1060">
        <f t="shared" si="0"/>
        <v>0</v>
      </c>
      <c r="I10" s="1060">
        <f>SUM(I8:I9)</f>
        <v>0</v>
      </c>
      <c r="J10" s="1060">
        <f>SUM(J8:J9)</f>
        <v>14961.176470588234</v>
      </c>
      <c r="K10" s="1060">
        <f t="shared" ref="K10:L10" si="1">SUM(K8:K9)</f>
        <v>0</v>
      </c>
      <c r="L10" s="1060">
        <f t="shared" si="1"/>
        <v>0</v>
      </c>
      <c r="M10" s="1060">
        <f>SUM(M8:M9)</f>
        <v>0</v>
      </c>
      <c r="N10" s="1060">
        <f>SUM(N8:N9)</f>
        <v>0</v>
      </c>
      <c r="O10" s="1060">
        <f>SUM(O8:O9)</f>
        <v>0</v>
      </c>
      <c r="P10" s="1060">
        <f>SUM(P8:P9)</f>
        <v>405.30705882352942</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0.17372369788501607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18167.142857142859</v>
      </c>
      <c r="C17" s="1062">
        <f>'SEAP template'!C87</f>
        <v>2436.4285714285716</v>
      </c>
      <c r="D17" s="1057">
        <f>'SEAP template'!D87</f>
        <v>2866.386554621849</v>
      </c>
      <c r="E17" s="1057">
        <f>'SEAP template'!E87</f>
        <v>0</v>
      </c>
      <c r="F17" s="1057">
        <f>'SEAP template'!F87</f>
        <v>0</v>
      </c>
      <c r="G17" s="1057">
        <f>'SEAP template'!G87</f>
        <v>0</v>
      </c>
      <c r="H17" s="1057">
        <f>'SEAP template'!H87</f>
        <v>0</v>
      </c>
      <c r="I17" s="1057">
        <f>'SEAP template'!I87</f>
        <v>0</v>
      </c>
      <c r="J17" s="1057">
        <f>'SEAP template'!J87</f>
        <v>21373.109243697483</v>
      </c>
      <c r="K17" s="1057">
        <f>'SEAP template'!K87</f>
        <v>0</v>
      </c>
      <c r="L17" s="1057">
        <f>'SEAP template'!L87</f>
        <v>0</v>
      </c>
      <c r="M17" s="1057">
        <f>'SEAP template'!M87</f>
        <v>0</v>
      </c>
      <c r="N17" s="1057">
        <f>'SEAP template'!N87</f>
        <v>0</v>
      </c>
      <c r="O17" s="1057">
        <f>'SEAP template'!O87</f>
        <v>0</v>
      </c>
      <c r="P17" s="1057">
        <f>'SEAP template'!Q87</f>
        <v>579.01008403361357</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18167.142857142859</v>
      </c>
      <c r="C20" s="1060">
        <f>SUM(C17:C19)</f>
        <v>2436.4285714285716</v>
      </c>
      <c r="D20" s="1060">
        <f t="shared" ref="D20:H20" si="2">SUM(D17:D19)</f>
        <v>2866.386554621849</v>
      </c>
      <c r="E20" s="1060">
        <f t="shared" si="2"/>
        <v>0</v>
      </c>
      <c r="F20" s="1060">
        <f t="shared" si="2"/>
        <v>0</v>
      </c>
      <c r="G20" s="1060">
        <f t="shared" si="2"/>
        <v>0</v>
      </c>
      <c r="H20" s="1060">
        <f t="shared" si="2"/>
        <v>0</v>
      </c>
      <c r="I20" s="1060">
        <f>SUM(I17:I19)</f>
        <v>0</v>
      </c>
      <c r="J20" s="1060">
        <f>SUM(J17:J19)</f>
        <v>21373.109243697483</v>
      </c>
      <c r="K20" s="1060">
        <f t="shared" ref="K20:L20" si="3">SUM(K17:K19)</f>
        <v>0</v>
      </c>
      <c r="L20" s="1060">
        <f t="shared" si="3"/>
        <v>0</v>
      </c>
      <c r="M20" s="1060">
        <f>SUM(M17:M19)</f>
        <v>0</v>
      </c>
      <c r="N20" s="1060">
        <f>SUM(N17:N19)</f>
        <v>0</v>
      </c>
      <c r="O20" s="1060">
        <f>SUM(O17:O19)</f>
        <v>0</v>
      </c>
      <c r="P20" s="1060">
        <f>SUM(P17:P19)</f>
        <v>579.01008403361357</v>
      </c>
    </row>
    <row r="22" spans="1:16">
      <c r="A22" s="487" t="s">
        <v>862</v>
      </c>
      <c r="B22" s="786" t="s">
        <v>856</v>
      </c>
      <c r="C22" s="786">
        <f ca="1">'EF ele_warmte'!B22</f>
        <v>2.810241350830504E-2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0.17372369788501607</v>
      </c>
      <c r="C17" s="524">
        <f ca="1">'EF ele_warmte'!B22</f>
        <v>2.810241350830504E-2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2019-08-12T08:35:45Z</dcterms:modified>
</cp:coreProperties>
</file>