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<sst xmlns="http://schemas.openxmlformats.org/spreadsheetml/2006/main" count="2392" uniqueCount="887">
  <si>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</si>
  <si>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</si>
  <si>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</si>
  <si>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</si>
  <si>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</si>
  <si>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</si>
  <si>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</si>
  <si>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</si>
  <si>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</si>
  <si>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</si>
  <si>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</si>
  <si>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</si>
  <si>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</si>
  <si>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</si>
  <si>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</si>
  <si>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</si>
  <si>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</si>
  <si>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</si>
  <si>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</si>
  <si>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</si>
  <si>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</si>
  <si>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</si>
  <si>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</si>
  <si>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</si>
  <si>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</si>
  <si>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</si>
  <si>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</si>
  <si>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</si>
  <si>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</si>
  <si>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</si>
  <si>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</si>
  <si>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</si>
  <si>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</si>
  <si>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</si>
  <si>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</si>
  <si>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</si>
  <si>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</si>
  <si>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</si>
  <si>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</si>
  <si>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</si>
  <si>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</si>
  <si>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</si>
  <si>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</si>
  <si>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</si>
  <si>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</si>
  <si>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</si>
  <si>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</si>
  <si>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</si>
  <si>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</si>
  <si>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</si>
  <si>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</si>
  <si>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</si>
  <si>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</si>
  <si>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</si>
  <si>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</si>
  <si>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</si>
  <si>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</si>
  <si>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</si>
  <si>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</si>
  <si>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</si>
  <si>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</si>
  <si>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</si>
  <si>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</si>
  <si>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</si>
  <si>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</si>
  <si>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</si>
  <si>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</si>
  <si>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</si>
  <si>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</si>
  <si>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</si>
  <si>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</si>
  <si>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</si>
  <si>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</si>
  <si>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</si>
  <si>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</si>
  <si>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</si>
  <si>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</si>
  <si>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</si>
  <si>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</si>
  <si>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</si>
  <si>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</si>
  <si>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</si>
  <si>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</si>
  <si>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</si>
  <si>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</si>
  <si>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</si>
  <si>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</si>
  <si>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</si>
  <si>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</si>
  <si>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</si>
  <si>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</si>
  <si>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</si>
  <si>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</si>
  <si>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</si>
  <si>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</si>
  <si>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</si>
  <si>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</si>
  <si>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</si>
  <si>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</si>
  <si>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</si>
  <si>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</si>
  <si>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</si>
  <si>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</si>
  <si>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</si>
  <si>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</si>
  <si>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</si>
  <si>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</si>
  <si>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</si>
  <si>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</si>
  <si>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</si>
  <si>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</si>
  <si>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</si>
  <si>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</si>
  <si>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</si>
  <si>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</si>
  <si>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</si>
  <si>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</si>
  <si>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</si>
  <si>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</si>
  <si>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</si>
  <si>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</si>
  <si>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</si>
  <si>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</si>
  <si>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</si>
  <si>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</si>
  <si>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</si>
  <si>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</si>
  <si>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</si>
  <si>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</si>
  <si>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</si>
  <si>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</si>
  <si>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</si>
  <si>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</si>
  <si>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</si>
  <si>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</si>
  <si>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</si>
  <si>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</si>
  <si>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</si>
  <si>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</si>
  <si>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</si>
  <si>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</si>
  <si>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</si>
  <si>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</si>
  <si>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</si>
  <si>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</si>
  <si>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</si>
  <si>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</si>
  <si>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</si>
  <si>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</si>
  <si>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</si>
  <si>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</si>
  <si>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</si>
  <si>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</si>
  <si>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</si>
  <si>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</si>
  <si>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</si>
  <si>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</si>
  <si>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</si>
  <si>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</si>
  <si>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</si>
  <si>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</si>
  <si>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</si>
  <si>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</si>
  <si>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</si>
  <si>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</si>
  <si>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</si>
  <si>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</si>
  <si>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</si>
  <si>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</si>
  <si>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</si>
  <si>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</si>
  <si>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</si>
  <si>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</si>
  <si>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</si>
  <si>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</si>
  <si>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</si>
  <si>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</si>
  <si>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</si>
  <si>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</si>
  <si>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</si>
  <si>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</si>
  <si>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</si>
  <si>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</si>
  <si>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</si>
  <si>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</si>
  <si>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</si>
  <si>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</si>
  <si>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</si>
  <si>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</si>
  <si>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</si>
  <si>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</si>
  <si>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</si>
  <si>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</si>
  <si>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</si>
  <si>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</si>
  <si>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</si>
  <si>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</si>
  <si>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</si>
  <si>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</si>
  <si>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</si>
  <si>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</si>
  <si>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</si>
  <si>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</si>
  <si>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</si>
  <si>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</si>
  <si>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</si>
  <si>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</si>
  <si>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</si>
  <si>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</si>
  <si>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</si>
  <si>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</si>
  <si>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</si>
  <si>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</si>
  <si>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</si>
  <si>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</si>
  <si>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</si>
  <si>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</si>
  <si>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</si>
  <si>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</si>
  <si>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</si>
  <si>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</si>
  <si>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</si>
  <si>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</si>
  <si>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</si>
  <si>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</si>
  <si>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</si>
  <si>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</si>
  <si>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</si>
  <si>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</si>
  <si>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</si>
  <si>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</si>
  <si>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</si>
  <si>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</si>
  <si>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</si>
  <si>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</si>
  <si>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</si>
  <si>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</si>
  <si>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</si>
  <si>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</si>
  <si>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</si>
  <si>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</si>
  <si>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</si>
  <si>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</si>
  <si>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</si>
  <si>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</si>
  <si>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</si>
  <si>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</si>
  <si>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</si>
  <si>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</si>
  <si>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</si>
  <si>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</si>
  <si>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</si>
  <si>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</si>
  <si>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</si>
  <si>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</si>
  <si>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</si>
  <si>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</si>
  <si>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</si>
  <si>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</si>
  <si>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</si>
  <si>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</si>
  <si>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</si>
  <si>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</si>
  <si>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</si>
  <si>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</si>
  <si>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</si>
  <si>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</si>
  <si>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</si>
  <si>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</si>
  <si>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</si>
  <si>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</si>
  <si>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</si>
  <si>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</si>
  <si>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</si>
  <si>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</si>
  <si>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</si>
  <si>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</si>
  <si>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</si>
  <si>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</si>
  <si>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</si>
  <si>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</si>
  <si>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</si>
  <si>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</si>
  <si>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</si>
  <si>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</si>
  <si>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</si>
  <si>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</si>
  <si>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</si>
  <si>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</si>
  <si>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</si>
  <si>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</si>
  <si>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</si>
  <si>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</si>
  <si>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</si>
  <si>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</si>
  <si>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</si>
  <si>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</si>
  <si>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</si>
  <si>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</si>
  <si>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</si>
  <si>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</si>
  <si>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</si>
  <si>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</si>
  <si>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</si>
  <si>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</si>
  <si>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</si>
  <si>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</si>
  <si>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</si>
  <si>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</si>
  <si>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</si>
  <si>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</si>
  <si>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</si>
  <si>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</si>
  <si>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</si>
  <si>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</si>
  <si>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</si>
  <si>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</si>
  <si>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</si>
  <si>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</si>
  <si>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</si>
  <si>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</si>
  <si>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</si>
  <si>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</si>
  <si>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</si>
  <si>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</si>
  <si>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</si>
  <si>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</si>
  <si>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</si>
  <si>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</si>
  <si>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</si>
  <si>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</si>
  <si>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</si>
  <si>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</si>
  <si>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</si>
  <si>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</si>
  <si>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</si>
  <si>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</si>
  <si>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</si>
  <si>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</si>
  <si>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</si>
  <si>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</si>
  <si>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</si>
  <si>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</si>
  <si>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</si>
  <si>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</si>
  <si>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</si>
  <si>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</si>
  <si>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</si>
  <si>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</si>
  <si>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</si>
  <si>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</si>
  <si>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</si>
  <si>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</si>
  <si>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</si>
  <si>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</si>
  <si>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</si>
  <si>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</si>
  <si>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</si>
  <si>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</si>
  <si>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</si>
  <si>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</si>
  <si>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</si>
  <si>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</si>
  <si>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</si>
  <si>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</si>
  <si>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</si>
  <si>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</si>
  <si>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</si>
  <si>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</si>
  <si>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</si>
  <si>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</si>
  <si>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</si>
  <si>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</si>
  <si>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</si>
  <si>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</si>
  <si>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</si>
  <si>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</si>
  <si>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</si>
  <si>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</si>
  <si>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</si>
  <si>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</si>
  <si>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</si>
  <si>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</si>
  <si>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</si>
  <si>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</si>
  <si>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</si>
  <si>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</si>
  <si>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</si>
  <si>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</si>
  <si>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</si>
  <si>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</si>
  <si>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</si>
  <si>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</si>
  <si>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</si>
  <si>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</si>
  <si>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</si>
  <si>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</si>
  <si>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</si>
  <si>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</si>
  <si>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</si>
  <si>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</si>
  <si>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</si>
  <si>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</si>
  <si>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</si>
  <si>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</si>
  <si>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</si>
  <si>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</si>
  <si>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</si>
  <si>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</si>
  <si>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</si>
  <si>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</si>
  <si>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</si>
  <si>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</si>
  <si>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</si>
  <si>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</si>
  <si>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</si>
  <si>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</si>
  <si>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</si>
  <si>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</si>
  <si>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</si>
  <si>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</si>
  <si>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</si>
  <si>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</si>
  <si>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</si>
  <si>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</si>
  <si>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</si>
  <si>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</si>
  <si>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</si>
  <si>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</si>
  <si>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</si>
  <si>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</si>
  <si>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</si>
  <si>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</si>
  <si>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</si>
  <si>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</si>
  <si>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</si>
  <si>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</si>
  <si>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</si>
  <si>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</si>
  <si>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</si>
  <si>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</si>
  <si>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</si>
  <si>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</si>
  <si>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</si>
  <si>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</si>
  <si>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</si>
  <si>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</si>
  <si>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</si>
  <si>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</si>
  <si>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</si>
  <si>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</si>
  <si>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</si>
  <si>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</si>
  <si>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</si>
  <si>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</si>
  <si>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</si>
  <si>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</si>
  <si>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</si>
  <si>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</si>
  <si>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</si>
  <si>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</si>
  <si>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</si>
  <si>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</si>
  <si>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</si>
  <si>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</si>
  <si>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</si>
  <si>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</si>
  <si>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</si>
  <si>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</si>
  <si>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</si>
  <si>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</si>
  <si>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</si>
  <si>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</si>
  <si>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</si>
  <si>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</si>
  <si>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</si>
  <si>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</si>
  <si>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</si>
  <si>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</si>
  <si>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</si>
  <si>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</si>
  <si>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</si>
  <si>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</si>
  <si>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</si>
  <si>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</si>
  <si>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</si>
  <si>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</si>
  <si>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</si>
  <si>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</si>
  <si>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</si>
  <si>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</si>
  <si>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</si>
  <si>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</si>
  <si>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</si>
  <si>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</si>
  <si>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</si>
  <si>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</si>
  <si>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</si>
  <si>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</si>
  <si>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</si>
  <si>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</si>
  <si>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</si>
  <si>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</si>
  <si>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</si>
  <si>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</si>
  <si>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</si>
  <si>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</si>
  <si>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</si>
  <si>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</si>
  <si>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</si>
  <si>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</si>
  <si>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</si>
  <si>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</si>
  <si>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</si>
  <si>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</si>
  <si>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</si>
  <si>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</si>
  <si>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</si>
  <si>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</si>
  <si>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</si>
  <si>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</si>
  <si>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</si>
  <si>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</si>
  <si>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</si>
  <si>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</si>
  <si>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</si>
  <si>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</si>
  <si>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</si>
  <si>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</si>
  <si>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</si>
  <si>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</si>
  <si>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</si>
  <si>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</si>
  <si>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</si>
  <si>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</si>
  <si>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</si>
  <si>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</si>
  <si>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</si>
  <si>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</si>
  <si>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</si>
  <si>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</si>
  <si>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</si>
  <si>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</si>
  <si>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</si>
  <si>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</si>
  <si>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</si>
  <si>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</si>
  <si>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</si>
  <si>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</si>
  <si>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</si>
  <si>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</si>
  <si>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</si>
  <si>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</si>
  <si>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</si>
  <si>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</si>
  <si>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</si>
  <si>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</si>
  <si>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</si>
  <si>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</si>
  <si>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</si>
  <si>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</si>
  <si>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</si>
  <si>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</si>
  <si>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</si>
  <si>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</si>
  <si>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</si>
  <si>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</si>
  <si>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</si>
  <si>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</si>
  <si>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</si>
  <si>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</si>
  <si>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</si>
  <si>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</si>
  <si>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</si>
  <si>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</si>
  <si>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</si>
  <si>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</si>
  <si>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</si>
  <si>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</si>
  <si>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</si>
  <si>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</si>
  <si>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</si>
  <si>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</si>
  <si>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</si>
  <si>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</si>
  <si>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</si>
  <si>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</si>
  <si>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</si>
  <si>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</si>
  <si>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</si>
  <si>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</si>
  <si>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</si>
  <si>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</si>
  <si>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</si>
  <si>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</si>
  <si>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</si>
  <si>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</si>
  <si>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</si>
  <si>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</si>
  <si>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</si>
  <si>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</si>
  <si>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</si>
  <si>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</si>
  <si>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</si>
  <si>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</si>
  <si>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</si>
  <si>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</si>
  <si>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</si>
  <si>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</si>
  <si>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</si>
  <si>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</si>
  <si>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</si>
  <si>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</si>
  <si>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</si>
  <si>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</si>
  <si>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</si>
  <si>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</si>
  <si>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</si>
  <si>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</si>
  <si>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</si>
  <si>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</si>
  <si>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</si>
  <si>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</si>
  <si>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</si>
  <si>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</si>
  <si>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</si>
  <si>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</si>
  <si>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</si>
  <si>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</si>
  <si>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</si>
  <si>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</si>
  <si>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</si>
  <si>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</si>
  <si>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</si>
  <si>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</si>
  <si>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</si>
  <si>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</si>
  <si>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</si>
  <si>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</si>
  <si>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</si>
  <si>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</si>
  <si>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</si>
  <si>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</si>
  <si>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</si>
  <si>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</si>
  <si>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</si>
  <si>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</si>
  <si>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</si>
  <si>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</si>
  <si>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</si>
  <si>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</si>
  <si>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</si>
  <si>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</si>
  <si>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</si>
  <si>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</si>
  <si>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</si>
  <si>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</si>
  <si>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</si>
  <si>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</si>
  <si>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</si>
  <si>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</si>
  <si>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</si>
  <si>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</si>
  <si>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</si>
  <si>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</si>
  <si>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</si>
  <si>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</si>
  <si>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</si>
  <si>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</si>
  <si>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</si>
  <si>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</si>
  <si>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</si>
  <si>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</si>
  <si>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</si>
  <si>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</si>
  <si>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</si>
  <si>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</si>
  <si>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</si>
  <si>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</si>
  <si>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</si>
  <si>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</si>
  <si>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</si>
  <si>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</si>
  <si>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</si>
  <si>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</si>
  <si>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</si>
  <si>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</si>
  <si>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</si>
  <si>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</si>
  <si>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</si>
  <si>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</si>
  <si>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</si>
  <si>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</si>
  <si>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</si>
  <si>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</si>
  <si>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</si>
  <si>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</si>
  <si>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</si>
  <si>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</si>
  <si>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</si>
  <si>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</si>
  <si>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</si>
  <si>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</si>
  <si>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</si>
  <si>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</si>
  <si>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</si>
  <si>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</si>
  <si>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</si>
  <si>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</si>
  <si>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</si>
  <si>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</si>
  <si>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</si>
  <si>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</si>
  <si>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</si>
  <si>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</si>
  <si>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</si>
  <si>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</si>
  <si>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</si>
  <si>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</si>
  <si>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</si>
  <si>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</si>
  <si>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</si>
  <si>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</si>
  <si>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</si>
  <si>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</si>
  <si>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</si>
  <si>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</si>
  <si>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</si>
  <si>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</si>
  <si>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</si>
  <si>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</si>
  <si>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</si>
  <si>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</si>
  <si>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</si>
  <si>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</si>
  <si>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</si>
  <si>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</si>
  <si>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</si>
  <si>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</si>
  <si>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</si>
  <si>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</si>
  <si>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</si>
  <si>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</si>
  <si>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</si>
  <si>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</si>
  <si>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</si>
  <si>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</si>
  <si>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</si>
  <si>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</si>
  <si>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</si>
  <si>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</si>
  <si>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</si>
  <si>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</si>
  <si>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</si>
  <si>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</si>
  <si>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</si>
  <si>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</si>
  <si>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</si>
  <si>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</si>
  <si>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</si>
  <si>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</si>
  <si>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</si>
  <si>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</si>
  <si>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</si>
  <si>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</si>
  <si>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</si>
  <si>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</si>
  <si>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</si>
  <si>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</si>
  <si>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</si>
  <si>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</si>
  <si>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</si>
  <si>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</si>
  <si>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</si>
  <si>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</si>
  <si>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</si>
  <si>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</si>
  <si>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</si>
  <si>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</si>
  <si>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</si>
  <si>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</si>
  <si>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</si>
  <si>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</si>
  <si>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</si>
  <si>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</si>
  <si>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</si>
  <si>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</si>
  <si>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</si>
  <si>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</si>
  <si>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</si>
  <si>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</si>
  <si>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</si>
  <si>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</si>
  <si>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</si>
  <si>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</si>
  <si>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</si>
  <si>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</si>
  <si>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</si>
  <si>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</si>
  <si>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</si>
  <si>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</si>
  <si>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</si>
  <si>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</si>
  <si>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</si>
  <si>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</si>
  <si>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</si>
  <si>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</si>
  <si>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</si>
  <si>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</si>
  <si>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</si>
  <si>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</si>
  <si>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</si>
  <si>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</si>
  <si>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</si>
  <si>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</si>
  <si>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</si>
  <si>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</si>
  <si>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</si>
  <si>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</si>
  <si>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</si>
  <si>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</si>
  <si>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</si>
  <si>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</si>
  <si>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</si>
  <si>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</si>
  <si>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</si>
  <si>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</si>
  <si>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</si>
  <si>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</si>
  <si>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</si>
  <si>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</si>
  <si>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</si>
  <si>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</si>
  <si>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</si>
  <si>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</si>
  <si>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</si>
  <si>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</si>
  <si>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</si>
  <si>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</si>
  <si>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</si>
  <si>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</si>
  <si>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</si>
  <si>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</si>
  <si>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</si>
  <si>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</si>
  <si>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</si>
  <si>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</si>
  <si>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</si>
  <si>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</si>
  <si>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</si>
  <si>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</si>
  <si>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</si>
  <si>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</si>
  <si>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</si>
  <si>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</si>
  <si>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</si>
  <si>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</si>
  <si>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</si>
  <si>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</si>
  <si>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</si>
  <si>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</si>
  <si>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</si>
  <si>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</si>
  <si>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</si>
  <si>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</si>
  <si>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</si>
  <si>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</si>
  <si>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</si>
  <si>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</si>
  <si>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</si>
  <si>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</si>
  <si>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</si>
  <si>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</si>
  <si>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73066</t>
  </si>
  <si>
    <t>RIEMST</t>
  </si>
  <si>
    <t>Eandis (januari 2018); Infrax (juni 2018)</t>
  </si>
  <si>
    <t>MOW (september 2017)</t>
  </si>
  <si>
    <t>referentietaak LNE (2017); Jaarverslag De Lijn (2016)</t>
  </si>
  <si>
    <t>VEA (april 2018)</t>
  </si>
  <si>
    <t>VEA (januari 2017)</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</si>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</sst>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159518.19837606585</c:v>
                </c:pt>
                <c:pt idx="1">
                  <c:v>23924.28784656569</c:v>
                </c:pt>
                <c:pt idx="2">
                  <c:v>895.76900000000001</c:v>
                </c:pt>
                <c:pt idx="3">
                  <c:v>47597.821674993007</c:v>
                </c:pt>
                <c:pt idx="4">
                  <c:v>12650.875531247077</c:v>
                </c:pt>
                <c:pt idx="5">
                  <c:v>132019.01975733787</c:v>
                </c:pt>
                <c:pt idx="6">
                  <c:v>1704.9834256217223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159518.19837606585</c:v>
                </c:pt>
                <c:pt idx="1">
                  <c:v>23924.28784656569</c:v>
                </c:pt>
                <c:pt idx="2">
                  <c:v>895.76900000000001</c:v>
                </c:pt>
                <c:pt idx="3">
                  <c:v>47597.821674993007</c:v>
                </c:pt>
                <c:pt idx="4">
                  <c:v>12650.875531247077</c:v>
                </c:pt>
                <c:pt idx="5">
                  <c:v>132019.01975733787</c:v>
                </c:pt>
                <c:pt idx="6">
                  <c:v>1704.9834256217223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34038.64276184827</c:v>
                </c:pt>
                <c:pt idx="2">
                  <c:v>4549.6222662271011</c:v>
                </c:pt>
                <c:pt idx="3">
                  <c:v>166.64172103070686</c:v>
                </c:pt>
                <c:pt idx="4">
                  <c:v>11866.530411591717</c:v>
                </c:pt>
                <c:pt idx="5">
                  <c:v>2466.9137425099425</c:v>
                </c:pt>
                <c:pt idx="6">
                  <c:v>33048.590670883445</c:v>
                </c:pt>
                <c:pt idx="7">
                  <c:v>430.76502298078879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5792"/>
        <c:axId val="156467584"/>
      </c:barChart>
      <c:catAx>
        <c:axId val="156465792"/>
        <c:scaling>
          <c:orientation val="minMax"/>
        </c:scaling>
        <c:axPos val="b"/>
        <c:numFmt formatCode="General" sourceLinked="0"/>
        <c:tickLblPos val="nextTo"/>
        <c:crossAx val="156467584"/>
        <c:crosses val="autoZero"/>
        <c:auto val="1"/>
        <c:lblAlgn val="ctr"/>
        <c:lblOffset val="100"/>
      </c:catAx>
      <c:valAx>
        <c:axId val="156467584"/>
        <c:scaling>
          <c:orientation val="minMax"/>
        </c:scaling>
        <c:axPos val="l"/>
        <c:majorGridlines>
          <c:spPr>
            <a:ln>
              <a:noFill/>
            </a:ln>
          </c:spPr>
        </c:majorGridlines>
        <c:numFmt formatCode="#,##0" sourceLinked="1"/>
        <c:tickLblPos val="nextTo"/>
        <c:crossAx val="1564657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34038.64276184827</c:v>
                </c:pt>
                <c:pt idx="2">
                  <c:v>4549.6222662271011</c:v>
                </c:pt>
                <c:pt idx="3">
                  <c:v>166.64172103070686</c:v>
                </c:pt>
                <c:pt idx="4">
                  <c:v>11866.530411591717</c:v>
                </c:pt>
                <c:pt idx="5">
                  <c:v>2466.9137425099425</c:v>
                </c:pt>
                <c:pt idx="6">
                  <c:v>33048.590670883445</c:v>
                </c:pt>
                <c:pt idx="7">
                  <c:v>430.76502298078879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0.18603202503179597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0.18603202503179597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6746</v>
      </c>
      <c r="C9" s="342">
        <v>6818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4295.45</v>
      </c>
    </row>
    <row r="15" spans="1:6">
      <c r="A15" s="348" t="s">
        <v>184</v>
      </c>
      <c r="B15" s="334">
        <v>8</v>
      </c>
    </row>
    <row r="16" spans="1:6">
      <c r="A16" s="348" t="s">
        <v>6</v>
      </c>
      <c r="B16" s="334">
        <v>243</v>
      </c>
    </row>
    <row r="17" spans="1:6">
      <c r="A17" s="348" t="s">
        <v>7</v>
      </c>
      <c r="B17" s="334">
        <v>863</v>
      </c>
    </row>
    <row r="18" spans="1:6">
      <c r="A18" s="348" t="s">
        <v>8</v>
      </c>
      <c r="B18" s="334">
        <v>901</v>
      </c>
    </row>
    <row r="19" spans="1:6">
      <c r="A19" s="348" t="s">
        <v>9</v>
      </c>
      <c r="B19" s="334">
        <v>965</v>
      </c>
    </row>
    <row r="20" spans="1:6">
      <c r="A20" s="348" t="s">
        <v>10</v>
      </c>
      <c r="B20" s="334">
        <v>410</v>
      </c>
    </row>
    <row r="21" spans="1:6">
      <c r="A21" s="348" t="s">
        <v>11</v>
      </c>
      <c r="B21" s="334">
        <v>6439</v>
      </c>
    </row>
    <row r="22" spans="1:6">
      <c r="A22" s="348" t="s">
        <v>12</v>
      </c>
      <c r="B22" s="334">
        <v>20248</v>
      </c>
    </row>
    <row r="23" spans="1:6">
      <c r="A23" s="348" t="s">
        <v>13</v>
      </c>
      <c r="B23" s="334">
        <v>245</v>
      </c>
    </row>
    <row r="24" spans="1:6">
      <c r="A24" s="348" t="s">
        <v>14</v>
      </c>
      <c r="B24" s="334">
        <v>15</v>
      </c>
    </row>
    <row r="25" spans="1:6">
      <c r="A25" s="348" t="s">
        <v>15</v>
      </c>
      <c r="B25" s="334">
        <v>1337</v>
      </c>
    </row>
    <row r="26" spans="1:6">
      <c r="A26" s="348" t="s">
        <v>16</v>
      </c>
      <c r="B26" s="334">
        <v>346</v>
      </c>
    </row>
    <row r="27" spans="1:6">
      <c r="A27" s="348" t="s">
        <v>17</v>
      </c>
      <c r="B27" s="334">
        <v>554</v>
      </c>
    </row>
    <row r="28" spans="1:6" s="356" customFormat="1">
      <c r="A28" s="355" t="s">
        <v>18</v>
      </c>
      <c r="B28" s="355">
        <v>30</v>
      </c>
    </row>
    <row r="29" spans="1:6">
      <c r="A29" s="355" t="s">
        <v>744</v>
      </c>
      <c r="B29" s="355">
        <v>85</v>
      </c>
      <c r="C29" s="356"/>
      <c r="D29" s="356"/>
      <c r="E29" s="356"/>
      <c r="F29" s="356"/>
    </row>
    <row r="30" spans="1:6">
      <c r="A30" s="341" t="s">
        <v>745</v>
      </c>
      <c r="B30" s="341">
        <v>20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103260</v>
      </c>
    </row>
    <row r="37" spans="1:6">
      <c r="A37" s="348" t="s">
        <v>25</v>
      </c>
      <c r="B37" s="348" t="s">
        <v>28</v>
      </c>
      <c r="C37" s="334">
        <v>0</v>
      </c>
      <c r="D37" s="334">
        <v>0</v>
      </c>
      <c r="E37" s="334">
        <v>0</v>
      </c>
      <c r="F37" s="334">
        <v>0</v>
      </c>
    </row>
    <row r="38" spans="1:6">
      <c r="A38" s="348" t="s">
        <v>25</v>
      </c>
      <c r="B38" s="348" t="s">
        <v>29</v>
      </c>
      <c r="C38" s="334">
        <v>1</v>
      </c>
      <c r="D38" s="334">
        <v>145976</v>
      </c>
      <c r="E38" s="334">
        <v>1</v>
      </c>
      <c r="F38" s="334">
        <v>3497</v>
      </c>
    </row>
    <row r="39" spans="1:6">
      <c r="A39" s="348" t="s">
        <v>30</v>
      </c>
      <c r="B39" s="348" t="s">
        <v>31</v>
      </c>
      <c r="C39" s="334">
        <v>2581</v>
      </c>
      <c r="D39" s="334">
        <v>43954141.450000003</v>
      </c>
      <c r="E39" s="334">
        <v>6668</v>
      </c>
      <c r="F39" s="334">
        <v>23080239.949999999</v>
      </c>
    </row>
    <row r="40" spans="1:6">
      <c r="A40" s="348" t="s">
        <v>30</v>
      </c>
      <c r="B40" s="348" t="s">
        <v>29</v>
      </c>
      <c r="C40" s="334">
        <v>0</v>
      </c>
      <c r="D40" s="334">
        <v>0</v>
      </c>
      <c r="E40" s="334">
        <v>0</v>
      </c>
      <c r="F40" s="334">
        <v>0</v>
      </c>
    </row>
    <row r="41" spans="1:6">
      <c r="A41" s="348" t="s">
        <v>32</v>
      </c>
      <c r="B41" s="348" t="s">
        <v>33</v>
      </c>
      <c r="C41" s="334">
        <v>53</v>
      </c>
      <c r="D41" s="334">
        <v>1292560.6499999999</v>
      </c>
      <c r="E41" s="334">
        <v>143</v>
      </c>
      <c r="F41" s="334">
        <v>980751.75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19</v>
      </c>
      <c r="F44" s="334">
        <v>284976</v>
      </c>
    </row>
    <row r="45" spans="1:6">
      <c r="A45" s="348" t="s">
        <v>32</v>
      </c>
      <c r="B45" s="348" t="s">
        <v>37</v>
      </c>
      <c r="C45" s="334">
        <v>0</v>
      </c>
      <c r="D45" s="334">
        <v>0</v>
      </c>
      <c r="E45" s="334">
        <v>5</v>
      </c>
      <c r="F45" s="334">
        <v>544987.10400000005</v>
      </c>
    </row>
    <row r="46" spans="1:6">
      <c r="A46" s="348" t="s">
        <v>32</v>
      </c>
      <c r="B46" s="348" t="s">
        <v>38</v>
      </c>
      <c r="C46" s="334">
        <v>0</v>
      </c>
      <c r="D46" s="334">
        <v>0</v>
      </c>
      <c r="E46" s="334">
        <v>0</v>
      </c>
      <c r="F46" s="334">
        <v>0</v>
      </c>
    </row>
    <row r="47" spans="1:6">
      <c r="A47" s="348" t="s">
        <v>32</v>
      </c>
      <c r="B47" s="348" t="s">
        <v>39</v>
      </c>
      <c r="C47" s="334">
        <v>0</v>
      </c>
      <c r="D47" s="334">
        <v>0</v>
      </c>
      <c r="E47" s="334">
        <v>4</v>
      </c>
      <c r="F47" s="334">
        <v>37566</v>
      </c>
    </row>
    <row r="48" spans="1:6">
      <c r="A48" s="348" t="s">
        <v>32</v>
      </c>
      <c r="B48" s="348" t="s">
        <v>29</v>
      </c>
      <c r="C48" s="334">
        <v>7</v>
      </c>
      <c r="D48" s="334">
        <v>6508113.6670000004</v>
      </c>
      <c r="E48" s="334">
        <v>1</v>
      </c>
      <c r="F48" s="334">
        <v>33468</v>
      </c>
    </row>
    <row r="49" spans="1:6">
      <c r="A49" s="348" t="s">
        <v>32</v>
      </c>
      <c r="B49" s="348" t="s">
        <v>40</v>
      </c>
      <c r="C49" s="334">
        <v>0</v>
      </c>
      <c r="D49" s="334">
        <v>0</v>
      </c>
      <c r="E49" s="334">
        <v>3</v>
      </c>
      <c r="F49" s="334">
        <v>15469</v>
      </c>
    </row>
    <row r="50" spans="1:6">
      <c r="A50" s="348" t="s">
        <v>32</v>
      </c>
      <c r="B50" s="348" t="s">
        <v>41</v>
      </c>
      <c r="C50" s="334">
        <v>6</v>
      </c>
      <c r="D50" s="334">
        <v>1166173</v>
      </c>
      <c r="E50" s="334">
        <v>19</v>
      </c>
      <c r="F50" s="334">
        <v>688449.5</v>
      </c>
    </row>
    <row r="51" spans="1:6">
      <c r="A51" s="348" t="s">
        <v>42</v>
      </c>
      <c r="B51" s="348" t="s">
        <v>43</v>
      </c>
      <c r="C51" s="334">
        <v>16</v>
      </c>
      <c r="D51" s="334">
        <v>4323104.5549999997</v>
      </c>
      <c r="E51" s="334">
        <v>147</v>
      </c>
      <c r="F51" s="334">
        <v>8168438.4890000001</v>
      </c>
    </row>
    <row r="52" spans="1:6">
      <c r="A52" s="348" t="s">
        <v>42</v>
      </c>
      <c r="B52" s="348" t="s">
        <v>29</v>
      </c>
      <c r="C52" s="334">
        <v>0</v>
      </c>
      <c r="D52" s="334">
        <v>0</v>
      </c>
      <c r="E52" s="334">
        <v>0</v>
      </c>
      <c r="F52" s="334">
        <v>0</v>
      </c>
    </row>
    <row r="53" spans="1:6">
      <c r="A53" s="348" t="s">
        <v>44</v>
      </c>
      <c r="B53" s="348" t="s">
        <v>45</v>
      </c>
      <c r="C53" s="334">
        <v>45</v>
      </c>
      <c r="D53" s="334">
        <v>1185476</v>
      </c>
      <c r="E53" s="334">
        <v>152</v>
      </c>
      <c r="F53" s="334">
        <v>499086.35</v>
      </c>
    </row>
    <row r="54" spans="1:6">
      <c r="A54" s="348" t="s">
        <v>46</v>
      </c>
      <c r="B54" s="348" t="s">
        <v>47</v>
      </c>
      <c r="C54" s="334">
        <v>0</v>
      </c>
      <c r="D54" s="334">
        <v>0</v>
      </c>
      <c r="E54" s="334">
        <v>3</v>
      </c>
      <c r="F54" s="334">
        <v>895769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859045</v>
      </c>
      <c r="E57" s="334">
        <v>77</v>
      </c>
      <c r="F57" s="334">
        <v>1326464.436</v>
      </c>
    </row>
    <row r="58" spans="1:6">
      <c r="A58" s="348" t="s">
        <v>49</v>
      </c>
      <c r="B58" s="348" t="s">
        <v>51</v>
      </c>
      <c r="C58" s="334">
        <v>30</v>
      </c>
      <c r="D58" s="334">
        <v>1864540</v>
      </c>
      <c r="E58" s="334">
        <v>36</v>
      </c>
      <c r="F58" s="334">
        <v>919824.51399999997</v>
      </c>
    </row>
    <row r="59" spans="1:6">
      <c r="A59" s="348" t="s">
        <v>49</v>
      </c>
      <c r="B59" s="348" t="s">
        <v>52</v>
      </c>
      <c r="C59" s="334">
        <v>65</v>
      </c>
      <c r="D59" s="334">
        <v>2812961.0520000001</v>
      </c>
      <c r="E59" s="334">
        <v>176</v>
      </c>
      <c r="F59" s="334">
        <v>4579872.5089999996</v>
      </c>
    </row>
    <row r="60" spans="1:6">
      <c r="A60" s="348" t="s">
        <v>49</v>
      </c>
      <c r="B60" s="348" t="s">
        <v>53</v>
      </c>
      <c r="C60" s="334">
        <v>37</v>
      </c>
      <c r="D60" s="334">
        <v>1997214</v>
      </c>
      <c r="E60" s="334">
        <v>95</v>
      </c>
      <c r="F60" s="334">
        <v>1919508.095</v>
      </c>
    </row>
    <row r="61" spans="1:6">
      <c r="A61" s="348" t="s">
        <v>49</v>
      </c>
      <c r="B61" s="348" t="s">
        <v>54</v>
      </c>
      <c r="C61" s="334">
        <v>66</v>
      </c>
      <c r="D61" s="334">
        <v>2410007.7999999998</v>
      </c>
      <c r="E61" s="334">
        <v>218</v>
      </c>
      <c r="F61" s="334">
        <v>2427839.2370000002</v>
      </c>
    </row>
    <row r="62" spans="1:6">
      <c r="A62" s="348" t="s">
        <v>49</v>
      </c>
      <c r="B62" s="348" t="s">
        <v>55</v>
      </c>
      <c r="C62" s="334">
        <v>6</v>
      </c>
      <c r="D62" s="334">
        <v>271181</v>
      </c>
      <c r="E62" s="334">
        <v>16</v>
      </c>
      <c r="F62" s="334">
        <v>162822.389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88574.6</v>
      </c>
      <c r="E65" s="334">
        <v>0</v>
      </c>
      <c r="F65" s="334">
        <v>0</v>
      </c>
    </row>
    <row r="66" spans="1:6">
      <c r="A66" s="348" t="s">
        <v>56</v>
      </c>
      <c r="B66" s="348" t="s">
        <v>58</v>
      </c>
      <c r="C66" s="334">
        <v>0</v>
      </c>
      <c r="D66" s="334">
        <v>0</v>
      </c>
      <c r="E66" s="334">
        <v>28</v>
      </c>
      <c r="F66" s="334">
        <v>237911.99900000001</v>
      </c>
    </row>
    <row r="67" spans="1:6">
      <c r="A67" s="355" t="s">
        <v>56</v>
      </c>
      <c r="B67" s="355" t="s">
        <v>59</v>
      </c>
      <c r="C67" s="334">
        <v>0</v>
      </c>
      <c r="D67" s="334">
        <v>0</v>
      </c>
      <c r="E67" s="334">
        <v>0</v>
      </c>
      <c r="F67" s="334">
        <v>0</v>
      </c>
    </row>
    <row r="68" spans="1:6">
      <c r="A68" s="341" t="s">
        <v>56</v>
      </c>
      <c r="B68" s="341" t="s">
        <v>60</v>
      </c>
      <c r="C68" s="334">
        <v>0</v>
      </c>
      <c r="D68" s="334">
        <v>0</v>
      </c>
      <c r="E68" s="334">
        <v>16</v>
      </c>
      <c r="F68" s="334">
        <v>147540.54999999999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74146742</v>
      </c>
      <c r="E73" s="475">
        <v>75317805.061731681</v>
      </c>
    </row>
    <row r="74" spans="1:6">
      <c r="A74" s="348" t="s">
        <v>64</v>
      </c>
      <c r="B74" s="348" t="s">
        <v>657</v>
      </c>
      <c r="C74" s="1295" t="s">
        <v>659</v>
      </c>
      <c r="D74" s="475">
        <v>4451790</v>
      </c>
      <c r="E74" s="475">
        <v>4569575.452899077</v>
      </c>
    </row>
    <row r="75" spans="1:6">
      <c r="A75" s="348" t="s">
        <v>65</v>
      </c>
      <c r="B75" s="348" t="s">
        <v>656</v>
      </c>
      <c r="C75" s="1295" t="s">
        <v>660</v>
      </c>
      <c r="D75" s="475">
        <v>26954030</v>
      </c>
      <c r="E75" s="475">
        <v>27274813.204206314</v>
      </c>
    </row>
    <row r="76" spans="1:6">
      <c r="A76" s="348" t="s">
        <v>65</v>
      </c>
      <c r="B76" s="348" t="s">
        <v>657</v>
      </c>
      <c r="C76" s="1295" t="s">
        <v>661</v>
      </c>
      <c r="D76" s="475">
        <v>51987</v>
      </c>
      <c r="E76" s="475">
        <v>49494.824032186531</v>
      </c>
    </row>
    <row r="77" spans="1:6">
      <c r="A77" s="348" t="s">
        <v>66</v>
      </c>
      <c r="B77" s="348" t="s">
        <v>656</v>
      </c>
      <c r="C77" s="1295" t="s">
        <v>662</v>
      </c>
      <c r="D77" s="475">
        <v>38965160</v>
      </c>
      <c r="E77" s="475">
        <v>39810467.809073485</v>
      </c>
    </row>
    <row r="78" spans="1:6">
      <c r="A78" s="341" t="s">
        <v>66</v>
      </c>
      <c r="B78" s="341" t="s">
        <v>657</v>
      </c>
      <c r="C78" s="341" t="s">
        <v>663</v>
      </c>
      <c r="D78" s="1296">
        <v>9718981</v>
      </c>
      <c r="E78" s="1296">
        <v>8915523.7200573031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462420</v>
      </c>
      <c r="C83" s="475">
        <v>472847.44504193333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5606.331891613183</v>
      </c>
    </row>
    <row r="92" spans="1:6">
      <c r="A92" s="341" t="s">
        <v>69</v>
      </c>
      <c r="B92" s="342">
        <v>2603.3389740263001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3</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52226.966616366342</v>
      </c>
      <c r="C3" s="43" t="s">
        <v>170</v>
      </c>
      <c r="D3" s="43"/>
      <c r="E3" s="154"/>
      <c r="F3" s="43"/>
      <c r="G3" s="43"/>
      <c r="H3" s="43"/>
      <c r="I3" s="43"/>
      <c r="J3" s="43"/>
      <c r="K3" s="96"/>
    </row>
    <row r="4" spans="1:11">
      <c r="A4" s="383" t="s">
        <v>171</v>
      </c>
      <c r="B4" s="49">
        <f>IF(ISERROR('SEAP template'!B78+'SEAP template'!C78),0,'SEAP template'!B78+'SEAP template'!C78)</f>
        <v>8263.670865639484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0.18603202503179597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77.142857142857139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895.76900000000001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895.76900000000001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0.18603202503179597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166.64172103070686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23080.239949999999</v>
      </c>
      <c r="C5" s="17">
        <f>IF(ISERROR('Eigen informatie GS &amp; warmtenet'!B57),0,'Eigen informatie GS &amp; warmtenet'!B57)</f>
        <v>0</v>
      </c>
      <c r="D5" s="30">
        <f>(SUM(HH_hh_gas_kWh,HH_rest_gas_kWh)/1000)*0.902</f>
        <v>39646.635587900004</v>
      </c>
      <c r="E5" s="17">
        <f>B46*B57</f>
        <v>5199.7280208411576</v>
      </c>
      <c r="F5" s="17">
        <f>B51*B62</f>
        <v>73082.63318893683</v>
      </c>
      <c r="G5" s="18"/>
      <c r="H5" s="17"/>
      <c r="I5" s="17"/>
      <c r="J5" s="17">
        <f>B50*B61+C50*C61</f>
        <v>0</v>
      </c>
      <c r="K5" s="17"/>
      <c r="L5" s="17"/>
      <c r="M5" s="17"/>
      <c r="N5" s="17">
        <f>B48*B59+C48*C59</f>
        <v>11413.133070108026</v>
      </c>
      <c r="O5" s="17">
        <f>B69*B70*B71</f>
        <v>345.49666666666667</v>
      </c>
      <c r="P5" s="17">
        <f>B77*B78*B79/1000-B77*B78*B79/1000/B80</f>
        <v>1144</v>
      </c>
    </row>
    <row r="6" spans="1:16">
      <c r="A6" s="16" t="s">
        <v>621</v>
      </c>
      <c r="B6" s="788">
        <f>kWh_PV_kleiner_dan_10kW</f>
        <v>5606.331891613183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28686.571841613182</v>
      </c>
      <c r="C8" s="21">
        <f>C5</f>
        <v>0</v>
      </c>
      <c r="D8" s="21">
        <f>D5</f>
        <v>39646.635587900004</v>
      </c>
      <c r="E8" s="21">
        <f>E5</f>
        <v>5199.7280208411576</v>
      </c>
      <c r="F8" s="21">
        <f>F5</f>
        <v>73082.63318893683</v>
      </c>
      <c r="G8" s="21"/>
      <c r="H8" s="21"/>
      <c r="I8" s="21"/>
      <c r="J8" s="21">
        <f>J5</f>
        <v>0</v>
      </c>
      <c r="K8" s="21"/>
      <c r="L8" s="21">
        <f>L5</f>
        <v>0</v>
      </c>
      <c r="M8" s="21">
        <f>M5</f>
        <v>0</v>
      </c>
      <c r="N8" s="21">
        <f>N5</f>
        <v>11413.133070108026</v>
      </c>
      <c r="O8" s="21">
        <f>O5</f>
        <v>345.49666666666667</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0.18603202503179597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5336.6210509153971</v>
      </c>
      <c r="C12" s="23">
        <f ca="1">C10*C8</f>
        <v>0</v>
      </c>
      <c r="D12" s="23">
        <f>D8*D10</f>
        <v>8008.6203887558013</v>
      </c>
      <c r="E12" s="23">
        <f>E10*E8</f>
        <v>1180.3382607309427</v>
      </c>
      <c r="F12" s="23">
        <f>F10*F8</f>
        <v>19513.063061446133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6746</v>
      </c>
      <c r="C28" s="36"/>
      <c r="D28" s="228"/>
    </row>
    <row r="29" spans="1:7" s="15" customFormat="1">
      <c r="A29" s="230" t="s">
        <v>794</v>
      </c>
      <c r="B29" s="37">
        <f>SUM(HH_hh_gas_aantal,HH_rest_gas_aantal)</f>
        <v>2581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2581</v>
      </c>
      <c r="C32" s="167">
        <f>IF(ISERROR(B32/SUM($B$32,$B$34,$B$35,$B$36,$B$38,$B$39)*100),0,B32/SUM($B$32,$B$34,$B$35,$B$36,$B$38,$B$39)*100)</f>
        <v>38.603051151660182</v>
      </c>
      <c r="D32" s="233"/>
      <c r="G32" s="15"/>
    </row>
    <row r="33" spans="1:7">
      <c r="A33" s="171" t="s">
        <v>72</v>
      </c>
      <c r="B33" s="34" t="s">
        <v>111</v>
      </c>
      <c r="C33" s="167"/>
      <c r="D33" s="233"/>
      <c r="G33" s="15"/>
    </row>
    <row r="34" spans="1:7">
      <c r="A34" s="171" t="s">
        <v>73</v>
      </c>
      <c r="B34" s="33">
        <f>IF((($B$28-$B$32-$B$39-$B$77-$B$38)*C20/100)&lt;0,0,($B$28-$B$32-$B$39-$B$77-$B$38)*C20/100)</f>
        <v>245.5779220779221</v>
      </c>
      <c r="C34" s="167">
        <f>IF(ISERROR(B34/SUM($B$32,$B$34,$B$35,$B$36,$B$38,$B$39)*100),0,B34/SUM($B$32,$B$34,$B$35,$B$36,$B$38,$B$39)*100)</f>
        <v>3.6730170816320982</v>
      </c>
      <c r="D34" s="233"/>
      <c r="G34" s="15"/>
    </row>
    <row r="35" spans="1:7">
      <c r="A35" s="171" t="s">
        <v>74</v>
      </c>
      <c r="B35" s="33">
        <f>IF((($B$28-$B$32-$B$39-$B$77-$B$38)*C21/100)&lt;0,0,($B$28-$B$32-$B$39-$B$77-$B$38)*C21/100)</f>
        <v>878.25324675324669</v>
      </c>
      <c r="C35" s="167">
        <f>IF(ISERROR(B35/SUM($B$32,$B$34,$B$35,$B$36,$B$38,$B$39)*100),0,B35/SUM($B$32,$B$34,$B$35,$B$36,$B$38,$B$39)*100)</f>
        <v>13.135705156345297</v>
      </c>
      <c r="D35" s="233"/>
      <c r="G35" s="15"/>
    </row>
    <row r="36" spans="1:7">
      <c r="A36" s="171" t="s">
        <v>75</v>
      </c>
      <c r="B36" s="33">
        <f>IF((($B$28-$B$32-$B$39-$B$77-$B$38)*C22/100)&lt;0,0,($B$28-$B$32-$B$39-$B$77-$B$38)*C22/100)</f>
        <v>158.16883116883116</v>
      </c>
      <c r="C36" s="167">
        <f>IF(ISERROR(B36/SUM($B$32,$B$34,$B$35,$B$36,$B$38,$B$39)*100),0,B36/SUM($B$32,$B$34,$B$35,$B$36,$B$38,$B$39)*100)</f>
        <v>2.3656720186783007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2823</v>
      </c>
      <c r="C39" s="167">
        <f>IF(ISERROR(B39/SUM($B$32,$B$34,$B$35,$B$36,$B$38,$B$39)*100),0,B39/SUM($B$32,$B$34,$B$35,$B$36,$B$38,$B$39)*100)</f>
        <v>42.222554591684116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2581</v>
      </c>
      <c r="C44" s="34" t="s">
        <v>111</v>
      </c>
      <c r="D44" s="174"/>
    </row>
    <row r="45" spans="1:7">
      <c r="A45" s="171" t="s">
        <v>72</v>
      </c>
      <c r="B45" s="33" t="str">
        <f t="shared" si="0"/>
        <v>-</v>
      </c>
      <c r="C45" s="34" t="s">
        <v>111</v>
      </c>
      <c r="D45" s="174"/>
    </row>
    <row r="46" spans="1:7">
      <c r="A46" s="171" t="s">
        <v>73</v>
      </c>
      <c r="B46" s="33">
        <f t="shared" si="0"/>
        <v>245.5779220779221</v>
      </c>
      <c r="C46" s="34" t="s">
        <v>111</v>
      </c>
      <c r="D46" s="174"/>
    </row>
    <row r="47" spans="1:7">
      <c r="A47" s="171" t="s">
        <v>74</v>
      </c>
      <c r="B47" s="33">
        <f t="shared" si="0"/>
        <v>878.25324675324669</v>
      </c>
      <c r="C47" s="34" t="s">
        <v>111</v>
      </c>
      <c r="D47" s="174"/>
    </row>
    <row r="48" spans="1:7">
      <c r="A48" s="171" t="s">
        <v>75</v>
      </c>
      <c r="B48" s="33">
        <f t="shared" si="0"/>
        <v>158.16883116883116</v>
      </c>
      <c r="C48" s="33">
        <f>B48*10</f>
        <v>1581.6883116883116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2823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11336.331180000001</v>
      </c>
      <c r="C5" s="17">
        <f>IF(ISERROR('Eigen informatie GS &amp; warmtenet'!B58),0,'Eigen informatie GS &amp; warmtenet'!B58)</f>
        <v>0</v>
      </c>
      <c r="D5" s="30">
        <f>SUM(D6:D12)</f>
        <v>9213.8838645039996</v>
      </c>
      <c r="E5" s="17">
        <f>SUM(E6:E12)</f>
        <v>197.70908012079258</v>
      </c>
      <c r="F5" s="17">
        <f>SUM(F6:F12)</f>
        <v>2002.2731313627414</v>
      </c>
      <c r="G5" s="18"/>
      <c r="H5" s="17"/>
      <c r="I5" s="17"/>
      <c r="J5" s="17">
        <f>SUM(J6:J12)</f>
        <v>2.8792343308541943E-2</v>
      </c>
      <c r="K5" s="17"/>
      <c r="L5" s="17"/>
      <c r="M5" s="17"/>
      <c r="N5" s="17">
        <f>SUM(N6:N12)</f>
        <v>1150.3051315681812</v>
      </c>
      <c r="O5" s="17">
        <f>B38*B39*B40</f>
        <v>4.6900000000000004</v>
      </c>
      <c r="P5" s="17">
        <f>B46*B47*B48/1000-B46*B47*B48/1000/B49</f>
        <v>19.066666666666666</v>
      </c>
      <c r="R5" s="32"/>
    </row>
    <row r="6" spans="1:18">
      <c r="A6" s="32" t="s">
        <v>54</v>
      </c>
      <c r="B6" s="37">
        <f>B26</f>
        <v>2427.8392370000001</v>
      </c>
      <c r="C6" s="33"/>
      <c r="D6" s="37">
        <f>IF(ISERROR(TER_kantoor_gas_kWh/1000),0,TER_kantoor_gas_kWh/1000)*0.902</f>
        <v>2173.8270355999998</v>
      </c>
      <c r="E6" s="33">
        <f>$C$26*'E Balans VL '!I12/100/3.6*1000000</f>
        <v>1.5216888850836193E-2</v>
      </c>
      <c r="F6" s="33">
        <f>$C$26*('E Balans VL '!L12+'E Balans VL '!N12)/100/3.6*1000000</f>
        <v>364.83639702263372</v>
      </c>
      <c r="G6" s="34"/>
      <c r="H6" s="33"/>
      <c r="I6" s="33"/>
      <c r="J6" s="33">
        <f>$C$26*('E Balans VL '!D12+'E Balans VL '!E12)/100/3.6*1000000</f>
        <v>0</v>
      </c>
      <c r="K6" s="33"/>
      <c r="L6" s="33"/>
      <c r="M6" s="33"/>
      <c r="N6" s="33">
        <f>$C$26*'E Balans VL '!Y12/100/3.6*1000000</f>
        <v>2.3218682635193733</v>
      </c>
      <c r="O6" s="33"/>
      <c r="P6" s="33"/>
      <c r="R6" s="32"/>
    </row>
    <row r="7" spans="1:18">
      <c r="A7" s="32" t="s">
        <v>53</v>
      </c>
      <c r="B7" s="37">
        <f t="shared" ref="B7:B12" si="0">B27</f>
        <v>1919.5080949999999</v>
      </c>
      <c r="C7" s="33"/>
      <c r="D7" s="37">
        <f>IF(ISERROR(TER_horeca_gas_kWh/1000),0,TER_horeca_gas_kWh/1000)*0.902</f>
        <v>1801.487028</v>
      </c>
      <c r="E7" s="33">
        <f>$C$27*'E Balans VL '!I9/100/3.6*1000000</f>
        <v>27.48703619138703</v>
      </c>
      <c r="F7" s="33">
        <f>$C$27*('E Balans VL '!L9+'E Balans VL '!N9)/100/3.6*1000000</f>
        <v>243.07303264296141</v>
      </c>
      <c r="G7" s="34"/>
      <c r="H7" s="33"/>
      <c r="I7" s="33"/>
      <c r="J7" s="33">
        <f>$C$27*('E Balans VL '!D9+'E Balans VL '!E9)/100/3.6*1000000</f>
        <v>0</v>
      </c>
      <c r="K7" s="33"/>
      <c r="L7" s="33"/>
      <c r="M7" s="33"/>
      <c r="N7" s="33">
        <f>$C$27*'E Balans VL '!Y9/100/3.6*1000000</f>
        <v>0.55181625579187044</v>
      </c>
      <c r="O7" s="33"/>
      <c r="P7" s="33"/>
      <c r="R7" s="32"/>
    </row>
    <row r="8" spans="1:18">
      <c r="A8" s="6" t="s">
        <v>52</v>
      </c>
      <c r="B8" s="37">
        <f t="shared" si="0"/>
        <v>4579.8725089999998</v>
      </c>
      <c r="C8" s="33"/>
      <c r="D8" s="37">
        <f>IF(ISERROR(TER_handel_gas_kWh/1000),0,TER_handel_gas_kWh/1000)*0.902</f>
        <v>2537.290868904</v>
      </c>
      <c r="E8" s="33">
        <f>$C$28*'E Balans VL '!I13/100/3.6*1000000</f>
        <v>166.11141113685451</v>
      </c>
      <c r="F8" s="33">
        <f>$C$28*('E Balans VL '!L13+'E Balans VL '!N13)/100/3.6*1000000</f>
        <v>882.12981939093061</v>
      </c>
      <c r="G8" s="34"/>
      <c r="H8" s="33"/>
      <c r="I8" s="33"/>
      <c r="J8" s="33">
        <f>$C$28*('E Balans VL '!D13+'E Balans VL '!E13)/100/3.6*1000000</f>
        <v>0</v>
      </c>
      <c r="K8" s="33"/>
      <c r="L8" s="33"/>
      <c r="M8" s="33"/>
      <c r="N8" s="33">
        <f>$C$28*'E Balans VL '!Y13/100/3.6*1000000</f>
        <v>6.3441772066320681</v>
      </c>
      <c r="O8" s="33"/>
      <c r="P8" s="33"/>
      <c r="R8" s="32"/>
    </row>
    <row r="9" spans="1:18">
      <c r="A9" s="32" t="s">
        <v>51</v>
      </c>
      <c r="B9" s="37">
        <f t="shared" si="0"/>
        <v>919.82451400000002</v>
      </c>
      <c r="C9" s="33"/>
      <c r="D9" s="37">
        <f>IF(ISERROR(TER_gezond_gas_kWh/1000),0,TER_gezond_gas_kWh/1000)*0.902</f>
        <v>1681.8150800000001</v>
      </c>
      <c r="E9" s="33">
        <f>$C$29*'E Balans VL '!I10/100/3.6*1000000</f>
        <v>5.7590096202785081E-2</v>
      </c>
      <c r="F9" s="33">
        <f>$C$29*('E Balans VL '!L10+'E Balans VL '!N10)/100/3.6*1000000</f>
        <v>136.64273215363022</v>
      </c>
      <c r="G9" s="34"/>
      <c r="H9" s="33"/>
      <c r="I9" s="33"/>
      <c r="J9" s="33">
        <f>$C$29*('E Balans VL '!D10+'E Balans VL '!E10)/100/3.6*1000000</f>
        <v>0</v>
      </c>
      <c r="K9" s="33"/>
      <c r="L9" s="33"/>
      <c r="M9" s="33"/>
      <c r="N9" s="33">
        <f>$C$29*'E Balans VL '!Y10/100/3.6*1000000</f>
        <v>14.227934338030771</v>
      </c>
      <c r="O9" s="33"/>
      <c r="P9" s="33"/>
      <c r="R9" s="32"/>
    </row>
    <row r="10" spans="1:18">
      <c r="A10" s="32" t="s">
        <v>50</v>
      </c>
      <c r="B10" s="37">
        <f t="shared" si="0"/>
        <v>1326.464436</v>
      </c>
      <c r="C10" s="33"/>
      <c r="D10" s="37">
        <f>IF(ISERROR(TER_ander_gas_kWh/1000),0,TER_ander_gas_kWh/1000)*0.902</f>
        <v>774.85858999999994</v>
      </c>
      <c r="E10" s="33">
        <f>$C$30*'E Balans VL '!I14/100/3.6*1000000</f>
        <v>1.5810982078822209</v>
      </c>
      <c r="F10" s="33">
        <f>$C$30*('E Balans VL '!L14+'E Balans VL '!N14)/100/3.6*1000000</f>
        <v>347.06206643473718</v>
      </c>
      <c r="G10" s="34"/>
      <c r="H10" s="33"/>
      <c r="I10" s="33"/>
      <c r="J10" s="33">
        <f>$C$30*('E Balans VL '!D14+'E Balans VL '!E14)/100/3.6*1000000</f>
        <v>2.8792343308541943E-2</v>
      </c>
      <c r="K10" s="33"/>
      <c r="L10" s="33"/>
      <c r="M10" s="33"/>
      <c r="N10" s="33">
        <f>$C$30*'E Balans VL '!Y14/100/3.6*1000000</f>
        <v>1126.4011409233317</v>
      </c>
      <c r="O10" s="33"/>
      <c r="P10" s="33"/>
      <c r="R10" s="32"/>
    </row>
    <row r="11" spans="1:18">
      <c r="A11" s="32" t="s">
        <v>55</v>
      </c>
      <c r="B11" s="37">
        <f t="shared" si="0"/>
        <v>162.82238899999999</v>
      </c>
      <c r="C11" s="33"/>
      <c r="D11" s="37">
        <f>IF(ISERROR(TER_onderwijs_gas_kWh/1000),0,TER_onderwijs_gas_kWh/1000)*0.902</f>
        <v>244.60526199999998</v>
      </c>
      <c r="E11" s="33">
        <f>$C$31*'E Balans VL '!I11/100/3.6*1000000</f>
        <v>2.4567275996152054</v>
      </c>
      <c r="F11" s="33">
        <f>$C$31*('E Balans VL '!L11+'E Balans VL '!N11)/100/3.6*1000000</f>
        <v>28.529083717848067</v>
      </c>
      <c r="G11" s="34"/>
      <c r="H11" s="33"/>
      <c r="I11" s="33"/>
      <c r="J11" s="33">
        <f>$C$31*('E Balans VL '!D11+'E Balans VL '!E11)/100/3.6*1000000</f>
        <v>0</v>
      </c>
      <c r="K11" s="33"/>
      <c r="L11" s="33"/>
      <c r="M11" s="33"/>
      <c r="N11" s="33">
        <f>$C$31*'E Balans VL '!Y11/100/3.6*1000000</f>
        <v>0.45819458087539788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11336.331180000001</v>
      </c>
      <c r="C16" s="21">
        <f t="shared" ca="1" si="1"/>
        <v>0</v>
      </c>
      <c r="D16" s="21">
        <f t="shared" ca="1" si="1"/>
        <v>9213.8838645039996</v>
      </c>
      <c r="E16" s="21">
        <f t="shared" si="1"/>
        <v>197.70908012079258</v>
      </c>
      <c r="F16" s="21">
        <f t="shared" ca="1" si="1"/>
        <v>2002.2731313627414</v>
      </c>
      <c r="G16" s="21">
        <f t="shared" si="1"/>
        <v>0</v>
      </c>
      <c r="H16" s="21">
        <f t="shared" si="1"/>
        <v>0</v>
      </c>
      <c r="I16" s="21">
        <f t="shared" si="1"/>
        <v>0</v>
      </c>
      <c r="J16" s="21">
        <f t="shared" si="1"/>
        <v>2.8792343308541943E-2</v>
      </c>
      <c r="K16" s="21">
        <f t="shared" si="1"/>
        <v>0</v>
      </c>
      <c r="L16" s="21">
        <f t="shared" ca="1" si="1"/>
        <v>0</v>
      </c>
      <c r="M16" s="21">
        <f t="shared" si="1"/>
        <v>0</v>
      </c>
      <c r="N16" s="21">
        <f t="shared" ca="1" si="1"/>
        <v>1150.3051315681812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0.18603202503179597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2108.9206458464892</v>
      </c>
      <c r="C20" s="23">
        <f t="shared" ref="C20:P20" ca="1" si="2">C16*C18</f>
        <v>0</v>
      </c>
      <c r="D20" s="23">
        <f t="shared" ca="1" si="2"/>
        <v>1861.204540629808</v>
      </c>
      <c r="E20" s="23">
        <f t="shared" si="2"/>
        <v>44.879961187419916</v>
      </c>
      <c r="F20" s="23">
        <f t="shared" ca="1" si="2"/>
        <v>534.60692607385204</v>
      </c>
      <c r="G20" s="23">
        <f t="shared" si="2"/>
        <v>0</v>
      </c>
      <c r="H20" s="23">
        <f t="shared" si="2"/>
        <v>0</v>
      </c>
      <c r="I20" s="23">
        <f t="shared" si="2"/>
        <v>0</v>
      </c>
      <c r="J20" s="23">
        <f t="shared" si="2"/>
        <v>1.0192489531223847E-2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2427.8392370000001</v>
      </c>
      <c r="C26" s="39">
        <f>IF(ISERROR(B26*3.6/1000000/'E Balans VL '!Z12*100),0,B26*3.6/1000000/'E Balans VL '!Z12*100)</f>
        <v>5.1320675462167037E-2</v>
      </c>
      <c r="D26" s="237" t="s">
        <v>754</v>
      </c>
      <c r="F26" s="6"/>
    </row>
    <row r="27" spans="1:18">
      <c r="A27" s="231" t="s">
        <v>53</v>
      </c>
      <c r="B27" s="33">
        <f>IF(ISERROR(TER_horeca_ele_kWh/1000),0,TER_horeca_ele_kWh/1000)</f>
        <v>1919.5080949999999</v>
      </c>
      <c r="C27" s="39">
        <f>IF(ISERROR(B27*3.6/1000000/'E Balans VL '!Z9*100),0,B27*3.6/1000000/'E Balans VL '!Z9*100)</f>
        <v>0.15131410769165859</v>
      </c>
      <c r="D27" s="237" t="s">
        <v>754</v>
      </c>
      <c r="F27" s="6"/>
    </row>
    <row r="28" spans="1:18">
      <c r="A28" s="171" t="s">
        <v>52</v>
      </c>
      <c r="B28" s="33">
        <f>IF(ISERROR(TER_handel_ele_kWh/1000),0,TER_handel_ele_kWh/1000)</f>
        <v>4579.8725089999998</v>
      </c>
      <c r="C28" s="39">
        <f>IF(ISERROR(B28*3.6/1000000/'E Balans VL '!Z13*100),0,B28*3.6/1000000/'E Balans VL '!Z13*100)</f>
        <v>0.13292640496968752</v>
      </c>
      <c r="D28" s="237" t="s">
        <v>754</v>
      </c>
      <c r="F28" s="6"/>
    </row>
    <row r="29" spans="1:18">
      <c r="A29" s="231" t="s">
        <v>51</v>
      </c>
      <c r="B29" s="33">
        <f>IF(ISERROR(TER_gezond_ele_kWh/1000),0,TER_gezond_ele_kWh/1000)</f>
        <v>919.82451400000002</v>
      </c>
      <c r="C29" s="39">
        <f>IF(ISERROR(B29*3.6/1000000/'E Balans VL '!Z10*100),0,B29*3.6/1000000/'E Balans VL '!Z10*100)</f>
        <v>9.6872625241404928E-2</v>
      </c>
      <c r="D29" s="237" t="s">
        <v>754</v>
      </c>
      <c r="F29" s="6"/>
    </row>
    <row r="30" spans="1:18">
      <c r="A30" s="231" t="s">
        <v>50</v>
      </c>
      <c r="B30" s="33">
        <f>IF(ISERROR(TER_ander_ele_kWh/1000),0,TER_ander_ele_kWh/1000)</f>
        <v>1326.464436</v>
      </c>
      <c r="C30" s="39">
        <f>IF(ISERROR(B30*3.6/1000000/'E Balans VL '!Z14*100),0,B30*3.6/1000000/'E Balans VL '!Z14*100)</f>
        <v>9.7840304906002346E-2</v>
      </c>
      <c r="D30" s="237" t="s">
        <v>754</v>
      </c>
      <c r="F30" s="6"/>
    </row>
    <row r="31" spans="1:18">
      <c r="A31" s="231" t="s">
        <v>55</v>
      </c>
      <c r="B31" s="33">
        <f>IF(ISERROR(TER_onderwijs_ele_kWh/1000),0,TER_onderwijs_ele_kWh/1000)</f>
        <v>162.82238899999999</v>
      </c>
      <c r="C31" s="39">
        <f>IF(ISERROR(B31*3.6/1000000/'E Balans VL '!Z11*100),0,B31*3.6/1000000/'E Balans VL '!Z11*100)</f>
        <v>4.0436426238573436E-2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2585.6673539999997</v>
      </c>
      <c r="C5" s="17">
        <f>IF(ISERROR('Eigen informatie GS &amp; warmtenet'!B59),0,'Eigen informatie GS &amp; warmtenet'!B59)</f>
        <v>0</v>
      </c>
      <c r="D5" s="30">
        <f>SUM(D6:D15)</f>
        <v>8088.0962799340014</v>
      </c>
      <c r="E5" s="17">
        <f>SUM(E6:E15)</f>
        <v>308.51347254127938</v>
      </c>
      <c r="F5" s="17">
        <f>SUM(F6:F15)</f>
        <v>1055.083505577707</v>
      </c>
      <c r="G5" s="18"/>
      <c r="H5" s="17"/>
      <c r="I5" s="17"/>
      <c r="J5" s="17">
        <f>SUM(J6:J15)</f>
        <v>1.0212027794621634</v>
      </c>
      <c r="K5" s="17"/>
      <c r="L5" s="17"/>
      <c r="M5" s="17"/>
      <c r="N5" s="17">
        <f>SUM(N6:N15)</f>
        <v>612.49371641462619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284.976</v>
      </c>
      <c r="C8" s="33"/>
      <c r="D8" s="37">
        <f>IF( ISERROR(IND_metaal_Gas_kWH/1000),0,IND_metaal_Gas_kWH/1000)*0.902</f>
        <v>0</v>
      </c>
      <c r="E8" s="33">
        <f>C30*'E Balans VL '!I18/100/3.6*1000000</f>
        <v>2.6200790875617312</v>
      </c>
      <c r="F8" s="33">
        <f>C30*'E Balans VL '!L18/100/3.6*1000000+C30*'E Balans VL '!N18/100/3.6*1000000</f>
        <v>26.721260988560225</v>
      </c>
      <c r="G8" s="34"/>
      <c r="H8" s="33"/>
      <c r="I8" s="33"/>
      <c r="J8" s="40">
        <f>C30*'E Balans VL '!D18/100/3.6*1000000+C30*'E Balans VL '!E18/100/3.6*1000000</f>
        <v>0</v>
      </c>
      <c r="K8" s="33"/>
      <c r="L8" s="33"/>
      <c r="M8" s="33"/>
      <c r="N8" s="33">
        <f>C30*'E Balans VL '!Y18/100/3.6*1000000</f>
        <v>4.0656535826718887</v>
      </c>
      <c r="O8" s="33"/>
      <c r="P8" s="33"/>
      <c r="R8" s="32"/>
    </row>
    <row r="9" spans="1:18">
      <c r="A9" s="6" t="s">
        <v>33</v>
      </c>
      <c r="B9" s="37">
        <f t="shared" si="0"/>
        <v>980.75175000000002</v>
      </c>
      <c r="C9" s="33"/>
      <c r="D9" s="37">
        <f>IF( ISERROR(IND_andere_gas_kWh/1000),0,IND_andere_gas_kWh/1000)*0.902</f>
        <v>1165.8897062999999</v>
      </c>
      <c r="E9" s="33">
        <f>C31*'E Balans VL '!I19/100/3.6*1000000</f>
        <v>286.6928295095679</v>
      </c>
      <c r="F9" s="33">
        <f>C31*'E Balans VL '!L19/100/3.6*1000000+C31*'E Balans VL '!N19/100/3.6*1000000</f>
        <v>788.10826721122362</v>
      </c>
      <c r="G9" s="34"/>
      <c r="H9" s="33"/>
      <c r="I9" s="33"/>
      <c r="J9" s="40">
        <f>C31*'E Balans VL '!D19/100/3.6*1000000+C31*'E Balans VL '!E19/100/3.6*1000000</f>
        <v>0</v>
      </c>
      <c r="K9" s="33"/>
      <c r="L9" s="33"/>
      <c r="M9" s="33"/>
      <c r="N9" s="33">
        <f>C31*'E Balans VL '!Y19/100/3.6*1000000</f>
        <v>324.05558858122555</v>
      </c>
      <c r="O9" s="33"/>
      <c r="P9" s="33"/>
      <c r="R9" s="32"/>
    </row>
    <row r="10" spans="1:18">
      <c r="A10" s="6" t="s">
        <v>41</v>
      </c>
      <c r="B10" s="37">
        <f t="shared" si="0"/>
        <v>688.44949999999994</v>
      </c>
      <c r="C10" s="33"/>
      <c r="D10" s="37">
        <f>IF( ISERROR(IND_voed_gas_kWh/1000),0,IND_voed_gas_kWh/1000)*0.902</f>
        <v>1051.888046</v>
      </c>
      <c r="E10" s="33">
        <f>C32*'E Balans VL '!I20/100/3.6*1000000</f>
        <v>1.4564255917859257</v>
      </c>
      <c r="F10" s="33">
        <f>C32*'E Balans VL '!L20/100/3.6*1000000+C32*'E Balans VL '!N20/100/3.6*1000000</f>
        <v>43.772322440542332</v>
      </c>
      <c r="G10" s="34"/>
      <c r="H10" s="33"/>
      <c r="I10" s="33"/>
      <c r="J10" s="40">
        <f>C32*'E Balans VL '!D20/100/3.6*1000000+C32*'E Balans VL '!E20/100/3.6*1000000</f>
        <v>0</v>
      </c>
      <c r="K10" s="33"/>
      <c r="L10" s="33"/>
      <c r="M10" s="33"/>
      <c r="N10" s="33">
        <f>C32*'E Balans VL '!Y20/100/3.6*1000000</f>
        <v>47.50980928566932</v>
      </c>
      <c r="O10" s="33"/>
      <c r="P10" s="33"/>
      <c r="R10" s="32"/>
    </row>
    <row r="11" spans="1:18">
      <c r="A11" s="6" t="s">
        <v>40</v>
      </c>
      <c r="B11" s="37">
        <f t="shared" si="0"/>
        <v>15.468999999999999</v>
      </c>
      <c r="C11" s="33"/>
      <c r="D11" s="37">
        <f>IF( ISERROR(IND_textiel_gas_kWh/1000),0,IND_textiel_gas_kWh/1000)*0.902</f>
        <v>0</v>
      </c>
      <c r="E11" s="33">
        <f>C33*'E Balans VL '!I21/100/3.6*1000000</f>
        <v>4.5941596315809116E-2</v>
      </c>
      <c r="F11" s="33">
        <f>C33*'E Balans VL '!L21/100/3.6*1000000+C33*'E Balans VL '!N21/100/3.6*1000000</f>
        <v>1.5627936877298851</v>
      </c>
      <c r="G11" s="34"/>
      <c r="H11" s="33"/>
      <c r="I11" s="33"/>
      <c r="J11" s="40">
        <f>C33*'E Balans VL '!D21/100/3.6*1000000+C33*'E Balans VL '!E21/100/3.6*1000000</f>
        <v>0</v>
      </c>
      <c r="K11" s="33"/>
      <c r="L11" s="33"/>
      <c r="M11" s="33"/>
      <c r="N11" s="33">
        <f>C33*'E Balans VL '!Y21/100/3.6*1000000</f>
        <v>0.85316471705891306</v>
      </c>
      <c r="O11" s="33"/>
      <c r="P11" s="33"/>
      <c r="R11" s="32"/>
    </row>
    <row r="12" spans="1:18">
      <c r="A12" s="6" t="s">
        <v>37</v>
      </c>
      <c r="B12" s="37">
        <f t="shared" si="0"/>
        <v>544.98710400000004</v>
      </c>
      <c r="C12" s="33"/>
      <c r="D12" s="37">
        <f>IF( ISERROR(IND_min_gas_kWh/1000),0,IND_min_gas_kWh/1000)*0.902</f>
        <v>0</v>
      </c>
      <c r="E12" s="33">
        <f>C34*'E Balans VL '!I22/100/3.6*1000000</f>
        <v>15.796932071109987</v>
      </c>
      <c r="F12" s="33">
        <f>C34*'E Balans VL '!L22/100/3.6*1000000+C34*'E Balans VL '!N22/100/3.6*1000000</f>
        <v>187.37272484673014</v>
      </c>
      <c r="G12" s="34"/>
      <c r="H12" s="33"/>
      <c r="I12" s="33"/>
      <c r="J12" s="40">
        <f>C34*'E Balans VL '!D22/100/3.6*1000000+C34*'E Balans VL '!E22/100/3.6*1000000</f>
        <v>0.8955780412860932</v>
      </c>
      <c r="K12" s="33"/>
      <c r="L12" s="33"/>
      <c r="M12" s="33"/>
      <c r="N12" s="33">
        <f>C34*'E Balans VL '!Y22/100/3.6*1000000</f>
        <v>119.30663299742639</v>
      </c>
      <c r="O12" s="33"/>
      <c r="P12" s="33"/>
      <c r="R12" s="32"/>
    </row>
    <row r="13" spans="1:18">
      <c r="A13" s="6" t="s">
        <v>39</v>
      </c>
      <c r="B13" s="37">
        <f t="shared" si="0"/>
        <v>37.566000000000003</v>
      </c>
      <c r="C13" s="33"/>
      <c r="D13" s="37">
        <f>IF( ISERROR(IND_papier_gas_kWh/1000),0,IND_papier_gas_kWh/1000)*0.902</f>
        <v>0</v>
      </c>
      <c r="E13" s="33">
        <f>C35*'E Balans VL '!I23/100/3.6*1000000</f>
        <v>5.3297562722493919E-2</v>
      </c>
      <c r="F13" s="33">
        <f>C35*'E Balans VL '!L23/100/3.6*1000000+C35*'E Balans VL '!N23/100/3.6*1000000</f>
        <v>0.91712731726747898</v>
      </c>
      <c r="G13" s="34"/>
      <c r="H13" s="33"/>
      <c r="I13" s="33"/>
      <c r="J13" s="40">
        <f>C35*'E Balans VL '!D23/100/3.6*1000000+C35*'E Balans VL '!E23/100/3.6*1000000</f>
        <v>5.8099345911000978E-3</v>
      </c>
      <c r="K13" s="33"/>
      <c r="L13" s="33"/>
      <c r="M13" s="33"/>
      <c r="N13" s="33">
        <f>C35*'E Balans VL '!Y23/100/3.6*1000000</f>
        <v>109.19546951700592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33.468000000000004</v>
      </c>
      <c r="C15" s="33"/>
      <c r="D15" s="37">
        <f>IF( ISERROR(IND_rest_gas_kWh/1000),0,IND_rest_gas_kWh/1000)*0.902</f>
        <v>5870.3185276340009</v>
      </c>
      <c r="E15" s="33">
        <f>C37*'E Balans VL '!I15/100/3.6*1000000</f>
        <v>1.8479671222154752</v>
      </c>
      <c r="F15" s="33">
        <f>C37*'E Balans VL '!L15/100/3.6*1000000+C37*'E Balans VL '!N15/100/3.6*1000000</f>
        <v>6.6290090856535411</v>
      </c>
      <c r="G15" s="34"/>
      <c r="H15" s="33"/>
      <c r="I15" s="33"/>
      <c r="J15" s="40">
        <f>C37*'E Balans VL '!D15/100/3.6*1000000+C37*'E Balans VL '!E15/100/3.6*1000000</f>
        <v>0.11981480358496999</v>
      </c>
      <c r="K15" s="33"/>
      <c r="L15" s="33"/>
      <c r="M15" s="33"/>
      <c r="N15" s="33">
        <f>C37*'E Balans VL '!Y15/100/3.6*1000000</f>
        <v>7.5073977335682267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2585.6673539999997</v>
      </c>
      <c r="C18" s="21">
        <f>C5+C16</f>
        <v>0</v>
      </c>
      <c r="D18" s="21">
        <f>MAX((D5+D16),0)</f>
        <v>8088.0962799340014</v>
      </c>
      <c r="E18" s="21">
        <f>MAX((E5+E16),0)</f>
        <v>308.51347254127938</v>
      </c>
      <c r="F18" s="21">
        <f>MAX((F5+F16),0)</f>
        <v>1055.083505577707</v>
      </c>
      <c r="G18" s="21"/>
      <c r="H18" s="21"/>
      <c r="I18" s="21"/>
      <c r="J18" s="21">
        <f>MAX((J5+J16),0)</f>
        <v>1.0212027794621634</v>
      </c>
      <c r="K18" s="21"/>
      <c r="L18" s="21">
        <f>MAX((L5+L16),0)</f>
        <v>0</v>
      </c>
      <c r="M18" s="21"/>
      <c r="N18" s="21">
        <f>MAX((N5+N16),0)</f>
        <v>612.49371641462619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0.18603202503179597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481.01693392322562</v>
      </c>
      <c r="C22" s="23">
        <f ca="1">C18*C20</f>
        <v>0</v>
      </c>
      <c r="D22" s="23">
        <f>D18*D20</f>
        <v>1633.7954485466685</v>
      </c>
      <c r="E22" s="23">
        <f>E18*E20</f>
        <v>70.032558266870424</v>
      </c>
      <c r="F22" s="23">
        <f>F18*F20</f>
        <v>281.70729598924777</v>
      </c>
      <c r="G22" s="23"/>
      <c r="H22" s="23"/>
      <c r="I22" s="23"/>
      <c r="J22" s="23">
        <f>J18*J20</f>
        <v>0.36150578392960581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284.976</v>
      </c>
      <c r="C30" s="39">
        <f>IF(ISERROR(B30*3.6/1000000/'E Balans VL '!Z18*100),0,B30*3.6/1000000/'E Balans VL '!Z18*100)</f>
        <v>1.6150320646257033E-2</v>
      </c>
      <c r="D30" s="237" t="s">
        <v>754</v>
      </c>
    </row>
    <row r="31" spans="1:18">
      <c r="A31" s="6" t="s">
        <v>33</v>
      </c>
      <c r="B31" s="37">
        <f>IF( ISERROR(IND_ander_ele_kWh/1000),0,IND_ander_ele_kWh/1000)</f>
        <v>980.75175000000002</v>
      </c>
      <c r="C31" s="39">
        <f>IF(ISERROR(B31*3.6/1000000/'E Balans VL '!Z19*100),0,B31*3.6/1000000/'E Balans VL '!Z19*100)</f>
        <v>4.4482815600789927E-2</v>
      </c>
      <c r="D31" s="237" t="s">
        <v>754</v>
      </c>
    </row>
    <row r="32" spans="1:18">
      <c r="A32" s="171" t="s">
        <v>41</v>
      </c>
      <c r="B32" s="37">
        <f>IF( ISERROR(IND_voed_ele_kWh/1000),0,IND_voed_ele_kWh/1000)</f>
        <v>688.44949999999994</v>
      </c>
      <c r="C32" s="39">
        <f>IF(ISERROR(B32*3.6/1000000/'E Balans VL '!Z20*100),0,B32*3.6/1000000/'E Balans VL '!Z20*100)</f>
        <v>2.1296868331844021E-2</v>
      </c>
      <c r="D32" s="237" t="s">
        <v>754</v>
      </c>
    </row>
    <row r="33" spans="1:5">
      <c r="A33" s="171" t="s">
        <v>40</v>
      </c>
      <c r="B33" s="37">
        <f>IF( ISERROR(IND_textiel_ele_kWh/1000),0,IND_textiel_ele_kWh/1000)</f>
        <v>15.468999999999999</v>
      </c>
      <c r="C33" s="39">
        <f>IF(ISERROR(B33*3.6/1000000/'E Balans VL '!Z21*100),0,B33*3.6/1000000/'E Balans VL '!Z21*100)</f>
        <v>2.016985653309451E-3</v>
      </c>
      <c r="D33" s="237" t="s">
        <v>754</v>
      </c>
    </row>
    <row r="34" spans="1:5">
      <c r="A34" s="171" t="s">
        <v>37</v>
      </c>
      <c r="B34" s="37">
        <f>IF( ISERROR(IND_min_ele_kWh/1000),0,IND_min_ele_kWh/1000)</f>
        <v>544.98710400000004</v>
      </c>
      <c r="C34" s="39">
        <f>IF(ISERROR(B34*3.6/1000000/'E Balans VL '!Z22*100),0,B34*3.6/1000000/'E Balans VL '!Z22*100)</f>
        <v>9.8026176607781956E-2</v>
      </c>
      <c r="D34" s="237" t="s">
        <v>754</v>
      </c>
    </row>
    <row r="35" spans="1:5">
      <c r="A35" s="171" t="s">
        <v>39</v>
      </c>
      <c r="B35" s="37">
        <f>IF( ISERROR(IND_papier_ele_kWh/1000),0,IND_papier_ele_kWh/1000)</f>
        <v>37.566000000000003</v>
      </c>
      <c r="C35" s="39">
        <f>IF(ISERROR(B35*3.6/1000000/'E Balans VL '!Z22*100),0,B35*3.6/1000000/'E Balans VL '!Z22*100)</f>
        <v>6.7569513542983517E-3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33.468000000000004</v>
      </c>
      <c r="C37" s="39">
        <f>IF(ISERROR(B37*3.6/1000000/'E Balans VL '!Z15*100),0,B37*3.6/1000000/'E Balans VL '!Z15*100)</f>
        <v>2.652750026130564E-4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8168.4384890000001</v>
      </c>
      <c r="C5" s="17">
        <f>'Eigen informatie GS &amp; warmtenet'!B60</f>
        <v>0</v>
      </c>
      <c r="D5" s="30">
        <f>IF(ISERROR(SUM(LB_lb_gas_kWh,LB_rest_gas_kWh)/1000),0,SUM(LB_lb_gas_kWh,LB_rest_gas_kWh)/1000)*0.902</f>
        <v>3899.4403086100001</v>
      </c>
      <c r="E5" s="17">
        <f>B17*'E Balans VL '!I25/3.6*1000000/100</f>
        <v>240.09535648253998</v>
      </c>
      <c r="F5" s="17">
        <f>B17*('E Balans VL '!L25/3.6*1000000+'E Balans VL '!N25/3.6*1000000)/100</f>
        <v>34029.273345926071</v>
      </c>
      <c r="G5" s="18"/>
      <c r="H5" s="17"/>
      <c r="I5" s="17"/>
      <c r="J5" s="17">
        <f>('E Balans VL '!D25+'E Balans VL '!E25)/3.6*1000000*landbouw!B17/100</f>
        <v>1183.4313178315447</v>
      </c>
      <c r="K5" s="17"/>
      <c r="L5" s="17">
        <f>L6*(-1)</f>
        <v>0</v>
      </c>
      <c r="M5" s="17"/>
      <c r="N5" s="17">
        <f>N6*(-1)</f>
        <v>154.28571428571431</v>
      </c>
      <c r="O5" s="17"/>
      <c r="P5" s="17"/>
      <c r="R5" s="32"/>
    </row>
    <row r="6" spans="1:18">
      <c r="A6" s="16" t="s">
        <v>488</v>
      </c>
      <c r="B6" s="17" t="s">
        <v>211</v>
      </c>
      <c r="C6" s="17">
        <f>'lokale energieproductie'!O92+'lokale energieproductie'!O61</f>
        <v>77.142857142857139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8168.4384890000001</v>
      </c>
      <c r="C8" s="21">
        <f>C5+C6</f>
        <v>77.142857142857139</v>
      </c>
      <c r="D8" s="21">
        <f>MAX((D5+D6),0)</f>
        <v>3899.4403086100001</v>
      </c>
      <c r="E8" s="21">
        <f>MAX((E5+E6),0)</f>
        <v>240.09535648253998</v>
      </c>
      <c r="F8" s="21">
        <f>MAX((F5+F6),0)</f>
        <v>34029.273345926071</v>
      </c>
      <c r="G8" s="21"/>
      <c r="H8" s="21"/>
      <c r="I8" s="21"/>
      <c r="J8" s="21">
        <f>MAX((J5+J6),0)</f>
        <v>1183.4313178315447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0.18603202503179597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1519.5911534563336</v>
      </c>
      <c r="C12" s="23">
        <f ca="1">C8*C10</f>
        <v>0</v>
      </c>
      <c r="D12" s="23">
        <f>D8*D10</f>
        <v>787.68694233922008</v>
      </c>
      <c r="E12" s="23">
        <f>E8*E10</f>
        <v>54.501645921536578</v>
      </c>
      <c r="F12" s="23">
        <f>F8*F10</f>
        <v>9085.8159833622612</v>
      </c>
      <c r="G12" s="23"/>
      <c r="H12" s="23"/>
      <c r="I12" s="23"/>
      <c r="J12" s="23">
        <f>J8*J10</f>
        <v>418.9346865123668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1.1591270492832944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261.76661081691196</v>
      </c>
      <c r="C26" s="247">
        <f>B26*'GWP N2O_CH4'!B5</f>
        <v>5497.0988271551514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145.29229221375965</v>
      </c>
      <c r="C27" s="247">
        <f>B27*'GWP N2O_CH4'!B5</f>
        <v>3051.1381364889526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3.945795949327378</v>
      </c>
      <c r="C28" s="247">
        <f>B28*'GWP N2O_CH4'!B4</f>
        <v>1223.1967442914872</v>
      </c>
      <c r="D28" s="50"/>
    </row>
    <row r="29" spans="1:4">
      <c r="A29" s="41" t="s">
        <v>277</v>
      </c>
      <c r="B29" s="247">
        <f>B34*'ha_N2O bodem landbouw'!B4</f>
        <v>27.947230261830939</v>
      </c>
      <c r="C29" s="247">
        <f>B29*'GWP N2O_CH4'!B4</f>
        <v>8663.6413811675902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6.3774616353097675E-3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1.9836864631139542E-4</v>
      </c>
      <c r="C5" s="463" t="s">
        <v>211</v>
      </c>
      <c r="D5" s="448">
        <f>SUM(D6:D11)</f>
        <v>6.9169482989108453E-4</v>
      </c>
      <c r="E5" s="448">
        <f>SUM(E6:E11)</f>
        <v>9.8244622451534652E-4</v>
      </c>
      <c r="F5" s="461" t="s">
        <v>211</v>
      </c>
      <c r="G5" s="448">
        <f>SUM(G6:G11)</f>
        <v>0.37053859557418461</v>
      </c>
      <c r="H5" s="448">
        <f>SUM(H6:H11)</f>
        <v>7.8881449105598384E-2</v>
      </c>
      <c r="I5" s="463" t="s">
        <v>211</v>
      </c>
      <c r="J5" s="463" t="s">
        <v>211</v>
      </c>
      <c r="K5" s="463" t="s">
        <v>211</v>
      </c>
      <c r="L5" s="463" t="s">
        <v>211</v>
      </c>
      <c r="M5" s="448">
        <f>SUM(M6:M11)</f>
        <v>2.3975916745915503E-2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1.0501046634909256E-4</v>
      </c>
      <c r="C6" s="449"/>
      <c r="D6" s="892">
        <f>vkm_2011_GW_PW*SUMIFS(TableVerdeelsleutelVkm[CNG],TableVerdeelsleutelVkm[Voertuigtype],"Lichte voertuigen")*SUMIFS(TableECFTransport[EnergieConsumptieFactor (PJ per km)],TableECFTransport[Index],CONCATENATE($A6,"_CNG_CNG"))</f>
        <v>3.1497112852185981E-4</v>
      </c>
      <c r="E6" s="892">
        <f>vkm_2011_GW_PW*SUMIFS(TableVerdeelsleutelVkm[LPG],TableVerdeelsleutelVkm[Voertuigtype],"Lichte voertuigen")*SUMIFS(TableECFTransport[EnergieConsumptieFactor (PJ per km)],TableECFTransport[Index],CONCATENATE($A6,"_LPG_LPG"))</f>
        <v>4.3029580493377721E-4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0.11125477008959611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3.5824341642793335E-2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7.5568168365232162E-3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4.1775815887618105E-2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1.2732419793653807E-5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2.4412377368697715E-3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3.8173696968201674E-5</v>
      </c>
      <c r="C8" s="449"/>
      <c r="D8" s="451">
        <f>vkm_2011_NGW_PW*SUMIFS(TableVerdeelsleutelVkm[CNG],TableVerdeelsleutelVkm[Voertuigtype],"Lichte voertuigen")*SUMIFS(TableECFTransport[EnergieConsumptieFactor (PJ per km)],TableECFTransport[Index],CONCATENATE($A8,"_CNG_CNG"))</f>
        <v>2.0358082682653806E-4</v>
      </c>
      <c r="E8" s="451">
        <f>vkm_2011_NGW_PW*SUMIFS(TableVerdeelsleutelVkm[LPG],TableVerdeelsleutelVkm[Voertuigtype],"Lichte voertuigen")*SUMIFS(TableECFTransport[EnergieConsumptieFactor (PJ per km)],TableECFTransport[Index],CONCATENATE($A8,"_LPG_LPG"))</f>
        <v>2.5757128352812026E-4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6.2060543612388538E-2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2.2501565599449911E-2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4.2896243858260106E-3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6.2554074187009688E-4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1.7948247977763653E-7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3.6554161106803675E-5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5.5184482994101181E-5</v>
      </c>
      <c r="C10" s="449"/>
      <c r="D10" s="451">
        <f>vkm_2011_SW_PW*SUMIFS(TableVerdeelsleutelVkm[CNG],TableVerdeelsleutelVkm[Voertuigtype],"Lichte voertuigen")*SUMIFS(TableECFTransport[EnergieConsumptieFactor (PJ per km)],TableECFTransport[Index],CONCATENATE($A10,"_CNG_CNG"))</f>
        <v>1.7314287454268663E-4</v>
      </c>
      <c r="E10" s="451">
        <f>vkm_2011_SW_PW*SUMIFS(TableVerdeelsleutelVkm[LPG],TableVerdeelsleutelVkm[Voertuigtype],"Lichte voertuigen")*SUMIFS(TableECFTransport[EnergieConsumptieFactor (PJ per km)],TableECFTransport[Index],CONCATENATE($A10,"_LPG_LPG"))</f>
        <v>2.9457913605344911E-4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6.7901158287557842E-2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2.0514021856461534E-2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4.5722648452852102E-3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8.6920766955153925E-2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2.8608104620190909E-5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5.0794187803044882E-3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55.102401753165395</v>
      </c>
      <c r="C14" s="21"/>
      <c r="D14" s="21">
        <f t="shared" ref="D14:M14" si="0">((D5)*10^9/3600)+D12</f>
        <v>192.1374527475235</v>
      </c>
      <c r="E14" s="21">
        <f t="shared" si="0"/>
        <v>272.90172903204069</v>
      </c>
      <c r="F14" s="21"/>
      <c r="G14" s="21">
        <f t="shared" si="0"/>
        <v>102927.38765949573</v>
      </c>
      <c r="H14" s="21">
        <f t="shared" si="0"/>
        <v>21911.513640443998</v>
      </c>
      <c r="I14" s="21"/>
      <c r="J14" s="21"/>
      <c r="K14" s="21"/>
      <c r="L14" s="21"/>
      <c r="M14" s="21">
        <f t="shared" si="0"/>
        <v>6659.9768738654175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0.18603202503179597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10.250811382256943</v>
      </c>
      <c r="C18" s="23"/>
      <c r="D18" s="23">
        <f t="shared" ref="D18:M18" si="1">D14*D16</f>
        <v>38.811765454999751</v>
      </c>
      <c r="E18" s="23">
        <f t="shared" si="1"/>
        <v>61.948692490273238</v>
      </c>
      <c r="F18" s="23"/>
      <c r="G18" s="23">
        <f t="shared" si="1"/>
        <v>27481.612505085359</v>
      </c>
      <c r="H18" s="23">
        <f t="shared" si="1"/>
        <v>5455.9668964705552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5.8080677255836688E-3</v>
      </c>
      <c r="H50" s="321">
        <f t="shared" si="2"/>
        <v>0</v>
      </c>
      <c r="I50" s="321">
        <f t="shared" si="2"/>
        <v>0</v>
      </c>
      <c r="J50" s="321">
        <f t="shared" si="2"/>
        <v>0</v>
      </c>
      <c r="K50" s="321">
        <f t="shared" si="2"/>
        <v>0</v>
      </c>
      <c r="L50" s="321">
        <f t="shared" si="2"/>
        <v>0</v>
      </c>
      <c r="M50" s="321">
        <f t="shared" si="2"/>
        <v>3.2987260665453107E-4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5.8080677255836688E-3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3.2987260665453107E-4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1613.3521459954636</v>
      </c>
      <c r="H54" s="21">
        <f t="shared" si="3"/>
        <v>0</v>
      </c>
      <c r="I54" s="21">
        <f t="shared" si="3"/>
        <v>0</v>
      </c>
      <c r="J54" s="21">
        <f t="shared" si="3"/>
        <v>0</v>
      </c>
      <c r="K54" s="21">
        <f t="shared" si="3"/>
        <v>0</v>
      </c>
      <c r="L54" s="21">
        <f t="shared" si="3"/>
        <v>0</v>
      </c>
      <c r="M54" s="21">
        <f t="shared" si="3"/>
        <v>91.631279626258632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0.18603202503179597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430.76502298078879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12232.100180000001</v>
      </c>
      <c r="D10" s="1013">
        <f ca="1">tertiair!C16</f>
        <v>0</v>
      </c>
      <c r="E10" s="1013">
        <f ca="1">tertiair!D16</f>
        <v>9213.8838645039996</v>
      </c>
      <c r="F10" s="1013">
        <f>tertiair!E16</f>
        <v>197.70908012079258</v>
      </c>
      <c r="G10" s="1013">
        <f ca="1">tertiair!F16</f>
        <v>2002.2731313627414</v>
      </c>
      <c r="H10" s="1013">
        <f>tertiair!G16</f>
        <v>0</v>
      </c>
      <c r="I10" s="1013">
        <f>tertiair!H16</f>
        <v>0</v>
      </c>
      <c r="J10" s="1013">
        <f>tertiair!I16</f>
        <v>0</v>
      </c>
      <c r="K10" s="1013">
        <f>tertiair!J16</f>
        <v>2.8792343308541943E-2</v>
      </c>
      <c r="L10" s="1013">
        <f>tertiair!K16</f>
        <v>0</v>
      </c>
      <c r="M10" s="1013">
        <f ca="1">tertiair!L16</f>
        <v>0</v>
      </c>
      <c r="N10" s="1013">
        <f>tertiair!M16</f>
        <v>0</v>
      </c>
      <c r="O10" s="1013">
        <f ca="1">tertiair!N16</f>
        <v>1150.3051315681812</v>
      </c>
      <c r="P10" s="1013">
        <f>tertiair!O16</f>
        <v>4.6900000000000004</v>
      </c>
      <c r="Q10" s="1014">
        <f>tertiair!P16</f>
        <v>19.066666666666666</v>
      </c>
      <c r="R10" s="700">
        <f ca="1">SUM(C10:Q10)</f>
        <v>24820.056846565691</v>
      </c>
      <c r="S10" s="67"/>
    </row>
    <row r="11" spans="1:19" s="473" customFormat="1">
      <c r="A11" s="809" t="s">
        <v>225</v>
      </c>
      <c r="B11" s="814"/>
      <c r="C11" s="1013">
        <f>huishoudens!B8</f>
        <v>28686.571841613182</v>
      </c>
      <c r="D11" s="1013">
        <f>huishoudens!C8</f>
        <v>0</v>
      </c>
      <c r="E11" s="1013">
        <f>huishoudens!D8</f>
        <v>39646.635587900004</v>
      </c>
      <c r="F11" s="1013">
        <f>huishoudens!E8</f>
        <v>5199.7280208411576</v>
      </c>
      <c r="G11" s="1013">
        <f>huishoudens!F8</f>
        <v>73082.63318893683</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11413.133070108026</v>
      </c>
      <c r="P11" s="1013">
        <f>huishoudens!O8</f>
        <v>345.49666666666667</v>
      </c>
      <c r="Q11" s="1014">
        <f>huishoudens!P8</f>
        <v>1144</v>
      </c>
      <c r="R11" s="700">
        <f>SUM(C11:Q11)</f>
        <v>159518.19837606585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2585.6673539999997</v>
      </c>
      <c r="D13" s="1013">
        <f>industrie!C18</f>
        <v>0</v>
      </c>
      <c r="E13" s="1013">
        <f>industrie!D18</f>
        <v>8088.0962799340014</v>
      </c>
      <c r="F13" s="1013">
        <f>industrie!E18</f>
        <v>308.51347254127938</v>
      </c>
      <c r="G13" s="1013">
        <f>industrie!F18</f>
        <v>1055.083505577707</v>
      </c>
      <c r="H13" s="1013">
        <f>industrie!G18</f>
        <v>0</v>
      </c>
      <c r="I13" s="1013">
        <f>industrie!H18</f>
        <v>0</v>
      </c>
      <c r="J13" s="1013">
        <f>industrie!I18</f>
        <v>0</v>
      </c>
      <c r="K13" s="1013">
        <f>industrie!J18</f>
        <v>1.0212027794621634</v>
      </c>
      <c r="L13" s="1013">
        <f>industrie!K18</f>
        <v>0</v>
      </c>
      <c r="M13" s="1013">
        <f>industrie!L18</f>
        <v>0</v>
      </c>
      <c r="N13" s="1013">
        <f>industrie!M18</f>
        <v>0</v>
      </c>
      <c r="O13" s="1013">
        <f>industrie!N18</f>
        <v>612.49371641462619</v>
      </c>
      <c r="P13" s="1013">
        <f>industrie!O18</f>
        <v>0</v>
      </c>
      <c r="Q13" s="1014">
        <f>industrie!P18</f>
        <v>0</v>
      </c>
      <c r="R13" s="700">
        <f>SUM(C13:Q13)</f>
        <v>12650.875531247077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43504.339375613177</v>
      </c>
      <c r="D16" s="732">
        <f t="shared" ref="D16:R16" ca="1" si="0">SUM(D9:D15)</f>
        <v>0</v>
      </c>
      <c r="E16" s="732">
        <f t="shared" ca="1" si="0"/>
        <v>56948.615732338003</v>
      </c>
      <c r="F16" s="732">
        <f t="shared" si="0"/>
        <v>5705.950573503229</v>
      </c>
      <c r="G16" s="732">
        <f t="shared" ca="1" si="0"/>
        <v>76139.989825877288</v>
      </c>
      <c r="H16" s="732">
        <f t="shared" si="0"/>
        <v>0</v>
      </c>
      <c r="I16" s="732">
        <f t="shared" si="0"/>
        <v>0</v>
      </c>
      <c r="J16" s="732">
        <f t="shared" si="0"/>
        <v>0</v>
      </c>
      <c r="K16" s="732">
        <f t="shared" si="0"/>
        <v>1.0499951227707054</v>
      </c>
      <c r="L16" s="732">
        <f t="shared" si="0"/>
        <v>0</v>
      </c>
      <c r="M16" s="732">
        <f t="shared" ca="1" si="0"/>
        <v>0</v>
      </c>
      <c r="N16" s="732">
        <f t="shared" si="0"/>
        <v>0</v>
      </c>
      <c r="O16" s="732">
        <f t="shared" ca="1" si="0"/>
        <v>13175.931918090833</v>
      </c>
      <c r="P16" s="732">
        <f t="shared" si="0"/>
        <v>350.18666666666667</v>
      </c>
      <c r="Q16" s="732">
        <f t="shared" si="0"/>
        <v>1163.0666666666666</v>
      </c>
      <c r="R16" s="732">
        <f t="shared" ca="1" si="0"/>
        <v>196989.13075387862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1613.3521459954636</v>
      </c>
      <c r="I19" s="1013">
        <f>transport!H54</f>
        <v>0</v>
      </c>
      <c r="J19" s="1013">
        <f>transport!I54</f>
        <v>0</v>
      </c>
      <c r="K19" s="1013">
        <f>transport!J54</f>
        <v>0</v>
      </c>
      <c r="L19" s="1013">
        <f>transport!K54</f>
        <v>0</v>
      </c>
      <c r="M19" s="1013">
        <f>transport!L54</f>
        <v>0</v>
      </c>
      <c r="N19" s="1013">
        <f>transport!M54</f>
        <v>91.631279626258632</v>
      </c>
      <c r="O19" s="1013">
        <f>transport!N54</f>
        <v>0</v>
      </c>
      <c r="P19" s="1013">
        <f>transport!O54</f>
        <v>0</v>
      </c>
      <c r="Q19" s="1014">
        <f>transport!P54</f>
        <v>0</v>
      </c>
      <c r="R19" s="700">
        <f>SUM(C19:Q19)</f>
        <v>1704.9834256217223</v>
      </c>
      <c r="S19" s="67"/>
    </row>
    <row r="20" spans="1:19" s="473" customFormat="1">
      <c r="A20" s="809" t="s">
        <v>307</v>
      </c>
      <c r="B20" s="814"/>
      <c r="C20" s="1013">
        <f>transport!B14</f>
        <v>55.102401753165395</v>
      </c>
      <c r="D20" s="1013">
        <f>transport!C14</f>
        <v>0</v>
      </c>
      <c r="E20" s="1013">
        <f>transport!D14</f>
        <v>192.1374527475235</v>
      </c>
      <c r="F20" s="1013">
        <f>transport!E14</f>
        <v>272.90172903204069</v>
      </c>
      <c r="G20" s="1013">
        <f>transport!F14</f>
        <v>0</v>
      </c>
      <c r="H20" s="1013">
        <f>transport!G14</f>
        <v>102927.38765949573</v>
      </c>
      <c r="I20" s="1013">
        <f>transport!H14</f>
        <v>21911.513640443998</v>
      </c>
      <c r="J20" s="1013">
        <f>transport!I14</f>
        <v>0</v>
      </c>
      <c r="K20" s="1013">
        <f>transport!J14</f>
        <v>0</v>
      </c>
      <c r="L20" s="1013">
        <f>transport!K14</f>
        <v>0</v>
      </c>
      <c r="M20" s="1013">
        <f>transport!L14</f>
        <v>0</v>
      </c>
      <c r="N20" s="1013">
        <f>transport!M14</f>
        <v>6659.9768738654175</v>
      </c>
      <c r="O20" s="1013">
        <f>transport!N14</f>
        <v>0</v>
      </c>
      <c r="P20" s="1013">
        <f>transport!O14</f>
        <v>0</v>
      </c>
      <c r="Q20" s="1014">
        <f>transport!P14</f>
        <v>0</v>
      </c>
      <c r="R20" s="700">
        <f>SUM(C20:Q20)</f>
        <v>132019.01975733787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55.102401753165395</v>
      </c>
      <c r="D22" s="812">
        <f t="shared" ref="D22:R22" si="1">SUM(D18:D21)</f>
        <v>0</v>
      </c>
      <c r="E22" s="812">
        <f t="shared" si="1"/>
        <v>192.1374527475235</v>
      </c>
      <c r="F22" s="812">
        <f t="shared" si="1"/>
        <v>272.90172903204069</v>
      </c>
      <c r="G22" s="812">
        <f t="shared" si="1"/>
        <v>0</v>
      </c>
      <c r="H22" s="812">
        <f t="shared" si="1"/>
        <v>104540.73980549119</v>
      </c>
      <c r="I22" s="812">
        <f t="shared" si="1"/>
        <v>21911.513640443998</v>
      </c>
      <c r="J22" s="812">
        <f t="shared" si="1"/>
        <v>0</v>
      </c>
      <c r="K22" s="812">
        <f t="shared" si="1"/>
        <v>0</v>
      </c>
      <c r="L22" s="812">
        <f t="shared" si="1"/>
        <v>0</v>
      </c>
      <c r="M22" s="812">
        <f t="shared" si="1"/>
        <v>0</v>
      </c>
      <c r="N22" s="812">
        <f t="shared" si="1"/>
        <v>6751.6081534916757</v>
      </c>
      <c r="O22" s="812">
        <f t="shared" si="1"/>
        <v>0</v>
      </c>
      <c r="P22" s="812">
        <f t="shared" si="1"/>
        <v>0</v>
      </c>
      <c r="Q22" s="812">
        <f t="shared" si="1"/>
        <v>0</v>
      </c>
      <c r="R22" s="812">
        <f t="shared" si="1"/>
        <v>133724.0031829596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8168.4384890000001</v>
      </c>
      <c r="D24" s="1013">
        <f>+landbouw!C8</f>
        <v>77.142857142857139</v>
      </c>
      <c r="E24" s="1013">
        <f>+landbouw!D8</f>
        <v>3899.4403086100001</v>
      </c>
      <c r="F24" s="1013">
        <f>+landbouw!E8</f>
        <v>240.09535648253998</v>
      </c>
      <c r="G24" s="1013">
        <f>+landbouw!F8</f>
        <v>34029.273345926071</v>
      </c>
      <c r="H24" s="1013">
        <f>+landbouw!G8</f>
        <v>0</v>
      </c>
      <c r="I24" s="1013">
        <f>+landbouw!H8</f>
        <v>0</v>
      </c>
      <c r="J24" s="1013">
        <f>+landbouw!I8</f>
        <v>0</v>
      </c>
      <c r="K24" s="1013">
        <f>+landbouw!J8</f>
        <v>1183.4313178315447</v>
      </c>
      <c r="L24" s="1013">
        <f>+landbouw!K8</f>
        <v>0</v>
      </c>
      <c r="M24" s="1013">
        <f>+landbouw!L8</f>
        <v>0</v>
      </c>
      <c r="N24" s="1013">
        <f>+landbouw!M8</f>
        <v>0</v>
      </c>
      <c r="O24" s="1013">
        <f>+landbouw!N8</f>
        <v>0</v>
      </c>
      <c r="P24" s="1013">
        <f>+landbouw!O8</f>
        <v>0</v>
      </c>
      <c r="Q24" s="1014">
        <f>+landbouw!P8</f>
        <v>0</v>
      </c>
      <c r="R24" s="700">
        <f>SUM(C24:Q24)</f>
        <v>47597.821674993007</v>
      </c>
      <c r="S24" s="67"/>
    </row>
    <row r="25" spans="1:19" s="473" customFormat="1" ht="15" thickBot="1">
      <c r="A25" s="831" t="s">
        <v>836</v>
      </c>
      <c r="B25" s="1016"/>
      <c r="C25" s="1017">
        <f>IF(Onbekend_ele_kWh="---",0,Onbekend_ele_kWh)/1000+IF(REST_rest_ele_kWh="---",0,REST_rest_ele_kWh)/1000</f>
        <v>499.08634999999998</v>
      </c>
      <c r="D25" s="1017"/>
      <c r="E25" s="1017">
        <f>IF(onbekend_gas_kWh="---",0,onbekend_gas_kWh)/1000+IF(REST_rest_gas_kWh="---",0,REST_rest_gas_kWh)/1000</f>
        <v>1185.4760000000001</v>
      </c>
      <c r="F25" s="1017"/>
      <c r="G25" s="1017"/>
      <c r="H25" s="1017"/>
      <c r="I25" s="1017"/>
      <c r="J25" s="1017"/>
      <c r="K25" s="1017"/>
      <c r="L25" s="1017"/>
      <c r="M25" s="1017"/>
      <c r="N25" s="1017"/>
      <c r="O25" s="1017"/>
      <c r="P25" s="1017"/>
      <c r="Q25" s="1018"/>
      <c r="R25" s="700">
        <f>SUM(C25:Q25)</f>
        <v>1684.5623500000002</v>
      </c>
      <c r="S25" s="67"/>
    </row>
    <row r="26" spans="1:19" s="473" customFormat="1" ht="15.75" thickBot="1">
      <c r="A26" s="705" t="s">
        <v>837</v>
      </c>
      <c r="B26" s="817"/>
      <c r="C26" s="812">
        <f>SUM(C24:C25)</f>
        <v>8667.5248389999997</v>
      </c>
      <c r="D26" s="812">
        <f t="shared" ref="D26:R26" si="2">SUM(D24:D25)</f>
        <v>77.142857142857139</v>
      </c>
      <c r="E26" s="812">
        <f t="shared" si="2"/>
        <v>5084.9163086099998</v>
      </c>
      <c r="F26" s="812">
        <f t="shared" si="2"/>
        <v>240.09535648253998</v>
      </c>
      <c r="G26" s="812">
        <f t="shared" si="2"/>
        <v>34029.273345926071</v>
      </c>
      <c r="H26" s="812">
        <f t="shared" si="2"/>
        <v>0</v>
      </c>
      <c r="I26" s="812">
        <f t="shared" si="2"/>
        <v>0</v>
      </c>
      <c r="J26" s="812">
        <f t="shared" si="2"/>
        <v>0</v>
      </c>
      <c r="K26" s="812">
        <f t="shared" si="2"/>
        <v>1183.4313178315447</v>
      </c>
      <c r="L26" s="812">
        <f t="shared" si="2"/>
        <v>0</v>
      </c>
      <c r="M26" s="812">
        <f t="shared" si="2"/>
        <v>0</v>
      </c>
      <c r="N26" s="812">
        <f t="shared" si="2"/>
        <v>0</v>
      </c>
      <c r="O26" s="812">
        <f t="shared" si="2"/>
        <v>0</v>
      </c>
      <c r="P26" s="812">
        <f t="shared" si="2"/>
        <v>0</v>
      </c>
      <c r="Q26" s="812">
        <f t="shared" si="2"/>
        <v>0</v>
      </c>
      <c r="R26" s="812">
        <f t="shared" si="2"/>
        <v>49282.384024993007</v>
      </c>
      <c r="S26" s="67"/>
    </row>
    <row r="27" spans="1:19" s="473" customFormat="1" ht="17.25" thickTop="1" thickBot="1">
      <c r="A27" s="706" t="s">
        <v>116</v>
      </c>
      <c r="B27" s="805"/>
      <c r="C27" s="707">
        <f ca="1">C22+C16+C26</f>
        <v>52226.966616366342</v>
      </c>
      <c r="D27" s="707">
        <f t="shared" ref="D27:R27" ca="1" si="3">D22+D16+D26</f>
        <v>77.142857142857139</v>
      </c>
      <c r="E27" s="707">
        <f t="shared" ca="1" si="3"/>
        <v>62225.669493695525</v>
      </c>
      <c r="F27" s="707">
        <f t="shared" si="3"/>
        <v>6218.9476590178101</v>
      </c>
      <c r="G27" s="707">
        <f t="shared" ca="1" si="3"/>
        <v>110169.26317180335</v>
      </c>
      <c r="H27" s="707">
        <f t="shared" si="3"/>
        <v>104540.73980549119</v>
      </c>
      <c r="I27" s="707">
        <f t="shared" si="3"/>
        <v>21911.513640443998</v>
      </c>
      <c r="J27" s="707">
        <f t="shared" si="3"/>
        <v>0</v>
      </c>
      <c r="K27" s="707">
        <f t="shared" si="3"/>
        <v>1184.4813129543154</v>
      </c>
      <c r="L27" s="707">
        <f t="shared" si="3"/>
        <v>0</v>
      </c>
      <c r="M27" s="707">
        <f t="shared" ca="1" si="3"/>
        <v>0</v>
      </c>
      <c r="N27" s="707">
        <f t="shared" si="3"/>
        <v>6751.6081534916757</v>
      </c>
      <c r="O27" s="707">
        <f t="shared" ca="1" si="3"/>
        <v>13175.931918090833</v>
      </c>
      <c r="P27" s="707">
        <f t="shared" si="3"/>
        <v>350.18666666666667</v>
      </c>
      <c r="Q27" s="707">
        <f t="shared" si="3"/>
        <v>1163.0666666666666</v>
      </c>
      <c r="R27" s="707">
        <f t="shared" ca="1" si="3"/>
        <v>379995.51796183124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2275.5623668771959</v>
      </c>
      <c r="D40" s="1013">
        <f ca="1">tertiair!C20</f>
        <v>0</v>
      </c>
      <c r="E40" s="1013">
        <f ca="1">tertiair!D20</f>
        <v>1861.204540629808</v>
      </c>
      <c r="F40" s="1013">
        <f>tertiair!E20</f>
        <v>44.879961187419916</v>
      </c>
      <c r="G40" s="1013">
        <f ca="1">tertiair!F20</f>
        <v>534.60692607385204</v>
      </c>
      <c r="H40" s="1013">
        <f>tertiair!G20</f>
        <v>0</v>
      </c>
      <c r="I40" s="1013">
        <f>tertiair!H20</f>
        <v>0</v>
      </c>
      <c r="J40" s="1013">
        <f>tertiair!I20</f>
        <v>0</v>
      </c>
      <c r="K40" s="1013">
        <f>tertiair!J20</f>
        <v>1.0192489531223847E-2</v>
      </c>
      <c r="L40" s="1013">
        <f>tertiair!K20</f>
        <v>0</v>
      </c>
      <c r="M40" s="1013">
        <f ca="1">tertiair!L20</f>
        <v>0</v>
      </c>
      <c r="N40" s="1013">
        <f>tertiair!M20</f>
        <v>0</v>
      </c>
      <c r="O40" s="1013">
        <f ca="1">tertiair!N20</f>
        <v>0</v>
      </c>
      <c r="P40" s="1013">
        <f>tertiair!O20</f>
        <v>0</v>
      </c>
      <c r="Q40" s="774">
        <f>tertiair!P20</f>
        <v>0</v>
      </c>
      <c r="R40" s="850">
        <f t="shared" ca="1" si="4"/>
        <v>4716.2639872578084</v>
      </c>
    </row>
    <row r="41" spans="1:18">
      <c r="A41" s="822" t="s">
        <v>225</v>
      </c>
      <c r="B41" s="829"/>
      <c r="C41" s="1013">
        <f ca="1">huishoudens!B12</f>
        <v>5336.6210509153971</v>
      </c>
      <c r="D41" s="1013">
        <f ca="1">huishoudens!C12</f>
        <v>0</v>
      </c>
      <c r="E41" s="1013">
        <f>huishoudens!D12</f>
        <v>8008.6203887558013</v>
      </c>
      <c r="F41" s="1013">
        <f>huishoudens!E12</f>
        <v>1180.3382607309427</v>
      </c>
      <c r="G41" s="1013">
        <f>huishoudens!F12</f>
        <v>19513.063061446133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34038.64276184827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481.01693392322562</v>
      </c>
      <c r="D43" s="1013">
        <f ca="1">industrie!C22</f>
        <v>0</v>
      </c>
      <c r="E43" s="1013">
        <f>industrie!D22</f>
        <v>1633.7954485466685</v>
      </c>
      <c r="F43" s="1013">
        <f>industrie!E22</f>
        <v>70.032558266870424</v>
      </c>
      <c r="G43" s="1013">
        <f>industrie!F22</f>
        <v>281.70729598924777</v>
      </c>
      <c r="H43" s="1013">
        <f>industrie!G22</f>
        <v>0</v>
      </c>
      <c r="I43" s="1013">
        <f>industrie!H22</f>
        <v>0</v>
      </c>
      <c r="J43" s="1013">
        <f>industrie!I22</f>
        <v>0</v>
      </c>
      <c r="K43" s="1013">
        <f>industrie!J22</f>
        <v>0.36150578392960581</v>
      </c>
      <c r="L43" s="1013">
        <f>industrie!K22</f>
        <v>0</v>
      </c>
      <c r="M43" s="1013">
        <f>industrie!L22</f>
        <v>0</v>
      </c>
      <c r="N43" s="1013">
        <f>industrie!M22</f>
        <v>0</v>
      </c>
      <c r="O43" s="1013">
        <f>industrie!N22</f>
        <v>0</v>
      </c>
      <c r="P43" s="1013">
        <f>industrie!O22</f>
        <v>0</v>
      </c>
      <c r="Q43" s="774">
        <f>industrie!P22</f>
        <v>0</v>
      </c>
      <c r="R43" s="849">
        <f t="shared" ca="1" si="4"/>
        <v>2466.9137425099425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8093.2003517158182</v>
      </c>
      <c r="D46" s="732">
        <f t="shared" ref="D46:Q46" ca="1" si="5">SUM(D39:D45)</f>
        <v>0</v>
      </c>
      <c r="E46" s="732">
        <f t="shared" ca="1" si="5"/>
        <v>11503.620377932279</v>
      </c>
      <c r="F46" s="732">
        <f t="shared" si="5"/>
        <v>1295.250780185233</v>
      </c>
      <c r="G46" s="732">
        <f t="shared" ca="1" si="5"/>
        <v>20329.377283509231</v>
      </c>
      <c r="H46" s="732">
        <f t="shared" si="5"/>
        <v>0</v>
      </c>
      <c r="I46" s="732">
        <f t="shared" si="5"/>
        <v>0</v>
      </c>
      <c r="J46" s="732">
        <f t="shared" si="5"/>
        <v>0</v>
      </c>
      <c r="K46" s="732">
        <f t="shared" si="5"/>
        <v>0.37169827346082968</v>
      </c>
      <c r="L46" s="732">
        <f t="shared" si="5"/>
        <v>0</v>
      </c>
      <c r="M46" s="732">
        <f t="shared" ca="1" si="5"/>
        <v>0</v>
      </c>
      <c r="N46" s="732">
        <f t="shared" si="5"/>
        <v>0</v>
      </c>
      <c r="O46" s="732">
        <f t="shared" ca="1" si="5"/>
        <v>0</v>
      </c>
      <c r="P46" s="732">
        <f t="shared" si="5"/>
        <v>0</v>
      </c>
      <c r="Q46" s="732">
        <f t="shared" si="5"/>
        <v>0</v>
      </c>
      <c r="R46" s="732">
        <f ca="1">SUM(R39:R45)</f>
        <v>41221.820491616018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430.76502298078879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430.76502298078879</v>
      </c>
    </row>
    <row r="50" spans="1:18">
      <c r="A50" s="825" t="s">
        <v>307</v>
      </c>
      <c r="B50" s="835"/>
      <c r="C50" s="703">
        <f ca="1">transport!B18</f>
        <v>10.250811382256943</v>
      </c>
      <c r="D50" s="703">
        <f>transport!C18</f>
        <v>0</v>
      </c>
      <c r="E50" s="703">
        <f>transport!D18</f>
        <v>38.811765454999751</v>
      </c>
      <c r="F50" s="703">
        <f>transport!E18</f>
        <v>61.948692490273238</v>
      </c>
      <c r="G50" s="703">
        <f>transport!F18</f>
        <v>0</v>
      </c>
      <c r="H50" s="703">
        <f>transport!G18</f>
        <v>27481.612505085359</v>
      </c>
      <c r="I50" s="703">
        <f>transport!H18</f>
        <v>5455.9668964705552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33048.590670883445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10.250811382256943</v>
      </c>
      <c r="D52" s="732">
        <f t="shared" ref="D52:Q52" ca="1" si="6">SUM(D48:D51)</f>
        <v>0</v>
      </c>
      <c r="E52" s="732">
        <f t="shared" si="6"/>
        <v>38.811765454999751</v>
      </c>
      <c r="F52" s="732">
        <f t="shared" si="6"/>
        <v>61.948692490273238</v>
      </c>
      <c r="G52" s="732">
        <f t="shared" si="6"/>
        <v>0</v>
      </c>
      <c r="H52" s="732">
        <f t="shared" si="6"/>
        <v>27912.377528066147</v>
      </c>
      <c r="I52" s="732">
        <f t="shared" si="6"/>
        <v>5455.9668964705552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33479.355693864236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1519.5911534563336</v>
      </c>
      <c r="D54" s="703">
        <f ca="1">+landbouw!C12</f>
        <v>0</v>
      </c>
      <c r="E54" s="703">
        <f>+landbouw!D12</f>
        <v>787.68694233922008</v>
      </c>
      <c r="F54" s="703">
        <f>+landbouw!E12</f>
        <v>54.501645921536578</v>
      </c>
      <c r="G54" s="703">
        <f>+landbouw!F12</f>
        <v>9085.8159833622612</v>
      </c>
      <c r="H54" s="703">
        <f>+landbouw!G12</f>
        <v>0</v>
      </c>
      <c r="I54" s="703">
        <f>+landbouw!H12</f>
        <v>0</v>
      </c>
      <c r="J54" s="703">
        <f>+landbouw!I12</f>
        <v>0</v>
      </c>
      <c r="K54" s="703">
        <f>+landbouw!J12</f>
        <v>418.9346865123668</v>
      </c>
      <c r="L54" s="703">
        <f>+landbouw!K12</f>
        <v>0</v>
      </c>
      <c r="M54" s="703">
        <f>+landbouw!L12</f>
        <v>0</v>
      </c>
      <c r="N54" s="703">
        <f>+landbouw!M12</f>
        <v>0</v>
      </c>
      <c r="O54" s="703">
        <f>+landbouw!N12</f>
        <v>0</v>
      </c>
      <c r="P54" s="703">
        <f>+landbouw!O12</f>
        <v>0</v>
      </c>
      <c r="Q54" s="704">
        <f>+landbouw!P12</f>
        <v>0</v>
      </c>
      <c r="R54" s="731">
        <f ca="1">SUM(C54:Q54)</f>
        <v>11866.530411591717</v>
      </c>
    </row>
    <row r="55" spans="1:18" ht="15" thickBot="1">
      <c r="A55" s="825" t="s">
        <v>836</v>
      </c>
      <c r="B55" s="835"/>
      <c r="C55" s="703">
        <f ca="1">C25*'EF ele_warmte'!B12</f>
        <v>92.846044356227679</v>
      </c>
      <c r="D55" s="703"/>
      <c r="E55" s="703">
        <f>E25*EF_CO2_aardgas</f>
        <v>239.46615200000005</v>
      </c>
      <c r="F55" s="703"/>
      <c r="G55" s="703"/>
      <c r="H55" s="703"/>
      <c r="I55" s="703"/>
      <c r="J55" s="703"/>
      <c r="K55" s="703"/>
      <c r="L55" s="703"/>
      <c r="M55" s="703"/>
      <c r="N55" s="703"/>
      <c r="O55" s="703"/>
      <c r="P55" s="703"/>
      <c r="Q55" s="704"/>
      <c r="R55" s="731">
        <f ca="1">SUM(C55:Q55)</f>
        <v>332.31219635622773</v>
      </c>
    </row>
    <row r="56" spans="1:18" ht="15.75" thickBot="1">
      <c r="A56" s="823" t="s">
        <v>837</v>
      </c>
      <c r="B56" s="836"/>
      <c r="C56" s="732">
        <f ca="1">SUM(C54:C55)</f>
        <v>1612.4371978125612</v>
      </c>
      <c r="D56" s="732">
        <f t="shared" ref="D56:Q56" ca="1" si="7">SUM(D54:D55)</f>
        <v>0</v>
      </c>
      <c r="E56" s="732">
        <f t="shared" si="7"/>
        <v>1027.1530943392202</v>
      </c>
      <c r="F56" s="732">
        <f t="shared" si="7"/>
        <v>54.501645921536578</v>
      </c>
      <c r="G56" s="732">
        <f t="shared" si="7"/>
        <v>9085.8159833622612</v>
      </c>
      <c r="H56" s="732">
        <f t="shared" si="7"/>
        <v>0</v>
      </c>
      <c r="I56" s="732">
        <f t="shared" si="7"/>
        <v>0</v>
      </c>
      <c r="J56" s="732">
        <f t="shared" si="7"/>
        <v>0</v>
      </c>
      <c r="K56" s="732">
        <f t="shared" si="7"/>
        <v>418.9346865123668</v>
      </c>
      <c r="L56" s="732">
        <f t="shared" si="7"/>
        <v>0</v>
      </c>
      <c r="M56" s="732">
        <f t="shared" si="7"/>
        <v>0</v>
      </c>
      <c r="N56" s="732">
        <f t="shared" si="7"/>
        <v>0</v>
      </c>
      <c r="O56" s="732">
        <f t="shared" si="7"/>
        <v>0</v>
      </c>
      <c r="P56" s="732">
        <f t="shared" si="7"/>
        <v>0</v>
      </c>
      <c r="Q56" s="733">
        <f t="shared" si="7"/>
        <v>0</v>
      </c>
      <c r="R56" s="734">
        <f ca="1">SUM(R54:R55)</f>
        <v>12198.842607947945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9715.888360910636</v>
      </c>
      <c r="D61" s="740">
        <f t="shared" ref="D61:Q61" ca="1" si="8">D46+D52+D56</f>
        <v>0</v>
      </c>
      <c r="E61" s="740">
        <f t="shared" ca="1" si="8"/>
        <v>12569.5852377265</v>
      </c>
      <c r="F61" s="740">
        <f t="shared" si="8"/>
        <v>1411.7011185970428</v>
      </c>
      <c r="G61" s="740">
        <f t="shared" ca="1" si="8"/>
        <v>29415.193266871494</v>
      </c>
      <c r="H61" s="740">
        <f t="shared" si="8"/>
        <v>27912.377528066147</v>
      </c>
      <c r="I61" s="740">
        <f t="shared" si="8"/>
        <v>5455.9668964705552</v>
      </c>
      <c r="J61" s="740">
        <f t="shared" si="8"/>
        <v>0</v>
      </c>
      <c r="K61" s="740">
        <f t="shared" si="8"/>
        <v>419.30638478582762</v>
      </c>
      <c r="L61" s="740">
        <f t="shared" si="8"/>
        <v>0</v>
      </c>
      <c r="M61" s="740">
        <f t="shared" ca="1" si="8"/>
        <v>0</v>
      </c>
      <c r="N61" s="740">
        <f t="shared" si="8"/>
        <v>0</v>
      </c>
      <c r="O61" s="740">
        <f t="shared" ca="1" si="8"/>
        <v>0</v>
      </c>
      <c r="P61" s="740">
        <f t="shared" si="8"/>
        <v>0</v>
      </c>
      <c r="Q61" s="740">
        <f t="shared" si="8"/>
        <v>0</v>
      </c>
      <c r="R61" s="740">
        <f ca="1">R46+R52+R56</f>
        <v>86900.0187934282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0.18603202503179597</v>
      </c>
      <c r="D63" s="781">
        <f t="shared" ca="1" si="9"/>
        <v>0</v>
      </c>
      <c r="E63" s="1024">
        <f t="shared" ca="1" si="9"/>
        <v>0.20200000000000007</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8209.670865639484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54</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63.529411764705898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8263.670865639484</v>
      </c>
      <c r="C78" s="755">
        <f>SUM(C72:C77)</f>
        <v>0</v>
      </c>
      <c r="D78" s="756">
        <f t="shared" ref="D78:H78" si="10">SUM(D76:D77)</f>
        <v>0</v>
      </c>
      <c r="E78" s="756">
        <f t="shared" si="10"/>
        <v>0</v>
      </c>
      <c r="F78" s="756">
        <f t="shared" si="10"/>
        <v>0</v>
      </c>
      <c r="G78" s="756">
        <f t="shared" si="10"/>
        <v>0</v>
      </c>
      <c r="H78" s="756">
        <f t="shared" si="10"/>
        <v>0</v>
      </c>
      <c r="I78" s="756">
        <f>SUM(I76:I77)</f>
        <v>0</v>
      </c>
      <c r="J78" s="756">
        <f>SUM(J76:J77)</f>
        <v>63.529411764705898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77.142857142857139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90.756302521008422</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77.142857142857139</v>
      </c>
      <c r="C90" s="755">
        <f>SUM(C87:C89)</f>
        <v>0</v>
      </c>
      <c r="D90" s="755">
        <f t="shared" ref="D90:H90" si="12">SUM(D87:D89)</f>
        <v>0</v>
      </c>
      <c r="E90" s="755">
        <f t="shared" si="12"/>
        <v>0</v>
      </c>
      <c r="F90" s="755">
        <f t="shared" si="12"/>
        <v>0</v>
      </c>
      <c r="G90" s="755">
        <f t="shared" si="12"/>
        <v>0</v>
      </c>
      <c r="H90" s="755">
        <f t="shared" si="12"/>
        <v>0</v>
      </c>
      <c r="I90" s="755">
        <f>SUM(I87:I89)</f>
        <v>0</v>
      </c>
      <c r="J90" s="755">
        <f>SUM(J87:J89)</f>
        <v>90.756302521008422</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8209.670865639484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54</v>
      </c>
      <c r="C8" s="570">
        <f>B101</f>
        <v>0</v>
      </c>
      <c r="D8" s="1044"/>
      <c r="E8" s="1044">
        <f>E101</f>
        <v>0</v>
      </c>
      <c r="F8" s="1045"/>
      <c r="G8" s="571"/>
      <c r="H8" s="1044">
        <f>I101</f>
        <v>0</v>
      </c>
      <c r="I8" s="1044">
        <f>G101+F101</f>
        <v>0</v>
      </c>
      <c r="J8" s="1044">
        <f>H101+D101+C101</f>
        <v>63.529411764705898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8263.670865639484</v>
      </c>
      <c r="C10" s="583">
        <f t="shared" ref="C10:L10" si="0">SUM(C8:C9)</f>
        <v>0</v>
      </c>
      <c r="D10" s="583">
        <f t="shared" si="0"/>
        <v>0</v>
      </c>
      <c r="E10" s="583">
        <f t="shared" si="0"/>
        <v>0</v>
      </c>
      <c r="F10" s="583">
        <f t="shared" si="0"/>
        <v>0</v>
      </c>
      <c r="G10" s="583">
        <f t="shared" si="0"/>
        <v>0</v>
      </c>
      <c r="H10" s="583">
        <f t="shared" si="0"/>
        <v>0</v>
      </c>
      <c r="I10" s="583">
        <f t="shared" si="0"/>
        <v>0</v>
      </c>
      <c r="J10" s="583">
        <f t="shared" si="0"/>
        <v>63.529411764705898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77.142857142857139</v>
      </c>
      <c r="C17" s="595">
        <f>B102</f>
        <v>0</v>
      </c>
      <c r="D17" s="596"/>
      <c r="E17" s="596">
        <f>E102</f>
        <v>0</v>
      </c>
      <c r="F17" s="1050"/>
      <c r="G17" s="597"/>
      <c r="H17" s="595">
        <f>I102</f>
        <v>0</v>
      </c>
      <c r="I17" s="596">
        <f>G102+F102</f>
        <v>0</v>
      </c>
      <c r="J17" s="596">
        <f>H102+D102+C102</f>
        <v>90.756302521008422</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77.142857142857139</v>
      </c>
      <c r="C20" s="582">
        <f>SUM(C17:C19)</f>
        <v>0</v>
      </c>
      <c r="D20" s="582">
        <f t="shared" ref="D20:L20" si="1">SUM(D17:D19)</f>
        <v>0</v>
      </c>
      <c r="E20" s="582">
        <f t="shared" si="1"/>
        <v>0</v>
      </c>
      <c r="F20" s="582">
        <f t="shared" si="1"/>
        <v>0</v>
      </c>
      <c r="G20" s="582">
        <f t="shared" si="1"/>
        <v>0</v>
      </c>
      <c r="H20" s="582">
        <f t="shared" si="1"/>
        <v>0</v>
      </c>
      <c r="I20" s="582">
        <f t="shared" si="1"/>
        <v>0</v>
      </c>
      <c r="J20" s="582">
        <f t="shared" si="1"/>
        <v>90.756302521008422</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73066</v>
      </c>
      <c r="C28" s="796">
        <v>3770</v>
      </c>
      <c r="D28" s="653" t="s">
        <v>881</v>
      </c>
      <c r="E28" s="652" t="s">
        <v>882</v>
      </c>
      <c r="F28" s="652" t="s">
        <v>883</v>
      </c>
      <c r="G28" s="652" t="s">
        <v>884</v>
      </c>
      <c r="H28" s="652" t="s">
        <v>885</v>
      </c>
      <c r="I28" s="652" t="s">
        <v>882</v>
      </c>
      <c r="J28" s="795">
        <v>40624</v>
      </c>
      <c r="K28" s="795">
        <v>41306</v>
      </c>
      <c r="L28" s="652" t="s">
        <v>886</v>
      </c>
      <c r="M28" s="652">
        <v>12</v>
      </c>
      <c r="N28" s="652">
        <v>54</v>
      </c>
      <c r="O28" s="652">
        <v>77.142857142857139</v>
      </c>
      <c r="P28" s="652">
        <v>0</v>
      </c>
      <c r="Q28" s="652">
        <v>0</v>
      </c>
      <c r="R28" s="652">
        <v>0</v>
      </c>
      <c r="S28" s="652">
        <v>0</v>
      </c>
      <c r="T28" s="652">
        <v>0</v>
      </c>
      <c r="U28" s="652">
        <v>0</v>
      </c>
      <c r="V28" s="652">
        <v>154.28571428571431</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v>
      </c>
      <c r="N58" s="610">
        <f>SUM(N28:N57)</f>
        <v>54</v>
      </c>
      <c r="O58" s="610">
        <f t="shared" ref="O58:W58" si="2">SUM(O28:O57)</f>
        <v>77.142857142857139</v>
      </c>
      <c r="P58" s="610">
        <f t="shared" si="2"/>
        <v>0</v>
      </c>
      <c r="Q58" s="610">
        <f t="shared" si="2"/>
        <v>0</v>
      </c>
      <c r="R58" s="610">
        <f t="shared" si="2"/>
        <v>0</v>
      </c>
      <c r="S58" s="610">
        <f t="shared" si="2"/>
        <v>0</v>
      </c>
      <c r="T58" s="610">
        <f t="shared" si="2"/>
        <v>0</v>
      </c>
      <c r="U58" s="610">
        <f t="shared" si="2"/>
        <v>0</v>
      </c>
      <c r="V58" s="610">
        <f t="shared" si="2"/>
        <v>154.28571428571431</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v>
      </c>
      <c r="N61" s="615">
        <f t="shared" si="4"/>
        <v>54</v>
      </c>
      <c r="O61" s="615">
        <f t="shared" si="4"/>
        <v>77.142857142857139</v>
      </c>
      <c r="P61" s="615">
        <f t="shared" si="4"/>
        <v>0</v>
      </c>
      <c r="Q61" s="615">
        <f t="shared" si="4"/>
        <v>0</v>
      </c>
      <c r="R61" s="615">
        <f t="shared" si="4"/>
        <v>0</v>
      </c>
      <c r="S61" s="615">
        <f t="shared" si="4"/>
        <v>0</v>
      </c>
      <c r="T61" s="615">
        <f t="shared" si="4"/>
        <v>0</v>
      </c>
      <c r="U61" s="615">
        <f t="shared" si="4"/>
        <v>0</v>
      </c>
      <c r="V61" s="615">
        <f t="shared" si="4"/>
        <v>154.28571428571431</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63.529411764705898</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90.756302521008422</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28686.571841613182</v>
      </c>
      <c r="C4" s="477">
        <f>huishoudens!C8</f>
        <v>0</v>
      </c>
      <c r="D4" s="477">
        <f>huishoudens!D8</f>
        <v>39646.635587900004</v>
      </c>
      <c r="E4" s="477">
        <f>huishoudens!E8</f>
        <v>5199.7280208411576</v>
      </c>
      <c r="F4" s="477">
        <f>huishoudens!F8</f>
        <v>73082.63318893683</v>
      </c>
      <c r="G4" s="477">
        <f>huishoudens!G8</f>
        <v>0</v>
      </c>
      <c r="H4" s="477">
        <f>huishoudens!H8</f>
        <v>0</v>
      </c>
      <c r="I4" s="477">
        <f>huishoudens!I8</f>
        <v>0</v>
      </c>
      <c r="J4" s="477">
        <f>huishoudens!J8</f>
        <v>0</v>
      </c>
      <c r="K4" s="477">
        <f>huishoudens!K8</f>
        <v>0</v>
      </c>
      <c r="L4" s="477">
        <f>huishoudens!L8</f>
        <v>0</v>
      </c>
      <c r="M4" s="477">
        <f>huishoudens!M8</f>
        <v>0</v>
      </c>
      <c r="N4" s="477">
        <f>huishoudens!N8</f>
        <v>11413.133070108026</v>
      </c>
      <c r="O4" s="477">
        <f>huishoudens!O8</f>
        <v>345.49666666666667</v>
      </c>
      <c r="P4" s="478">
        <f>huishoudens!P8</f>
        <v>1144</v>
      </c>
      <c r="Q4" s="479">
        <f>SUM(B4:P4)</f>
        <v>159518.19837606585</v>
      </c>
    </row>
    <row r="5" spans="1:17">
      <c r="A5" s="476" t="s">
        <v>156</v>
      </c>
      <c r="B5" s="477">
        <f ca="1">tertiair!B16</f>
        <v>11336.331180000001</v>
      </c>
      <c r="C5" s="477">
        <f ca="1">tertiair!C16</f>
        <v>0</v>
      </c>
      <c r="D5" s="477">
        <f ca="1">tertiair!D16</f>
        <v>9213.8838645039996</v>
      </c>
      <c r="E5" s="477">
        <f>tertiair!E16</f>
        <v>197.70908012079258</v>
      </c>
      <c r="F5" s="477">
        <f ca="1">tertiair!F16</f>
        <v>2002.2731313627414</v>
      </c>
      <c r="G5" s="477">
        <f>tertiair!G16</f>
        <v>0</v>
      </c>
      <c r="H5" s="477">
        <f>tertiair!H16</f>
        <v>0</v>
      </c>
      <c r="I5" s="477">
        <f>tertiair!I16</f>
        <v>0</v>
      </c>
      <c r="J5" s="477">
        <f>tertiair!J16</f>
        <v>2.8792343308541943E-2</v>
      </c>
      <c r="K5" s="477">
        <f>tertiair!K16</f>
        <v>0</v>
      </c>
      <c r="L5" s="477">
        <f ca="1">tertiair!L16</f>
        <v>0</v>
      </c>
      <c r="M5" s="477">
        <f>tertiair!M16</f>
        <v>0</v>
      </c>
      <c r="N5" s="477">
        <f ca="1">tertiair!N16</f>
        <v>1150.3051315681812</v>
      </c>
      <c r="O5" s="477">
        <f>tertiair!O16</f>
        <v>4.6900000000000004</v>
      </c>
      <c r="P5" s="478">
        <f>tertiair!P16</f>
        <v>19.066666666666666</v>
      </c>
      <c r="Q5" s="476">
        <f t="shared" ref="Q5:Q14" ca="1" si="0">SUM(B5:P5)</f>
        <v>23924.28784656569</v>
      </c>
    </row>
    <row r="6" spans="1:17">
      <c r="A6" s="476" t="s">
        <v>194</v>
      </c>
      <c r="B6" s="477">
        <f>'openbare verlichting'!B8</f>
        <v>895.76900000000001</v>
      </c>
      <c r="C6" s="477"/>
      <c r="D6" s="477"/>
      <c r="E6" s="477"/>
      <c r="F6" s="477"/>
      <c r="G6" s="477"/>
      <c r="H6" s="477"/>
      <c r="I6" s="477"/>
      <c r="J6" s="477"/>
      <c r="K6" s="477"/>
      <c r="L6" s="477"/>
      <c r="M6" s="477"/>
      <c r="N6" s="477"/>
      <c r="O6" s="477"/>
      <c r="P6" s="478"/>
      <c r="Q6" s="476">
        <f t="shared" si="0"/>
        <v>895.76900000000001</v>
      </c>
    </row>
    <row r="7" spans="1:17">
      <c r="A7" s="476" t="s">
        <v>112</v>
      </c>
      <c r="B7" s="477">
        <f>landbouw!B8</f>
        <v>8168.4384890000001</v>
      </c>
      <c r="C7" s="477">
        <f>landbouw!C8</f>
        <v>77.142857142857139</v>
      </c>
      <c r="D7" s="477">
        <f>landbouw!D8</f>
        <v>3899.4403086100001</v>
      </c>
      <c r="E7" s="477">
        <f>landbouw!E8</f>
        <v>240.09535648253998</v>
      </c>
      <c r="F7" s="477">
        <f>landbouw!F8</f>
        <v>34029.273345926071</v>
      </c>
      <c r="G7" s="477">
        <f>landbouw!G8</f>
        <v>0</v>
      </c>
      <c r="H7" s="477">
        <f>landbouw!H8</f>
        <v>0</v>
      </c>
      <c r="I7" s="477">
        <f>landbouw!I8</f>
        <v>0</v>
      </c>
      <c r="J7" s="477">
        <f>landbouw!J8</f>
        <v>1183.4313178315447</v>
      </c>
      <c r="K7" s="477">
        <f>landbouw!K8</f>
        <v>0</v>
      </c>
      <c r="L7" s="477">
        <f>landbouw!L8</f>
        <v>0</v>
      </c>
      <c r="M7" s="477">
        <f>landbouw!M8</f>
        <v>0</v>
      </c>
      <c r="N7" s="477">
        <f>landbouw!N8</f>
        <v>0</v>
      </c>
      <c r="O7" s="477">
        <f>landbouw!O8</f>
        <v>0</v>
      </c>
      <c r="P7" s="478">
        <f>landbouw!P8</f>
        <v>0</v>
      </c>
      <c r="Q7" s="476">
        <f t="shared" si="0"/>
        <v>47597.821674993007</v>
      </c>
    </row>
    <row r="8" spans="1:17">
      <c r="A8" s="476" t="s">
        <v>635</v>
      </c>
      <c r="B8" s="477">
        <f>industrie!B18</f>
        <v>2585.6673539999997</v>
      </c>
      <c r="C8" s="477">
        <f>industrie!C18</f>
        <v>0</v>
      </c>
      <c r="D8" s="477">
        <f>industrie!D18</f>
        <v>8088.0962799340014</v>
      </c>
      <c r="E8" s="477">
        <f>industrie!E18</f>
        <v>308.51347254127938</v>
      </c>
      <c r="F8" s="477">
        <f>industrie!F18</f>
        <v>1055.083505577707</v>
      </c>
      <c r="G8" s="477">
        <f>industrie!G18</f>
        <v>0</v>
      </c>
      <c r="H8" s="477">
        <f>industrie!H18</f>
        <v>0</v>
      </c>
      <c r="I8" s="477">
        <f>industrie!I18</f>
        <v>0</v>
      </c>
      <c r="J8" s="477">
        <f>industrie!J18</f>
        <v>1.0212027794621634</v>
      </c>
      <c r="K8" s="477">
        <f>industrie!K18</f>
        <v>0</v>
      </c>
      <c r="L8" s="477">
        <f>industrie!L18</f>
        <v>0</v>
      </c>
      <c r="M8" s="477">
        <f>industrie!M18</f>
        <v>0</v>
      </c>
      <c r="N8" s="477">
        <f>industrie!N18</f>
        <v>612.49371641462619</v>
      </c>
      <c r="O8" s="477">
        <f>industrie!O18</f>
        <v>0</v>
      </c>
      <c r="P8" s="478">
        <f>industrie!P18</f>
        <v>0</v>
      </c>
      <c r="Q8" s="476">
        <f t="shared" si="0"/>
        <v>12650.875531247077</v>
      </c>
    </row>
    <row r="9" spans="1:17" s="482" customFormat="1">
      <c r="A9" s="480" t="s">
        <v>561</v>
      </c>
      <c r="B9" s="481">
        <f>transport!B14</f>
        <v>55.102401753165395</v>
      </c>
      <c r="C9" s="481">
        <f>transport!C14</f>
        <v>0</v>
      </c>
      <c r="D9" s="481">
        <f>transport!D14</f>
        <v>192.1374527475235</v>
      </c>
      <c r="E9" s="481">
        <f>transport!E14</f>
        <v>272.90172903204069</v>
      </c>
      <c r="F9" s="481">
        <f>transport!F14</f>
        <v>0</v>
      </c>
      <c r="G9" s="481">
        <f>transport!G14</f>
        <v>102927.38765949573</v>
      </c>
      <c r="H9" s="481">
        <f>transport!H14</f>
        <v>21911.513640443998</v>
      </c>
      <c r="I9" s="481">
        <f>transport!I14</f>
        <v>0</v>
      </c>
      <c r="J9" s="481">
        <f>transport!J14</f>
        <v>0</v>
      </c>
      <c r="K9" s="481">
        <f>transport!K14</f>
        <v>0</v>
      </c>
      <c r="L9" s="481">
        <f>transport!L14</f>
        <v>0</v>
      </c>
      <c r="M9" s="481">
        <f>transport!M14</f>
        <v>6659.9768738654175</v>
      </c>
      <c r="N9" s="481">
        <f>transport!N14</f>
        <v>0</v>
      </c>
      <c r="O9" s="481">
        <f>transport!O14</f>
        <v>0</v>
      </c>
      <c r="P9" s="481">
        <f>transport!P14</f>
        <v>0</v>
      </c>
      <c r="Q9" s="480">
        <f>SUM(B9:P9)</f>
        <v>132019.01975733787</v>
      </c>
    </row>
    <row r="10" spans="1:17">
      <c r="A10" s="476" t="s">
        <v>551</v>
      </c>
      <c r="B10" s="477">
        <f>transport!B54</f>
        <v>0</v>
      </c>
      <c r="C10" s="477">
        <f>transport!C54</f>
        <v>0</v>
      </c>
      <c r="D10" s="477">
        <f>transport!D54</f>
        <v>0</v>
      </c>
      <c r="E10" s="477">
        <f>transport!E54</f>
        <v>0</v>
      </c>
      <c r="F10" s="477">
        <f>transport!F54</f>
        <v>0</v>
      </c>
      <c r="G10" s="477">
        <f>transport!G54</f>
        <v>1613.3521459954636</v>
      </c>
      <c r="H10" s="477">
        <f>transport!H54</f>
        <v>0</v>
      </c>
      <c r="I10" s="477">
        <f>transport!I54</f>
        <v>0</v>
      </c>
      <c r="J10" s="477">
        <f>transport!J54</f>
        <v>0</v>
      </c>
      <c r="K10" s="477">
        <f>transport!K54</f>
        <v>0</v>
      </c>
      <c r="L10" s="477">
        <f>transport!L54</f>
        <v>0</v>
      </c>
      <c r="M10" s="477">
        <f>transport!M54</f>
        <v>91.631279626258632</v>
      </c>
      <c r="N10" s="477">
        <f>transport!N54</f>
        <v>0</v>
      </c>
      <c r="O10" s="477">
        <f>transport!O54</f>
        <v>0</v>
      </c>
      <c r="P10" s="478">
        <f>transport!P54</f>
        <v>0</v>
      </c>
      <c r="Q10" s="476">
        <f t="shared" si="0"/>
        <v>1704.9834256217223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499.08634999999998</v>
      </c>
      <c r="C14" s="484"/>
      <c r="D14" s="484">
        <f>'SEAP template'!E25</f>
        <v>1185.4760000000001</v>
      </c>
      <c r="E14" s="484"/>
      <c r="F14" s="484"/>
      <c r="G14" s="484"/>
      <c r="H14" s="484"/>
      <c r="I14" s="484"/>
      <c r="J14" s="484"/>
      <c r="K14" s="484"/>
      <c r="L14" s="484"/>
      <c r="M14" s="484"/>
      <c r="N14" s="484"/>
      <c r="O14" s="484"/>
      <c r="P14" s="485"/>
      <c r="Q14" s="476">
        <f t="shared" si="0"/>
        <v>1684.5623500000002</v>
      </c>
    </row>
    <row r="15" spans="1:17" s="486" customFormat="1">
      <c r="A15" s="1039" t="s">
        <v>555</v>
      </c>
      <c r="B15" s="987">
        <f ca="1">SUM(B4:B14)</f>
        <v>52226.966616366342</v>
      </c>
      <c r="C15" s="987">
        <f t="shared" ref="C15:Q15" ca="1" si="1">SUM(C4:C14)</f>
        <v>77.142857142857139</v>
      </c>
      <c r="D15" s="987">
        <f t="shared" ca="1" si="1"/>
        <v>62225.669493695532</v>
      </c>
      <c r="E15" s="987">
        <f t="shared" si="1"/>
        <v>6218.9476590178101</v>
      </c>
      <c r="F15" s="987">
        <f t="shared" ca="1" si="1"/>
        <v>110169.26317180337</v>
      </c>
      <c r="G15" s="987">
        <f t="shared" si="1"/>
        <v>104540.73980549119</v>
      </c>
      <c r="H15" s="987">
        <f t="shared" si="1"/>
        <v>21911.513640443998</v>
      </c>
      <c r="I15" s="987">
        <f t="shared" si="1"/>
        <v>0</v>
      </c>
      <c r="J15" s="987">
        <f t="shared" si="1"/>
        <v>1184.4813129543154</v>
      </c>
      <c r="K15" s="987">
        <f t="shared" si="1"/>
        <v>0</v>
      </c>
      <c r="L15" s="987">
        <f t="shared" ca="1" si="1"/>
        <v>0</v>
      </c>
      <c r="M15" s="987">
        <f t="shared" si="1"/>
        <v>6751.6081534916757</v>
      </c>
      <c r="N15" s="987">
        <f t="shared" ca="1" si="1"/>
        <v>13175.931918090833</v>
      </c>
      <c r="O15" s="987">
        <f t="shared" si="1"/>
        <v>350.18666666666667</v>
      </c>
      <c r="P15" s="987">
        <f t="shared" si="1"/>
        <v>1163.0666666666666</v>
      </c>
      <c r="Q15" s="987">
        <f t="shared" ca="1" si="1"/>
        <v>379995.51796183124</v>
      </c>
    </row>
    <row r="17" spans="1:17">
      <c r="A17" s="487" t="s">
        <v>556</v>
      </c>
      <c r="B17" s="786">
        <f ca="1">huishoudens!B10</f>
        <v>0.18603202503179597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5336.6210509153971</v>
      </c>
      <c r="C22" s="477">
        <f t="shared" ref="C22:C32" ca="1" si="3">C4*$C$17</f>
        <v>0</v>
      </c>
      <c r="D22" s="477">
        <f t="shared" ref="D22:D32" si="4">D4*$D$17</f>
        <v>8008.6203887558013</v>
      </c>
      <c r="E22" s="477">
        <f t="shared" ref="E22:E32" si="5">E4*$E$17</f>
        <v>1180.3382607309427</v>
      </c>
      <c r="F22" s="477">
        <f t="shared" ref="F22:F32" si="6">F4*$F$17</f>
        <v>19513.063061446133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34038.64276184827</v>
      </c>
    </row>
    <row r="23" spans="1:17">
      <c r="A23" s="476" t="s">
        <v>156</v>
      </c>
      <c r="B23" s="477">
        <f t="shared" ca="1" si="2"/>
        <v>2108.9206458464892</v>
      </c>
      <c r="C23" s="477">
        <f t="shared" ca="1" si="3"/>
        <v>0</v>
      </c>
      <c r="D23" s="477">
        <f t="shared" ca="1" si="4"/>
        <v>1861.204540629808</v>
      </c>
      <c r="E23" s="477">
        <f t="shared" si="5"/>
        <v>44.879961187419916</v>
      </c>
      <c r="F23" s="477">
        <f t="shared" ca="1" si="6"/>
        <v>534.60692607385204</v>
      </c>
      <c r="G23" s="477">
        <f t="shared" si="7"/>
        <v>0</v>
      </c>
      <c r="H23" s="477">
        <f t="shared" si="8"/>
        <v>0</v>
      </c>
      <c r="I23" s="477">
        <f t="shared" si="9"/>
        <v>0</v>
      </c>
      <c r="J23" s="477">
        <f t="shared" si="10"/>
        <v>1.0192489531223847E-2</v>
      </c>
      <c r="K23" s="477">
        <f t="shared" si="11"/>
        <v>0</v>
      </c>
      <c r="L23" s="477">
        <f t="shared" ca="1" si="12"/>
        <v>0</v>
      </c>
      <c r="M23" s="477">
        <f t="shared" si="13"/>
        <v>0</v>
      </c>
      <c r="N23" s="477">
        <f t="shared" ca="1" si="14"/>
        <v>0</v>
      </c>
      <c r="O23" s="477">
        <f t="shared" si="15"/>
        <v>0</v>
      </c>
      <c r="P23" s="478">
        <f t="shared" si="16"/>
        <v>0</v>
      </c>
      <c r="Q23" s="476">
        <f t="shared" ref="Q23:Q32" ca="1" si="17">SUM(B23:P23)</f>
        <v>4549.6222662271011</v>
      </c>
    </row>
    <row r="24" spans="1:17">
      <c r="A24" s="476" t="s">
        <v>194</v>
      </c>
      <c r="B24" s="477">
        <f t="shared" ca="1" si="2"/>
        <v>166.64172103070686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166.64172103070686</v>
      </c>
    </row>
    <row r="25" spans="1:17">
      <c r="A25" s="476" t="s">
        <v>112</v>
      </c>
      <c r="B25" s="477">
        <f t="shared" ca="1" si="2"/>
        <v>1519.5911534563336</v>
      </c>
      <c r="C25" s="477">
        <f t="shared" ca="1" si="3"/>
        <v>0</v>
      </c>
      <c r="D25" s="477">
        <f t="shared" si="4"/>
        <v>787.68694233922008</v>
      </c>
      <c r="E25" s="477">
        <f t="shared" si="5"/>
        <v>54.501645921536578</v>
      </c>
      <c r="F25" s="477">
        <f t="shared" si="6"/>
        <v>9085.8159833622612</v>
      </c>
      <c r="G25" s="477">
        <f t="shared" si="7"/>
        <v>0</v>
      </c>
      <c r="H25" s="477">
        <f t="shared" si="8"/>
        <v>0</v>
      </c>
      <c r="I25" s="477">
        <f t="shared" si="9"/>
        <v>0</v>
      </c>
      <c r="J25" s="477">
        <f t="shared" si="10"/>
        <v>418.9346865123668</v>
      </c>
      <c r="K25" s="477">
        <f t="shared" si="11"/>
        <v>0</v>
      </c>
      <c r="L25" s="477">
        <f t="shared" si="12"/>
        <v>0</v>
      </c>
      <c r="M25" s="477">
        <f t="shared" si="13"/>
        <v>0</v>
      </c>
      <c r="N25" s="477">
        <f t="shared" si="14"/>
        <v>0</v>
      </c>
      <c r="O25" s="477">
        <f t="shared" si="15"/>
        <v>0</v>
      </c>
      <c r="P25" s="478">
        <f t="shared" si="16"/>
        <v>0</v>
      </c>
      <c r="Q25" s="476">
        <f t="shared" ca="1" si="17"/>
        <v>11866.530411591717</v>
      </c>
    </row>
    <row r="26" spans="1:17">
      <c r="A26" s="476" t="s">
        <v>635</v>
      </c>
      <c r="B26" s="477">
        <f t="shared" ca="1" si="2"/>
        <v>481.01693392322562</v>
      </c>
      <c r="C26" s="477">
        <f t="shared" ca="1" si="3"/>
        <v>0</v>
      </c>
      <c r="D26" s="477">
        <f t="shared" si="4"/>
        <v>1633.7954485466685</v>
      </c>
      <c r="E26" s="477">
        <f t="shared" si="5"/>
        <v>70.032558266870424</v>
      </c>
      <c r="F26" s="477">
        <f t="shared" si="6"/>
        <v>281.70729598924777</v>
      </c>
      <c r="G26" s="477">
        <f t="shared" si="7"/>
        <v>0</v>
      </c>
      <c r="H26" s="477">
        <f t="shared" si="8"/>
        <v>0</v>
      </c>
      <c r="I26" s="477">
        <f t="shared" si="9"/>
        <v>0</v>
      </c>
      <c r="J26" s="477">
        <f t="shared" si="10"/>
        <v>0.36150578392960581</v>
      </c>
      <c r="K26" s="477">
        <f t="shared" si="11"/>
        <v>0</v>
      </c>
      <c r="L26" s="477">
        <f t="shared" si="12"/>
        <v>0</v>
      </c>
      <c r="M26" s="477">
        <f t="shared" si="13"/>
        <v>0</v>
      </c>
      <c r="N26" s="477">
        <f t="shared" si="14"/>
        <v>0</v>
      </c>
      <c r="O26" s="477">
        <f t="shared" si="15"/>
        <v>0</v>
      </c>
      <c r="P26" s="478">
        <f t="shared" si="16"/>
        <v>0</v>
      </c>
      <c r="Q26" s="476">
        <f t="shared" ca="1" si="17"/>
        <v>2466.9137425099425</v>
      </c>
    </row>
    <row r="27" spans="1:17" s="482" customFormat="1">
      <c r="A27" s="480" t="s">
        <v>561</v>
      </c>
      <c r="B27" s="780">
        <f t="shared" ca="1" si="2"/>
        <v>10.250811382256943</v>
      </c>
      <c r="C27" s="481">
        <f t="shared" ca="1" si="3"/>
        <v>0</v>
      </c>
      <c r="D27" s="481">
        <f t="shared" si="4"/>
        <v>38.811765454999751</v>
      </c>
      <c r="E27" s="481">
        <f t="shared" si="5"/>
        <v>61.948692490273238</v>
      </c>
      <c r="F27" s="481">
        <f t="shared" si="6"/>
        <v>0</v>
      </c>
      <c r="G27" s="481">
        <f t="shared" si="7"/>
        <v>27481.612505085359</v>
      </c>
      <c r="H27" s="481">
        <f t="shared" si="8"/>
        <v>5455.9668964705552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33048.590670883445</v>
      </c>
    </row>
    <row r="28" spans="1:17">
      <c r="A28" s="476" t="s">
        <v>551</v>
      </c>
      <c r="B28" s="477">
        <f t="shared" ca="1" si="2"/>
        <v>0</v>
      </c>
      <c r="C28" s="477">
        <f t="shared" ca="1" si="3"/>
        <v>0</v>
      </c>
      <c r="D28" s="477">
        <f t="shared" si="4"/>
        <v>0</v>
      </c>
      <c r="E28" s="477">
        <f t="shared" si="5"/>
        <v>0</v>
      </c>
      <c r="F28" s="477">
        <f t="shared" si="6"/>
        <v>0</v>
      </c>
      <c r="G28" s="477">
        <f t="shared" si="7"/>
        <v>430.76502298078879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430.76502298078879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92.846044356227679</v>
      </c>
      <c r="C32" s="477">
        <f t="shared" ca="1" si="3"/>
        <v>0</v>
      </c>
      <c r="D32" s="477">
        <f t="shared" si="4"/>
        <v>239.46615200000005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332.31219635622773</v>
      </c>
    </row>
    <row r="33" spans="1:17" s="486" customFormat="1">
      <c r="A33" s="1039" t="s">
        <v>555</v>
      </c>
      <c r="B33" s="987">
        <f ca="1">SUM(B22:B32)</f>
        <v>9715.888360910636</v>
      </c>
      <c r="C33" s="987">
        <f t="shared" ref="C33:Q33" ca="1" si="18">SUM(C22:C32)</f>
        <v>0</v>
      </c>
      <c r="D33" s="987">
        <f t="shared" ca="1" si="18"/>
        <v>12569.5852377265</v>
      </c>
      <c r="E33" s="987">
        <f t="shared" si="18"/>
        <v>1411.7011185970428</v>
      </c>
      <c r="F33" s="987">
        <f t="shared" ca="1" si="18"/>
        <v>29415.193266871494</v>
      </c>
      <c r="G33" s="987">
        <f t="shared" si="18"/>
        <v>27912.377528066147</v>
      </c>
      <c r="H33" s="987">
        <f t="shared" si="18"/>
        <v>5455.9668964705552</v>
      </c>
      <c r="I33" s="987">
        <f t="shared" si="18"/>
        <v>0</v>
      </c>
      <c r="J33" s="987">
        <f t="shared" si="18"/>
        <v>419.30638478582762</v>
      </c>
      <c r="K33" s="987">
        <f t="shared" si="18"/>
        <v>0</v>
      </c>
      <c r="L33" s="987">
        <f t="shared" ca="1" si="18"/>
        <v>0</v>
      </c>
      <c r="M33" s="987">
        <f t="shared" si="18"/>
        <v>0</v>
      </c>
      <c r="N33" s="987">
        <f t="shared" ca="1" si="18"/>
        <v>0</v>
      </c>
      <c r="O33" s="987">
        <f t="shared" si="18"/>
        <v>0</v>
      </c>
      <c r="P33" s="987">
        <f t="shared" si="18"/>
        <v>0</v>
      </c>
      <c r="Q33" s="987">
        <f t="shared" ca="1" si="18"/>
        <v>86900.0187934282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8209.670865639484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54</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63.529411764705898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8263.670865639484</v>
      </c>
      <c r="C10" s="1060">
        <f>SUM(C4:C9)</f>
        <v>0</v>
      </c>
      <c r="D10" s="1060">
        <f t="shared" ref="D10:H10" si="0">SUM(D8:D9)</f>
        <v>0</v>
      </c>
      <c r="E10" s="1060">
        <f t="shared" si="0"/>
        <v>0</v>
      </c>
      <c r="F10" s="1060">
        <f t="shared" si="0"/>
        <v>0</v>
      </c>
      <c r="G10" s="1060">
        <f t="shared" si="0"/>
        <v>0</v>
      </c>
      <c r="H10" s="1060">
        <f t="shared" si="0"/>
        <v>0</v>
      </c>
      <c r="I10" s="1060">
        <f>SUM(I8:I9)</f>
        <v>0</v>
      </c>
      <c r="J10" s="1060">
        <f>SUM(J8:J9)</f>
        <v>63.529411764705898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0.18603202503179597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77.142857142857139</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90.756302521008422</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77.142857142857139</v>
      </c>
      <c r="C20" s="1060">
        <f>SUM(C17:C19)</f>
        <v>0</v>
      </c>
      <c r="D20" s="1060">
        <f t="shared" ref="D20:H20" si="2">SUM(D17:D19)</f>
        <v>0</v>
      </c>
      <c r="E20" s="1060">
        <f t="shared" si="2"/>
        <v>0</v>
      </c>
      <c r="F20" s="1060">
        <f t="shared" si="2"/>
        <v>0</v>
      </c>
      <c r="G20" s="1060">
        <f t="shared" si="2"/>
        <v>0</v>
      </c>
      <c r="H20" s="1060">
        <f t="shared" si="2"/>
        <v>0</v>
      </c>
      <c r="I20" s="1060">
        <f>SUM(I17:I19)</f>
        <v>0</v>
      </c>
      <c r="J20" s="1060">
        <f>SUM(J17:J19)</f>
        <v>90.756302521008422</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0.18603202503179597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2019-08-12T08:35:44Z</dcterms:modified>
</cp:coreProperties>
</file>