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<sst xmlns="http://schemas.openxmlformats.org/spreadsheetml/2006/main" count="2383" uniqueCount="881">
  <si>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</si>
  <si>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</si>
  <si>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</si>
  <si>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</si>
  <si>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</si>
  <si>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</si>
  <si>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</si>
  <si>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</si>
  <si>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</si>
  <si>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</si>
  <si>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</si>
  <si>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</si>
  <si>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</si>
  <si>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</si>
  <si>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</si>
  <si>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</si>
  <si>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</si>
  <si>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</si>
  <si>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</si>
  <si>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</si>
  <si>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</si>
  <si>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</si>
  <si>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</si>
  <si>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</si>
  <si>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</si>
  <si>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</si>
  <si>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</si>
  <si>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</si>
  <si>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</si>
  <si>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</si>
  <si>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</si>
  <si>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</si>
  <si>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</si>
  <si>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</si>
  <si>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</si>
  <si>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</si>
  <si>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</si>
  <si>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</si>
  <si>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</si>
  <si>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</si>
  <si>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</si>
  <si>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</si>
  <si>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</si>
  <si>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</si>
  <si>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</si>
  <si>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</si>
  <si>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</si>
  <si>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</si>
  <si>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</si>
  <si>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</si>
  <si>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</si>
  <si>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</si>
  <si>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</si>
  <si>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</si>
  <si>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</si>
  <si>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</si>
  <si>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</si>
  <si>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</si>
  <si>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</si>
  <si>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</si>
  <si>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</si>
  <si>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</si>
  <si>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</si>
  <si>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</si>
  <si>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</si>
  <si>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</si>
  <si>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</si>
  <si>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</si>
  <si>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</si>
  <si>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</si>
  <si>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</si>
  <si>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</si>
  <si>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</si>
  <si>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</si>
  <si>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</si>
  <si>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</si>
  <si>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</si>
  <si>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</si>
  <si>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</si>
  <si>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</si>
  <si>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</si>
  <si>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</si>
  <si>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</si>
  <si>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</si>
  <si>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</si>
  <si>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</si>
  <si>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</si>
  <si>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</si>
  <si>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</si>
  <si>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</si>
  <si>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</si>
  <si>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</si>
  <si>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</si>
  <si>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</si>
  <si>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</si>
  <si>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</si>
  <si>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</si>
  <si>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</si>
  <si>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</si>
  <si>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</si>
  <si>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</si>
  <si>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</si>
  <si>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</si>
  <si>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</si>
  <si>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</si>
  <si>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</si>
  <si>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</si>
  <si>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</si>
  <si>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</si>
  <si>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</si>
  <si>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</si>
  <si>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</si>
  <si>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</si>
  <si>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</si>
  <si>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</si>
  <si>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</si>
  <si>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</si>
  <si>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</si>
  <si>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</si>
  <si>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</si>
  <si>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</si>
  <si>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</si>
  <si>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</si>
  <si>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</si>
  <si>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</si>
  <si>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</si>
  <si>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</si>
  <si>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</si>
  <si>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</si>
  <si>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</si>
  <si>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</si>
  <si>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</si>
  <si>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</si>
  <si>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</si>
  <si>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</si>
  <si>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</si>
  <si>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</si>
  <si>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</si>
  <si>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</si>
  <si>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</si>
  <si>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</si>
  <si>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</si>
  <si>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</si>
  <si>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</si>
  <si>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</si>
  <si>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</si>
  <si>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</si>
  <si>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</si>
  <si>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</si>
  <si>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</si>
  <si>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</si>
  <si>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</si>
  <si>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</si>
  <si>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</si>
  <si>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</si>
  <si>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</si>
  <si>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</si>
  <si>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</si>
  <si>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</si>
  <si>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</si>
  <si>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</si>
  <si>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</si>
  <si>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</si>
  <si>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</si>
  <si>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</si>
  <si>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</si>
  <si>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</si>
  <si>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</si>
  <si>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</si>
  <si>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</si>
  <si>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</si>
  <si>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</si>
  <si>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</si>
  <si>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</si>
  <si>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</si>
  <si>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</si>
  <si>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</si>
  <si>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</si>
  <si>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</si>
  <si>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</si>
  <si>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</si>
  <si>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</si>
  <si>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</si>
  <si>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</si>
  <si>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</si>
  <si>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</si>
  <si>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</si>
  <si>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</si>
  <si>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</si>
  <si>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</si>
  <si>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</si>
  <si>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</si>
  <si>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</si>
  <si>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</si>
  <si>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</si>
  <si>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</si>
  <si>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</si>
  <si>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</si>
  <si>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</si>
  <si>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</si>
  <si>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</si>
  <si>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</si>
  <si>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</si>
  <si>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</si>
  <si>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</si>
  <si>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</si>
  <si>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</si>
  <si>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</si>
  <si>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</si>
  <si>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</si>
  <si>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</si>
  <si>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</si>
  <si>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</si>
  <si>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</si>
  <si>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</si>
  <si>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</si>
  <si>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</si>
  <si>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</si>
  <si>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</si>
  <si>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</si>
  <si>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</si>
  <si>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</si>
  <si>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</si>
  <si>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</si>
  <si>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</si>
  <si>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</si>
  <si>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</si>
  <si>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</si>
  <si>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</si>
  <si>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</si>
  <si>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</si>
  <si>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</si>
  <si>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</si>
  <si>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</si>
  <si>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</si>
  <si>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</si>
  <si>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</si>
  <si>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</si>
  <si>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</si>
  <si>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</si>
  <si>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</si>
  <si>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</si>
  <si>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</si>
  <si>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</si>
  <si>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</si>
  <si>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</si>
  <si>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</si>
  <si>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</si>
  <si>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</si>
  <si>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</si>
  <si>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</si>
  <si>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</si>
  <si>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</si>
  <si>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</si>
  <si>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</si>
  <si>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</si>
  <si>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</si>
  <si>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</si>
  <si>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</si>
  <si>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</si>
  <si>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</si>
  <si>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</si>
  <si>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</si>
  <si>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</si>
  <si>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</si>
  <si>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</si>
  <si>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</si>
  <si>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</si>
  <si>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</si>
  <si>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</si>
  <si>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</si>
  <si>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</si>
  <si>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</si>
  <si>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</si>
  <si>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</si>
  <si>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</si>
  <si>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</si>
  <si>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</si>
  <si>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</si>
  <si>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</si>
  <si>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</si>
  <si>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</si>
  <si>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</si>
  <si>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</si>
  <si>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</si>
  <si>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</si>
  <si>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</si>
  <si>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</si>
  <si>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</si>
  <si>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</si>
  <si>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</si>
  <si>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</si>
  <si>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</si>
  <si>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</si>
  <si>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</si>
  <si>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</si>
  <si>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</si>
  <si>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</si>
  <si>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</si>
  <si>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</si>
  <si>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</si>
  <si>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</si>
  <si>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</si>
  <si>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</si>
  <si>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</si>
  <si>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</si>
  <si>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</si>
  <si>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</si>
  <si>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</si>
  <si>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</si>
  <si>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</si>
  <si>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</si>
  <si>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</si>
  <si>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</si>
  <si>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</si>
  <si>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</si>
  <si>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</si>
  <si>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</si>
  <si>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</si>
  <si>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</si>
  <si>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</si>
  <si>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</si>
  <si>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</si>
  <si>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</si>
  <si>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</si>
  <si>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</si>
  <si>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</si>
  <si>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</si>
  <si>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</si>
  <si>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</si>
  <si>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</si>
  <si>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</si>
  <si>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</si>
  <si>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</si>
  <si>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</si>
  <si>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</si>
  <si>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</si>
  <si>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</si>
  <si>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</si>
  <si>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</si>
  <si>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</si>
  <si>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</si>
  <si>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</si>
  <si>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</si>
  <si>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</si>
  <si>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</si>
  <si>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</si>
  <si>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</si>
  <si>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</si>
  <si>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</si>
  <si>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</si>
  <si>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</si>
  <si>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</si>
  <si>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</si>
  <si>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</si>
  <si>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</si>
  <si>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</si>
  <si>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</si>
  <si>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</si>
  <si>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</si>
  <si>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</si>
  <si>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</si>
  <si>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</si>
  <si>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</si>
  <si>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</si>
  <si>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</si>
  <si>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</si>
  <si>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</si>
  <si>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</si>
  <si>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</si>
  <si>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</si>
  <si>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</si>
  <si>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</si>
  <si>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</si>
  <si>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</si>
  <si>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</si>
  <si>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</si>
  <si>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</si>
  <si>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</si>
  <si>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</si>
  <si>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</si>
  <si>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</si>
  <si>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</si>
  <si>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</si>
  <si>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</si>
  <si>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</si>
  <si>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</si>
  <si>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</si>
  <si>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</si>
  <si>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</si>
  <si>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</si>
  <si>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</si>
  <si>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</si>
  <si>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</si>
  <si>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</si>
  <si>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</si>
  <si>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</si>
  <si>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</si>
  <si>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</si>
  <si>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</si>
  <si>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</si>
  <si>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</si>
  <si>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</si>
  <si>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</si>
  <si>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</si>
  <si>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</si>
  <si>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</si>
  <si>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</si>
  <si>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</si>
  <si>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</si>
  <si>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</si>
  <si>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</si>
  <si>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</si>
  <si>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</si>
  <si>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</si>
  <si>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</si>
  <si>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</si>
  <si>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</si>
  <si>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</si>
  <si>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</si>
  <si>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</si>
  <si>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</si>
  <si>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</si>
  <si>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</si>
  <si>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</si>
  <si>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</si>
  <si>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</si>
  <si>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</si>
  <si>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</si>
  <si>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</si>
  <si>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</si>
  <si>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</si>
  <si>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</si>
  <si>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</si>
  <si>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</si>
  <si>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</si>
  <si>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</si>
  <si>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</si>
  <si>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</si>
  <si>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</si>
  <si>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</si>
  <si>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</si>
  <si>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</si>
  <si>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</si>
  <si>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</si>
  <si>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</si>
  <si>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</si>
  <si>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</si>
  <si>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</si>
  <si>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</si>
  <si>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</si>
  <si>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</si>
  <si>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</si>
  <si>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</si>
  <si>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</si>
  <si>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</si>
  <si>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</si>
  <si>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</si>
  <si>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</si>
  <si>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</si>
  <si>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</si>
  <si>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</si>
  <si>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</si>
  <si>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</si>
  <si>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</si>
  <si>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</si>
  <si>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</si>
  <si>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</si>
  <si>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</si>
  <si>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</si>
  <si>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</si>
  <si>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</si>
  <si>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</si>
  <si>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</si>
  <si>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</si>
  <si>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</si>
  <si>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</si>
  <si>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</si>
  <si>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</si>
  <si>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</si>
  <si>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</si>
  <si>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</si>
  <si>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</si>
  <si>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</si>
  <si>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</si>
  <si>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</si>
  <si>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</si>
  <si>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</si>
  <si>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</si>
  <si>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</si>
  <si>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</si>
  <si>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</si>
  <si>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</si>
  <si>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</si>
  <si>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</si>
  <si>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</si>
  <si>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</si>
  <si>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</si>
  <si>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</si>
  <si>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</si>
  <si>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</si>
  <si>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</si>
  <si>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</si>
  <si>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</si>
  <si>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</si>
  <si>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</si>
  <si>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</si>
  <si>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</si>
  <si>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</si>
  <si>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</si>
  <si>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</si>
  <si>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</si>
  <si>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</si>
  <si>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</si>
  <si>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</si>
  <si>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</si>
  <si>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</si>
  <si>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</si>
  <si>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</si>
  <si>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</si>
  <si>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</si>
  <si>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</si>
  <si>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</si>
  <si>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</si>
  <si>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</si>
  <si>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</si>
  <si>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</si>
  <si>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</si>
  <si>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</si>
  <si>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</si>
  <si>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</si>
  <si>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</si>
  <si>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</si>
  <si>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</si>
  <si>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</si>
  <si>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</si>
  <si>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</si>
  <si>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</si>
  <si>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</si>
  <si>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</si>
  <si>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</si>
  <si>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</si>
  <si>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</si>
  <si>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</si>
  <si>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</si>
  <si>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</si>
  <si>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</si>
  <si>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</si>
  <si>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</si>
  <si>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</si>
  <si>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</si>
  <si>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</si>
  <si>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</si>
  <si>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</si>
  <si>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</si>
  <si>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</si>
  <si>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</si>
  <si>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</si>
  <si>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</si>
  <si>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</si>
  <si>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</si>
  <si>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</si>
  <si>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</si>
  <si>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</si>
  <si>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</si>
  <si>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</si>
  <si>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</si>
  <si>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</si>
  <si>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</si>
  <si>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</si>
  <si>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</si>
  <si>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</si>
  <si>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</si>
  <si>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</si>
  <si>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</si>
  <si>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</si>
  <si>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</si>
  <si>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</si>
  <si>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</si>
  <si>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</si>
  <si>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</si>
  <si>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</si>
  <si>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</si>
  <si>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</si>
  <si>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</si>
  <si>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</si>
  <si>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</si>
  <si>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</si>
  <si>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</si>
  <si>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</si>
  <si>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</si>
  <si>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</si>
  <si>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</si>
  <si>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</si>
  <si>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</si>
  <si>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</si>
  <si>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</si>
  <si>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</si>
  <si>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</si>
  <si>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</si>
  <si>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</si>
  <si>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</si>
  <si>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</si>
  <si>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</si>
  <si>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</si>
  <si>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</si>
  <si>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</si>
  <si>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</si>
  <si>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</si>
  <si>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</si>
  <si>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</si>
  <si>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</si>
  <si>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</si>
  <si>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</si>
  <si>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</si>
  <si>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</si>
  <si>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</si>
  <si>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</si>
  <si>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</si>
  <si>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</si>
  <si>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</si>
  <si>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</si>
  <si>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</si>
  <si>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</si>
  <si>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</si>
  <si>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</si>
  <si>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</si>
  <si>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</si>
  <si>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</si>
  <si>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</si>
  <si>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</si>
  <si>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</si>
  <si>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</si>
  <si>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</si>
  <si>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</si>
  <si>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</si>
  <si>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</si>
  <si>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</si>
  <si>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</si>
  <si>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</si>
  <si>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</si>
  <si>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</si>
  <si>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</si>
  <si>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</si>
  <si>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</si>
  <si>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</si>
  <si>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</si>
  <si>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</si>
  <si>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</si>
  <si>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</si>
  <si>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</si>
  <si>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</si>
  <si>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</si>
  <si>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</si>
  <si>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</si>
  <si>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</si>
  <si>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</si>
  <si>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</si>
  <si>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</si>
  <si>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</si>
  <si>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</si>
  <si>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</si>
  <si>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</si>
  <si>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</si>
  <si>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</si>
  <si>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</si>
  <si>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</si>
  <si>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</si>
  <si>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</si>
  <si>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</si>
  <si>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</si>
  <si>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</si>
  <si>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</si>
  <si>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</si>
  <si>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</si>
  <si>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</si>
  <si>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</si>
  <si>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</si>
  <si>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</si>
  <si>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</si>
  <si>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</si>
  <si>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</si>
  <si>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</si>
  <si>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</si>
  <si>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</si>
  <si>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</si>
  <si>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</si>
  <si>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</si>
  <si>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</si>
  <si>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</si>
  <si>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</si>
  <si>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</si>
  <si>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</si>
  <si>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</si>
  <si>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</si>
  <si>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</si>
  <si>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</si>
  <si>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</si>
  <si>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</si>
  <si>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</si>
  <si>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</si>
  <si>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</si>
  <si>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</si>
  <si>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</si>
  <si>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</si>
  <si>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</si>
  <si>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</si>
  <si>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</si>
  <si>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</si>
  <si>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</si>
  <si>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</si>
  <si>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</si>
  <si>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</si>
  <si>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</si>
  <si>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</si>
  <si>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</si>
  <si>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</si>
  <si>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</si>
  <si>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</si>
  <si>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</si>
  <si>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</si>
  <si>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</si>
  <si>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</si>
  <si>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</si>
  <si>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</si>
  <si>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</si>
  <si>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</si>
  <si>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</si>
  <si>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</si>
  <si>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</si>
  <si>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</si>
  <si>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</si>
  <si>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</si>
  <si>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</si>
  <si>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</si>
  <si>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</si>
  <si>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</si>
  <si>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</si>
  <si>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</si>
  <si>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</si>
  <si>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</si>
  <si>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</si>
  <si>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</si>
  <si>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</si>
  <si>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</si>
  <si>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</si>
  <si>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</si>
  <si>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</si>
  <si>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</si>
  <si>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</si>
  <si>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</si>
  <si>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</si>
  <si>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</si>
  <si>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</si>
  <si>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</si>
  <si>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</si>
  <si>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</si>
  <si>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</si>
  <si>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</si>
  <si>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</si>
  <si>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</si>
  <si>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</si>
  <si>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</si>
  <si>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</si>
  <si>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</si>
  <si>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</si>
  <si>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</si>
  <si>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</si>
  <si>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</si>
  <si>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</si>
  <si>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</si>
  <si>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</si>
  <si>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</si>
  <si>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</si>
  <si>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</si>
  <si>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</si>
  <si>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</si>
  <si>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</si>
  <si>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</si>
  <si>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</si>
  <si>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</si>
  <si>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</si>
  <si>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</si>
  <si>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</si>
  <si>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</si>
  <si>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</si>
  <si>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</si>
  <si>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</si>
  <si>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</si>
  <si>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</si>
  <si>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</si>
  <si>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</si>
  <si>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</si>
  <si>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</si>
  <si>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</si>
  <si>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</si>
  <si>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</si>
  <si>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</si>
  <si>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</si>
  <si>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</si>
  <si>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</si>
  <si>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</si>
  <si>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</si>
  <si>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</si>
  <si>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</si>
  <si>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</si>
  <si>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</si>
  <si>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</si>
  <si>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</si>
  <si>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</si>
  <si>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</si>
  <si>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</si>
  <si>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</si>
  <si>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</si>
  <si>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</si>
  <si>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</si>
  <si>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</si>
  <si>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</si>
  <si>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</si>
  <si>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</si>
  <si>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</si>
  <si>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</si>
  <si>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</si>
  <si>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</si>
  <si>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</si>
  <si>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</si>
  <si>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</si>
  <si>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</si>
  <si>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</si>
  <si>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</si>
  <si>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</si>
  <si>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</si>
  <si>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</si>
  <si>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</si>
  <si>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</si>
  <si>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</si>
  <si>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</si>
  <si>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</si>
  <si>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</si>
  <si>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</si>
  <si>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</si>
  <si>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</si>
  <si>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</si>
  <si>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</si>
  <si>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</si>
  <si>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</si>
  <si>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</si>
  <si>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</si>
  <si>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</si>
  <si>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</si>
  <si>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</si>
  <si>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</si>
  <si>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</si>
  <si>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</si>
  <si>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</si>
  <si>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</si>
  <si>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</si>
  <si>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</si>
  <si>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</si>
  <si>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</si>
  <si>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</si>
  <si>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</si>
  <si>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</si>
  <si>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</si>
  <si>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</si>
  <si>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</si>
  <si>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</si>
  <si>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</si>
  <si>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</si>
  <si>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</si>
  <si>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</si>
  <si>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</si>
  <si>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</si>
  <si>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73028</t>
  </si>
  <si>
    <t>HERSTAPPE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</si>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</sst>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830.26340713612956</c:v>
                </c:pt>
                <c:pt idx="1">
                  <c:v>33.734954184172111</c:v>
                </c:pt>
                <c:pt idx="2">
                  <c:v>10.807</c:v>
                </c:pt>
                <c:pt idx="3">
                  <c:v>1116.5634265485214</c:v>
                </c:pt>
                <c:pt idx="4">
                  <c:v>142.58888897541476</c:v>
                </c:pt>
                <c:pt idx="5">
                  <c:v>2841.1033913410333</c:v>
                </c:pt>
                <c:pt idx="6">
                  <c:v>15.323539459547334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68192"/>
        <c:axId val="75769728"/>
      </c:barChart>
      <c:catAx>
        <c:axId val="75768192"/>
        <c:scaling>
          <c:orientation val="minMax"/>
        </c:scaling>
        <c:axPos val="b"/>
        <c:numFmt formatCode="General" sourceLinked="0"/>
        <c:tickLblPos val="nextTo"/>
        <c:crossAx val="75769728"/>
        <c:crosses val="autoZero"/>
        <c:auto val="1"/>
        <c:lblAlgn val="ctr"/>
        <c:lblOffset val="100"/>
      </c:catAx>
      <c:valAx>
        <c:axId val="75769728"/>
        <c:scaling>
          <c:orientation val="minMax"/>
        </c:scaling>
        <c:axPos val="l"/>
        <c:majorGridlines>
          <c:spPr>
            <a:ln>
              <a:noFill/>
            </a:ln>
          </c:spPr>
        </c:majorGridlines>
        <c:numFmt formatCode="#,##0" sourceLinked="1"/>
        <c:tickLblPos val="nextTo"/>
        <c:crossAx val="7576819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830.26340713612956</c:v>
                </c:pt>
                <c:pt idx="1">
                  <c:v>33.734954184172111</c:v>
                </c:pt>
                <c:pt idx="2">
                  <c:v>10.807</c:v>
                </c:pt>
                <c:pt idx="3">
                  <c:v>1116.5634265485214</c:v>
                </c:pt>
                <c:pt idx="4">
                  <c:v>142.58888897541476</c:v>
                </c:pt>
                <c:pt idx="5">
                  <c:v>2841.1033913410333</c:v>
                </c:pt>
                <c:pt idx="6">
                  <c:v>15.323539459547334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204.84446413223506</c:v>
                </c:pt>
                <c:pt idx="2">
                  <c:v>6.7645640622396046</c:v>
                </c:pt>
                <c:pt idx="3">
                  <c:v>2.2409349989929948</c:v>
                </c:pt>
                <c:pt idx="4">
                  <c:v>285.55735001528535</c:v>
                </c:pt>
                <c:pt idx="5">
                  <c:v>27.776835719538127</c:v>
                </c:pt>
                <c:pt idx="6">
                  <c:v>710.32209450465416</c:v>
                </c:pt>
                <c:pt idx="7">
                  <c:v>3.8715008769260808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1696"/>
        <c:axId val="156463488"/>
      </c:barChart>
      <c:catAx>
        <c:axId val="156461696"/>
        <c:scaling>
          <c:orientation val="minMax"/>
        </c:scaling>
        <c:axPos val="b"/>
        <c:numFmt formatCode="General" sourceLinked="0"/>
        <c:tickLblPos val="nextTo"/>
        <c:crossAx val="156463488"/>
        <c:crosses val="autoZero"/>
        <c:auto val="1"/>
        <c:lblAlgn val="ctr"/>
        <c:lblOffset val="100"/>
      </c:catAx>
      <c:valAx>
        <c:axId val="156463488"/>
        <c:scaling>
          <c:orientation val="minMax"/>
        </c:scaling>
        <c:axPos val="l"/>
        <c:majorGridlines>
          <c:spPr>
            <a:ln>
              <a:noFill/>
            </a:ln>
          </c:spPr>
        </c:majorGridlines>
        <c:numFmt formatCode="#,##0" sourceLinked="1"/>
        <c:tickLblPos val="nextTo"/>
        <c:crossAx val="1564616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204.84446413223506</c:v>
                </c:pt>
                <c:pt idx="2">
                  <c:v>6.7645640622396046</c:v>
                </c:pt>
                <c:pt idx="3">
                  <c:v>2.2409349989929948</c:v>
                </c:pt>
                <c:pt idx="4">
                  <c:v>285.55735001528535</c:v>
                </c:pt>
                <c:pt idx="5">
                  <c:v>27.776835719538127</c:v>
                </c:pt>
                <c:pt idx="6">
                  <c:v>710.32209450465416</c:v>
                </c:pt>
                <c:pt idx="7">
                  <c:v>3.8715008769260808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73028</v>
      </c>
      <c r="B6" s="415"/>
      <c r="C6" s="416"/>
    </row>
    <row r="7" spans="1:7" s="413" customFormat="1" ht="15.75" customHeight="1">
      <c r="A7" s="417" t="str">
        <f>txtMunicipality</f>
        <v>HERSTAPPE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0.20735958165938692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0.20735958165938692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73028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34</v>
      </c>
      <c r="C9" s="342">
        <v>34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116</v>
      </c>
    </row>
    <row r="15" spans="1:6">
      <c r="A15" s="348" t="s">
        <v>184</v>
      </c>
      <c r="B15" s="334">
        <v>0</v>
      </c>
    </row>
    <row r="16" spans="1:6">
      <c r="A16" s="348" t="s">
        <v>6</v>
      </c>
      <c r="B16" s="334">
        <v>0</v>
      </c>
    </row>
    <row r="17" spans="1:6">
      <c r="A17" s="348" t="s">
        <v>7</v>
      </c>
      <c r="B17" s="334">
        <v>2</v>
      </c>
    </row>
    <row r="18" spans="1:6">
      <c r="A18" s="348" t="s">
        <v>8</v>
      </c>
      <c r="B18" s="334">
        <v>1</v>
      </c>
    </row>
    <row r="19" spans="1:6">
      <c r="A19" s="348" t="s">
        <v>9</v>
      </c>
      <c r="B19" s="334">
        <v>1</v>
      </c>
    </row>
    <row r="20" spans="1:6">
      <c r="A20" s="348" t="s">
        <v>10</v>
      </c>
      <c r="B20" s="334">
        <v>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5</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12</v>
      </c>
      <c r="D39" s="334">
        <v>252518</v>
      </c>
      <c r="E39" s="334">
        <v>30</v>
      </c>
      <c r="F39" s="334">
        <v>113302</v>
      </c>
    </row>
    <row r="40" spans="1:6">
      <c r="A40" s="348" t="s">
        <v>30</v>
      </c>
      <c r="B40" s="348" t="s">
        <v>29</v>
      </c>
      <c r="C40" s="334">
        <v>0</v>
      </c>
      <c r="D40" s="334">
        <v>0</v>
      </c>
      <c r="E40" s="334">
        <v>0</v>
      </c>
      <c r="F40" s="334">
        <v>0</v>
      </c>
    </row>
    <row r="41" spans="1:6">
      <c r="A41" s="348" t="s">
        <v>32</v>
      </c>
      <c r="B41" s="348" t="s">
        <v>33</v>
      </c>
      <c r="C41" s="334">
        <v>0</v>
      </c>
      <c r="D41" s="334">
        <v>0</v>
      </c>
      <c r="E41" s="334">
        <v>0</v>
      </c>
      <c r="F41" s="334">
        <v>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91091</v>
      </c>
      <c r="E48" s="334">
        <v>1</v>
      </c>
      <c r="F48" s="334">
        <v>40795</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6</v>
      </c>
      <c r="F51" s="334">
        <v>200773</v>
      </c>
    </row>
    <row r="52" spans="1:6">
      <c r="A52" s="348" t="s">
        <v>42</v>
      </c>
      <c r="B52" s="348" t="s">
        <v>29</v>
      </c>
      <c r="C52" s="334">
        <v>2</v>
      </c>
      <c r="D52" s="334">
        <v>49215</v>
      </c>
      <c r="E52" s="334">
        <v>0</v>
      </c>
      <c r="F52" s="334">
        <v>0</v>
      </c>
    </row>
    <row r="53" spans="1:6">
      <c r="A53" s="348" t="s">
        <v>44</v>
      </c>
      <c r="B53" s="348" t="s">
        <v>45</v>
      </c>
      <c r="C53" s="334">
        <v>3</v>
      </c>
      <c r="D53" s="334">
        <v>56909</v>
      </c>
      <c r="E53" s="334">
        <v>1</v>
      </c>
      <c r="F53" s="334">
        <v>23086</v>
      </c>
    </row>
    <row r="54" spans="1:6">
      <c r="A54" s="348" t="s">
        <v>46</v>
      </c>
      <c r="B54" s="348" t="s">
        <v>47</v>
      </c>
      <c r="C54" s="334">
        <v>0</v>
      </c>
      <c r="D54" s="334">
        <v>0</v>
      </c>
      <c r="E54" s="334">
        <v>1</v>
      </c>
      <c r="F54" s="334">
        <v>10807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0</v>
      </c>
      <c r="F57" s="334">
        <v>0</v>
      </c>
    </row>
    <row r="58" spans="1:6">
      <c r="A58" s="348" t="s">
        <v>49</v>
      </c>
      <c r="B58" s="348" t="s">
        <v>51</v>
      </c>
      <c r="C58" s="334">
        <v>0</v>
      </c>
      <c r="D58" s="334">
        <v>0</v>
      </c>
      <c r="E58" s="334">
        <v>0</v>
      </c>
      <c r="F58" s="334">
        <v>0</v>
      </c>
    </row>
    <row r="59" spans="1:6">
      <c r="A59" s="348" t="s">
        <v>49</v>
      </c>
      <c r="B59" s="348" t="s">
        <v>52</v>
      </c>
      <c r="C59" s="334">
        <v>0</v>
      </c>
      <c r="D59" s="334">
        <v>0</v>
      </c>
      <c r="E59" s="334">
        <v>0</v>
      </c>
      <c r="F59" s="334">
        <v>0</v>
      </c>
    </row>
    <row r="60" spans="1:6">
      <c r="A60" s="348" t="s">
        <v>49</v>
      </c>
      <c r="B60" s="348" t="s">
        <v>53</v>
      </c>
      <c r="C60" s="334">
        <v>0</v>
      </c>
      <c r="D60" s="334">
        <v>0</v>
      </c>
      <c r="E60" s="334">
        <v>0</v>
      </c>
      <c r="F60" s="334">
        <v>0</v>
      </c>
    </row>
    <row r="61" spans="1:6">
      <c r="A61" s="348" t="s">
        <v>49</v>
      </c>
      <c r="B61" s="348" t="s">
        <v>54</v>
      </c>
      <c r="C61" s="334">
        <v>0</v>
      </c>
      <c r="D61" s="334">
        <v>0</v>
      </c>
      <c r="E61" s="334">
        <v>0</v>
      </c>
      <c r="F61" s="334">
        <v>0</v>
      </c>
    </row>
    <row r="62" spans="1:6">
      <c r="A62" s="348" t="s">
        <v>49</v>
      </c>
      <c r="B62" s="348" t="s">
        <v>55</v>
      </c>
      <c r="C62" s="334">
        <v>0</v>
      </c>
      <c r="D62" s="334">
        <v>0</v>
      </c>
      <c r="E62" s="334">
        <v>0</v>
      </c>
      <c r="F62" s="334">
        <v>0</v>
      </c>
    </row>
    <row r="63" spans="1:6">
      <c r="A63" s="348" t="s">
        <v>49</v>
      </c>
      <c r="B63" s="348" t="s">
        <v>29</v>
      </c>
      <c r="C63" s="334">
        <v>1</v>
      </c>
      <c r="D63" s="334">
        <v>10628</v>
      </c>
      <c r="E63" s="334">
        <v>3</v>
      </c>
      <c r="F63" s="334">
        <v>18834</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3083136</v>
      </c>
      <c r="E73" s="475">
        <v>3131831.7077630996</v>
      </c>
    </row>
    <row r="74" spans="1:6">
      <c r="A74" s="348" t="s">
        <v>64</v>
      </c>
      <c r="B74" s="348" t="s">
        <v>657</v>
      </c>
      <c r="C74" s="1295" t="s">
        <v>659</v>
      </c>
      <c r="D74" s="475">
        <v>173474</v>
      </c>
      <c r="E74" s="475">
        <v>178508.64880544622</v>
      </c>
    </row>
    <row r="75" spans="1:6">
      <c r="A75" s="348" t="s">
        <v>65</v>
      </c>
      <c r="B75" s="348" t="s">
        <v>656</v>
      </c>
      <c r="C75" s="1295" t="s">
        <v>660</v>
      </c>
      <c r="D75" s="475">
        <v>593481</v>
      </c>
      <c r="E75" s="475">
        <v>602854.802153436</v>
      </c>
    </row>
    <row r="76" spans="1:6">
      <c r="A76" s="348" t="s">
        <v>65</v>
      </c>
      <c r="B76" s="348" t="s">
        <v>657</v>
      </c>
      <c r="C76" s="1295" t="s">
        <v>661</v>
      </c>
      <c r="D76" s="475">
        <v>5632</v>
      </c>
      <c r="E76" s="475">
        <v>5847.0225592570805</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4156</v>
      </c>
      <c r="C83" s="475">
        <v>4250.1111920787007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26.907476180095628</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v>
      </c>
    </row>
    <row r="98" spans="1:6">
      <c r="A98" s="348" t="s">
        <v>72</v>
      </c>
      <c r="B98" s="334">
        <v>1</v>
      </c>
    </row>
    <row r="99" spans="1:6">
      <c r="A99" s="348" t="s">
        <v>73</v>
      </c>
      <c r="B99" s="334">
        <v>0</v>
      </c>
    </row>
    <row r="100" spans="1:6">
      <c r="A100" s="348" t="s">
        <v>74</v>
      </c>
      <c r="B100" s="334">
        <v>3</v>
      </c>
    </row>
    <row r="101" spans="1:6">
      <c r="A101" s="348" t="s">
        <v>75</v>
      </c>
      <c r="B101" s="334">
        <v>0</v>
      </c>
    </row>
    <row r="102" spans="1:6">
      <c r="A102" s="348" t="s">
        <v>76</v>
      </c>
      <c r="B102" s="334">
        <v>1</v>
      </c>
    </row>
    <row r="103" spans="1:6">
      <c r="A103" s="348" t="s">
        <v>77</v>
      </c>
      <c r="B103" s="334">
        <v>3</v>
      </c>
    </row>
    <row r="104" spans="1:6">
      <c r="A104" s="348" t="s">
        <v>78</v>
      </c>
      <c r="B104" s="334">
        <v>22</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435.95086949025836</v>
      </c>
      <c r="C3" s="43" t="s">
        <v>170</v>
      </c>
      <c r="D3" s="43"/>
      <c r="E3" s="154"/>
      <c r="F3" s="43"/>
      <c r="G3" s="43"/>
      <c r="H3" s="43"/>
      <c r="I3" s="43"/>
      <c r="J3" s="43"/>
      <c r="K3" s="96"/>
    </row>
    <row r="4" spans="1:11">
      <c r="A4" s="383" t="s">
        <v>171</v>
      </c>
      <c r="B4" s="49">
        <f>IF(ISERROR('SEAP template'!B78+'SEAP template'!C78),0,'SEAP template'!B78+'SEAP template'!C78)</f>
        <v>26.907476180095628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0.20735958165938692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10.807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10.807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0.20735958165938692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2.2409349989929948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113.30200000000001</v>
      </c>
      <c r="C5" s="17">
        <f>IF(ISERROR('Eigen informatie GS &amp; warmtenet'!B57),0,'Eigen informatie GS &amp; warmtenet'!B57)</f>
        <v>0</v>
      </c>
      <c r="D5" s="30">
        <f>(SUM(HH_hh_gas_kWh,HH_rest_gas_kWh)/1000)*0.902</f>
        <v>227.77123600000002</v>
      </c>
      <c r="E5" s="17">
        <f>B46*B57</f>
        <v>0</v>
      </c>
      <c r="F5" s="17">
        <f>B51*B62</f>
        <v>383.14664229410738</v>
      </c>
      <c r="G5" s="18"/>
      <c r="H5" s="17"/>
      <c r="I5" s="17"/>
      <c r="J5" s="17">
        <f>B50*B61+C50*C61</f>
        <v>77.572719328593166</v>
      </c>
      <c r="K5" s="17"/>
      <c r="L5" s="17"/>
      <c r="M5" s="17"/>
      <c r="N5" s="17">
        <f>B48*B59+C48*C59</f>
        <v>0</v>
      </c>
      <c r="O5" s="17">
        <f>B69*B70*B71</f>
        <v>1.5633333333333335</v>
      </c>
      <c r="P5" s="17">
        <f>B77*B78*B79/1000-B77*B78*B79/1000/B80</f>
        <v>0</v>
      </c>
    </row>
    <row r="6" spans="1:16">
      <c r="A6" s="16" t="s">
        <v>621</v>
      </c>
      <c r="B6" s="788">
        <f>kWh_PV_kleiner_dan_10kW</f>
        <v>26.907476180095628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140.20947618009563</v>
      </c>
      <c r="C8" s="21">
        <f>C5</f>
        <v>0</v>
      </c>
      <c r="D8" s="21">
        <f>D5</f>
        <v>227.77123600000002</v>
      </c>
      <c r="E8" s="21">
        <f>E5</f>
        <v>0</v>
      </c>
      <c r="F8" s="21">
        <f>F5</f>
        <v>383.14664229410738</v>
      </c>
      <c r="G8" s="21"/>
      <c r="H8" s="21"/>
      <c r="I8" s="21"/>
      <c r="J8" s="21">
        <f>J5</f>
        <v>77.572719328593166</v>
      </c>
      <c r="K8" s="21"/>
      <c r="L8" s="21">
        <f>L5</f>
        <v>0</v>
      </c>
      <c r="M8" s="21">
        <f>M5</f>
        <v>0</v>
      </c>
      <c r="N8" s="21">
        <f>N5</f>
        <v>0</v>
      </c>
      <c r="O8" s="21">
        <f>O5</f>
        <v>1.5633333333333335</v>
      </c>
      <c r="P8" s="21">
        <f>P5</f>
        <v>0</v>
      </c>
    </row>
    <row r="9" spans="1:16">
      <c r="B9" s="19"/>
      <c r="C9" s="19"/>
      <c r="D9" s="258"/>
      <c r="E9" s="19"/>
      <c r="F9" s="19"/>
      <c r="G9" s="19"/>
      <c r="H9" s="19"/>
      <c r="I9" s="19"/>
      <c r="J9" s="19"/>
      <c r="K9" s="19"/>
      <c r="L9" s="19"/>
      <c r="M9" s="19"/>
      <c r="N9" s="19"/>
      <c r="O9" s="19"/>
      <c r="P9" s="19"/>
    </row>
    <row r="10" spans="1:16">
      <c r="A10" s="24" t="s">
        <v>214</v>
      </c>
      <c r="B10" s="25">
        <f ca="1">'EF ele_warmte'!B12</f>
        <v>0.20735958165938692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29.073778325386407</v>
      </c>
      <c r="C12" s="23">
        <f ca="1">C10*C8</f>
        <v>0</v>
      </c>
      <c r="D12" s="23">
        <f>D8*D10</f>
        <v>46.009789672000004</v>
      </c>
      <c r="E12" s="23">
        <f>E10*E8</f>
        <v>0</v>
      </c>
      <c r="F12" s="23">
        <f>F10*F8</f>
        <v>102.30015349252668</v>
      </c>
      <c r="G12" s="23"/>
      <c r="H12" s="23"/>
      <c r="I12" s="23"/>
      <c r="J12" s="23">
        <f>J10*J8</f>
        <v>27.460742642321978</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v>
      </c>
      <c r="C18" s="166" t="s">
        <v>111</v>
      </c>
      <c r="D18" s="228"/>
      <c r="E18" s="15"/>
    </row>
    <row r="19" spans="1:7">
      <c r="A19" s="171" t="s">
        <v>72</v>
      </c>
      <c r="B19" s="37">
        <f>aantalw2001_ander</f>
        <v>1</v>
      </c>
      <c r="C19" s="166" t="s">
        <v>111</v>
      </c>
      <c r="D19" s="229"/>
      <c r="E19" s="15"/>
    </row>
    <row r="20" spans="1:7">
      <c r="A20" s="171" t="s">
        <v>73</v>
      </c>
      <c r="B20" s="37">
        <f>aantalw2001_propaan</f>
        <v>0</v>
      </c>
      <c r="C20" s="167">
        <f>IF(ISERROR(B20/SUM($B$20,$B$21,$B$22)*100),0,B20/SUM($B$20,$B$21,$B$22)*100)</f>
        <v>0</v>
      </c>
      <c r="D20" s="229"/>
      <c r="E20" s="15"/>
    </row>
    <row r="21" spans="1:7">
      <c r="A21" s="171" t="s">
        <v>74</v>
      </c>
      <c r="B21" s="37">
        <f>aantalw2001_elektriciteit</f>
        <v>3</v>
      </c>
      <c r="C21" s="167">
        <f>IF(ISERROR(B21/SUM($B$20,$B$21,$B$22)*100),0,B21/SUM($B$20,$B$21,$B$22)*100)</f>
        <v>100</v>
      </c>
      <c r="D21" s="229"/>
      <c r="E21" s="15"/>
    </row>
    <row r="22" spans="1:7">
      <c r="A22" s="171" t="s">
        <v>75</v>
      </c>
      <c r="B22" s="37">
        <f>aantalw2001_hout</f>
        <v>0</v>
      </c>
      <c r="C22" s="167">
        <f>IF(ISERROR(B22/SUM($B$20,$B$21,$B$22)*100),0,B22/SUM($B$20,$B$21,$B$22)*100)</f>
        <v>0</v>
      </c>
      <c r="D22" s="229"/>
      <c r="E22" s="15"/>
    </row>
    <row r="23" spans="1:7">
      <c r="A23" s="171" t="s">
        <v>76</v>
      </c>
      <c r="B23" s="37">
        <f>aantalw2001_niet_gespec</f>
        <v>1</v>
      </c>
      <c r="C23" s="166" t="s">
        <v>111</v>
      </c>
      <c r="D23" s="228"/>
      <c r="E23" s="15"/>
    </row>
    <row r="24" spans="1:7">
      <c r="A24" s="171" t="s">
        <v>77</v>
      </c>
      <c r="B24" s="37">
        <f>aantalw2001_steenkool</f>
        <v>3</v>
      </c>
      <c r="C24" s="166" t="s">
        <v>111</v>
      </c>
      <c r="D24" s="229"/>
      <c r="E24" s="15"/>
    </row>
    <row r="25" spans="1:7">
      <c r="A25" s="171" t="s">
        <v>78</v>
      </c>
      <c r="B25" s="37">
        <f>aantalw2001_stookolie</f>
        <v>22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34</v>
      </c>
      <c r="C28" s="36"/>
      <c r="D28" s="228"/>
    </row>
    <row r="29" spans="1:7" s="15" customFormat="1">
      <c r="A29" s="230" t="s">
        <v>794</v>
      </c>
      <c r="B29" s="37">
        <f>SUM(HH_hh_gas_aantal,HH_rest_gas_aantal)</f>
        <v>12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12</v>
      </c>
      <c r="C32" s="167">
        <f>IF(ISERROR(B32/SUM($B$32,$B$34,$B$35,$B$36,$B$38,$B$39)*100),0,B32/SUM($B$32,$B$34,$B$35,$B$36,$B$38,$B$39)*100)</f>
        <v>35.294117647058826</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4.9999999999999991</v>
      </c>
      <c r="C35" s="167">
        <f>IF(ISERROR(B35/SUM($B$32,$B$34,$B$35,$B$36,$B$38,$B$39)*100),0,B35/SUM($B$32,$B$34,$B$35,$B$36,$B$38,$B$39)*100)</f>
        <v>14.705882352941174</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2.2000000000000002</v>
      </c>
      <c r="C38" s="167">
        <f>IF(ISERROR(B38/SUM($B$32,$B$34,$B$35,$B$36,$B$38,$B$39)*100),0,B38/SUM($B$32,$B$34,$B$35,$B$36,$B$38,$B$39)*100)</f>
        <v>6.4705882352941186</v>
      </c>
      <c r="D38" s="234"/>
      <c r="G38" s="15"/>
    </row>
    <row r="39" spans="1:7">
      <c r="A39" s="171" t="s">
        <v>78</v>
      </c>
      <c r="B39" s="33">
        <f>IF((B25-(B29-B18))&lt;0,0,B25-(B29-B18)*0.9)</f>
        <v>14.8</v>
      </c>
      <c r="C39" s="167">
        <f>IF(ISERROR(B39/SUM($B$32,$B$34,$B$35,$B$36,$B$38,$B$39)*100),0,B39/SUM($B$32,$B$34,$B$35,$B$36,$B$38,$B$39)*100)</f>
        <v>43.529411764705884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12</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4.9999999999999991</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2.2000000000000002</v>
      </c>
      <c r="C50" s="33">
        <f>B50*2</f>
        <v>4.4000000000000004</v>
      </c>
      <c r="D50" s="234"/>
    </row>
    <row r="51" spans="1:6">
      <c r="A51" s="171" t="s">
        <v>78</v>
      </c>
      <c r="B51" s="33">
        <f t="shared" si="0"/>
        <v>14.8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18.834</v>
      </c>
      <c r="C5" s="17">
        <f>IF(ISERROR('Eigen informatie GS &amp; warmtenet'!B58),0,'Eigen informatie GS &amp; warmtenet'!B58)</f>
        <v>0</v>
      </c>
      <c r="D5" s="30">
        <f>SUM(D6:D12)</f>
        <v>9.5864560000000001</v>
      </c>
      <c r="E5" s="17">
        <f>SUM(E6:E12)</f>
        <v>0.23388027982865836</v>
      </c>
      <c r="F5" s="17">
        <f>SUM(F6:F12)</f>
        <v>3.2568637485594518</v>
      </c>
      <c r="G5" s="18"/>
      <c r="H5" s="17"/>
      <c r="I5" s="17"/>
      <c r="J5" s="17">
        <f>SUM(J6:J12)</f>
        <v>4.560700630458252E-5</v>
      </c>
      <c r="K5" s="17"/>
      <c r="L5" s="17"/>
      <c r="M5" s="17"/>
      <c r="N5" s="17">
        <f>SUM(N6:N12)</f>
        <v>1.8237085487776969</v>
      </c>
      <c r="O5" s="17">
        <f>B38*B39*B40</f>
        <v>0</v>
      </c>
      <c r="P5" s="17">
        <f>B46*B47*B48/1000-B46*B47*B48/1000/B49</f>
        <v>0</v>
      </c>
      <c r="R5" s="32"/>
    </row>
    <row r="6" spans="1:18">
      <c r="A6" s="32" t="s">
        <v>54</v>
      </c>
      <c r="B6" s="37">
        <f>B26</f>
        <v>0</v>
      </c>
      <c r="C6" s="33"/>
      <c r="D6" s="37">
        <f>IF(ISERROR(TER_kantoor_gas_kWh/1000),0,TER_kantoor_gas_kWh/1000)*0.902</f>
        <v>0</v>
      </c>
      <c r="E6" s="33">
        <f>$C$26*'E Balans VL '!I12/100/3.6*1000000</f>
        <v>0</v>
      </c>
      <c r="F6" s="33">
        <f>$C$26*('E Balans VL '!L12+'E Balans VL '!N12)/100/3.6*1000000</f>
        <v>0</v>
      </c>
      <c r="G6" s="34"/>
      <c r="H6" s="33"/>
      <c r="I6" s="33"/>
      <c r="J6" s="33">
        <f>$C$26*('E Balans VL '!D12+'E Balans VL '!E12)/100/3.6*1000000</f>
        <v>0</v>
      </c>
      <c r="K6" s="33"/>
      <c r="L6" s="33"/>
      <c r="M6" s="33"/>
      <c r="N6" s="33">
        <f>$C$26*'E Balans VL '!Y12/100/3.6*1000000</f>
        <v>0</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18.834</v>
      </c>
      <c r="C12" s="33"/>
      <c r="D12" s="37">
        <f>IF(ISERROR(TER_rest_gas_kWh/1000),0,TER_rest_gas_kWh/1000)*0.902</f>
        <v>9.5864560000000001</v>
      </c>
      <c r="E12" s="33">
        <f>$C$32*'E Balans VL '!I8/100/3.6*1000000</f>
        <v>0.23388027982865836</v>
      </c>
      <c r="F12" s="33">
        <f>$C$32*('E Balans VL '!L8+'E Balans VL '!N8)/100/3.6*1000000</f>
        <v>3.2568637485594518</v>
      </c>
      <c r="G12" s="34"/>
      <c r="H12" s="33"/>
      <c r="I12" s="33"/>
      <c r="J12" s="33">
        <f>$C$32*('E Balans VL '!D8+'E Balans VL '!E8)/100/3.6*1000000</f>
        <v>4.560700630458252E-5</v>
      </c>
      <c r="K12" s="33"/>
      <c r="L12" s="33"/>
      <c r="M12" s="33"/>
      <c r="N12" s="33">
        <f>$C$32*'E Balans VL '!Y8/100/3.6*1000000</f>
        <v>1.8237085487776969</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18.834</v>
      </c>
      <c r="C16" s="21">
        <f t="shared" ca="1" si="1"/>
        <v>0</v>
      </c>
      <c r="D16" s="21">
        <f t="shared" ca="1" si="1"/>
        <v>9.5864560000000001</v>
      </c>
      <c r="E16" s="21">
        <f t="shared" si="1"/>
        <v>0.23388027982865836</v>
      </c>
      <c r="F16" s="21">
        <f t="shared" ca="1" si="1"/>
        <v>3.2568637485594518</v>
      </c>
      <c r="G16" s="21">
        <f t="shared" si="1"/>
        <v>0</v>
      </c>
      <c r="H16" s="21">
        <f t="shared" si="1"/>
        <v>0</v>
      </c>
      <c r="I16" s="21">
        <f t="shared" si="1"/>
        <v>0</v>
      </c>
      <c r="J16" s="21">
        <f t="shared" si="1"/>
        <v>4.560700630458252E-5</v>
      </c>
      <c r="K16" s="21">
        <f t="shared" si="1"/>
        <v>0</v>
      </c>
      <c r="L16" s="21">
        <f t="shared" ca="1" si="1"/>
        <v>0</v>
      </c>
      <c r="M16" s="21">
        <f t="shared" si="1"/>
        <v>0</v>
      </c>
      <c r="N16" s="21">
        <f t="shared" ca="1" si="1"/>
        <v>1.8237085487776969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0.20735958165938692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3.9054103609728932</v>
      </c>
      <c r="C20" s="23">
        <f t="shared" ref="C20:P20" ca="1" si="2">C16*C18</f>
        <v>0</v>
      </c>
      <c r="D20" s="23">
        <f t="shared" ca="1" si="2"/>
        <v>1.9364641120000001</v>
      </c>
      <c r="E20" s="23">
        <f t="shared" si="2"/>
        <v>5.3090823521105453E-2</v>
      </c>
      <c r="F20" s="23">
        <f t="shared" ca="1" si="2"/>
        <v>0.86958262086537363</v>
      </c>
      <c r="G20" s="23">
        <f t="shared" si="2"/>
        <v>0</v>
      </c>
      <c r="H20" s="23">
        <f t="shared" si="2"/>
        <v>0</v>
      </c>
      <c r="I20" s="23">
        <f t="shared" si="2"/>
        <v>0</v>
      </c>
      <c r="J20" s="23">
        <f t="shared" si="2"/>
        <v>1.6144880231822212E-5</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0</v>
      </c>
      <c r="C26" s="39">
        <f>IF(ISERROR(B26*3.6/1000000/'E Balans VL '!Z12*100),0,B26*3.6/1000000/'E Balans VL '!Z12*100)</f>
        <v>0</v>
      </c>
      <c r="D26" s="237" t="s">
        <v>754</v>
      </c>
      <c r="F26" s="6"/>
    </row>
    <row r="27" spans="1:18">
      <c r="A27" s="231" t="s">
        <v>53</v>
      </c>
      <c r="B27" s="33">
        <f>IF(ISERROR(TER_horeca_ele_kWh/1000),0,TER_horeca_ele_kWh/1000)</f>
        <v>0</v>
      </c>
      <c r="C27" s="39">
        <f>IF(ISERROR(B27*3.6/1000000/'E Balans VL '!Z9*100),0,B27*3.6/1000000/'E Balans VL '!Z9*100)</f>
        <v>0</v>
      </c>
      <c r="D27" s="237" t="s">
        <v>754</v>
      </c>
      <c r="F27" s="6"/>
    </row>
    <row r="28" spans="1:18">
      <c r="A28" s="171" t="s">
        <v>52</v>
      </c>
      <c r="B28" s="33">
        <f>IF(ISERROR(TER_handel_ele_kWh/1000),0,TER_handel_ele_kWh/1000)</f>
        <v>0</v>
      </c>
      <c r="C28" s="39">
        <f>IF(ISERROR(B28*3.6/1000000/'E Balans VL '!Z13*100),0,B28*3.6/1000000/'E Balans VL '!Z13*100)</f>
        <v>0</v>
      </c>
      <c r="D28" s="237" t="s">
        <v>754</v>
      </c>
      <c r="F28" s="6"/>
    </row>
    <row r="29" spans="1:18">
      <c r="A29" s="231" t="s">
        <v>51</v>
      </c>
      <c r="B29" s="33">
        <f>IF(ISERROR(TER_gezond_ele_kWh/1000),0,TER_gezond_ele_kWh/1000)</f>
        <v>0</v>
      </c>
      <c r="C29" s="39">
        <f>IF(ISERROR(B29*3.6/1000000/'E Balans VL '!Z10*100),0,B29*3.6/1000000/'E Balans VL '!Z10*100)</f>
        <v>0</v>
      </c>
      <c r="D29" s="237" t="s">
        <v>754</v>
      </c>
      <c r="F29" s="6"/>
    </row>
    <row r="30" spans="1:18">
      <c r="A30" s="231" t="s">
        <v>50</v>
      </c>
      <c r="B30" s="33">
        <f>IF(ISERROR(TER_ander_ele_kWh/1000),0,TER_ander_ele_kWh/1000)</f>
        <v>0</v>
      </c>
      <c r="C30" s="39">
        <f>IF(ISERROR(B30*3.6/1000000/'E Balans VL '!Z14*100),0,B30*3.6/1000000/'E Balans VL '!Z14*100)</f>
        <v>0</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18.834</v>
      </c>
      <c r="C32" s="39">
        <f>IF(ISERROR(B32*3.6/1000000/'E Balans VL '!Z8*100),0,B32*3.6/1000000/'E Balans VL '!Z8*100)</f>
        <v>1.5497882040627466E-4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40.795000000000002</v>
      </c>
      <c r="C5" s="17">
        <f>IF(ISERROR('Eigen informatie GS &amp; warmtenet'!B59),0,'Eigen informatie GS &amp; warmtenet'!B59)</f>
        <v>0</v>
      </c>
      <c r="D5" s="30">
        <f>SUM(D6:D15)</f>
        <v>82.164081999999993</v>
      </c>
      <c r="E5" s="17">
        <f>SUM(E6:E15)</f>
        <v>2.252534323855035</v>
      </c>
      <c r="F5" s="17">
        <f>SUM(F6:F15)</f>
        <v>8.0802684847985002</v>
      </c>
      <c r="G5" s="18"/>
      <c r="H5" s="17"/>
      <c r="I5" s="17"/>
      <c r="J5" s="17">
        <f>SUM(J6:J15)</f>
        <v>0.14604532425746533</v>
      </c>
      <c r="K5" s="17"/>
      <c r="L5" s="17"/>
      <c r="M5" s="17"/>
      <c r="N5" s="17">
        <f>SUM(N6:N15)</f>
        <v>9.1509588425037585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40.795000000000002</v>
      </c>
      <c r="C15" s="33"/>
      <c r="D15" s="37">
        <f>IF( ISERROR(IND_rest_gas_kWh/1000),0,IND_rest_gas_kWh/1000)*0.902</f>
        <v>82.164081999999993</v>
      </c>
      <c r="E15" s="33">
        <f>C37*'E Balans VL '!I15/100/3.6*1000000</f>
        <v>2.252534323855035</v>
      </c>
      <c r="F15" s="33">
        <f>C37*'E Balans VL '!L15/100/3.6*1000000+C37*'E Balans VL '!N15/100/3.6*1000000</f>
        <v>8.0802684847985002</v>
      </c>
      <c r="G15" s="34"/>
      <c r="H15" s="33"/>
      <c r="I15" s="33"/>
      <c r="J15" s="40">
        <f>C37*'E Balans VL '!D15/100/3.6*1000000+C37*'E Balans VL '!E15/100/3.6*1000000</f>
        <v>0.14604532425746533</v>
      </c>
      <c r="K15" s="33"/>
      <c r="L15" s="33"/>
      <c r="M15" s="33"/>
      <c r="N15" s="33">
        <f>C37*'E Balans VL '!Y15/100/3.6*1000000</f>
        <v>9.1509588425037585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40.795000000000002</v>
      </c>
      <c r="C18" s="21">
        <f>C5+C16</f>
        <v>0</v>
      </c>
      <c r="D18" s="21">
        <f>MAX((D5+D16),0)</f>
        <v>82.164081999999993</v>
      </c>
      <c r="E18" s="21">
        <f>MAX((E5+E16),0)</f>
        <v>2.252534323855035</v>
      </c>
      <c r="F18" s="21">
        <f>MAX((F5+F16),0)</f>
        <v>8.0802684847985002</v>
      </c>
      <c r="G18" s="21"/>
      <c r="H18" s="21"/>
      <c r="I18" s="21"/>
      <c r="J18" s="21">
        <f>MAX((J5+J16),0)</f>
        <v>0.14604532425746533</v>
      </c>
      <c r="K18" s="21"/>
      <c r="L18" s="21">
        <f>MAX((L5+L16),0)</f>
        <v>0</v>
      </c>
      <c r="M18" s="21"/>
      <c r="N18" s="21">
        <f>MAX((N5+N16),0)</f>
        <v>9.1509588425037585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0.20735958165938692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8.4592341337946895</v>
      </c>
      <c r="C22" s="23">
        <f ca="1">C18*C20</f>
        <v>0</v>
      </c>
      <c r="D22" s="23">
        <f>D18*D20</f>
        <v>16.597144564000001</v>
      </c>
      <c r="E22" s="23">
        <f>E18*E20</f>
        <v>0.51132529151509298</v>
      </c>
      <c r="F22" s="23">
        <f>F18*F20</f>
        <v>2.1574316854411997</v>
      </c>
      <c r="G22" s="23"/>
      <c r="H22" s="23"/>
      <c r="I22" s="23"/>
      <c r="J22" s="23">
        <f>J18*J20</f>
        <v>5.1700044787142727E-2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0</v>
      </c>
      <c r="C31" s="39">
        <f>IF(ISERROR(B31*3.6/1000000/'E Balans VL '!Z19*100),0,B31*3.6/1000000/'E Balans VL '!Z19*100)</f>
        <v>0</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40.795000000000002</v>
      </c>
      <c r="C37" s="39">
        <f>IF(ISERROR(B37*3.6/1000000/'E Balans VL '!Z15*100),0,B37*3.6/1000000/'E Balans VL '!Z15*100)</f>
        <v>3.2335047602484863E-4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200.773</v>
      </c>
      <c r="C5" s="17">
        <f>'Eigen informatie GS &amp; warmtenet'!B60</f>
        <v>0</v>
      </c>
      <c r="D5" s="30">
        <f>IF(ISERROR(SUM(LB_lb_gas_kWh,LB_rest_gas_kWh)/1000),0,SUM(LB_lb_gas_kWh,LB_rest_gas_kWh)/1000)*0.902</f>
        <v>44.391930000000002</v>
      </c>
      <c r="E5" s="17">
        <f>B17*'E Balans VL '!I25/3.6*1000000/100</f>
        <v>5.9013317015220998</v>
      </c>
      <c r="F5" s="17">
        <f>B17*('E Balans VL '!L25/3.6*1000000+'E Balans VL '!N25/3.6*1000000)/100</f>
        <v>836.40946879652927</v>
      </c>
      <c r="G5" s="18"/>
      <c r="H5" s="17"/>
      <c r="I5" s="17"/>
      <c r="J5" s="17">
        <f>('E Balans VL '!D25+'E Balans VL '!E25)/3.6*1000000*landbouw!B17/100</f>
        <v>29.087696050470029</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200.773</v>
      </c>
      <c r="C8" s="21">
        <f>C5+C6</f>
        <v>0</v>
      </c>
      <c r="D8" s="21">
        <f>MAX((D5+D6),0)</f>
        <v>44.391930000000002</v>
      </c>
      <c r="E8" s="21">
        <f>MAX((E5+E6),0)</f>
        <v>5.9013317015220998</v>
      </c>
      <c r="F8" s="21">
        <f>MAX((F5+F6),0)</f>
        <v>836.40946879652927</v>
      </c>
      <c r="G8" s="21"/>
      <c r="H8" s="21"/>
      <c r="I8" s="21"/>
      <c r="J8" s="21">
        <f>MAX((J5+J6),0)</f>
        <v>29.087696050470029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0.20735958165938692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41.632205288500089</v>
      </c>
      <c r="C12" s="23">
        <f ca="1">C8*C10</f>
        <v>0</v>
      </c>
      <c r="D12" s="23">
        <f>D8*D10</f>
        <v>8.9671698600000003</v>
      </c>
      <c r="E12" s="23">
        <f>E8*E10</f>
        <v>1.3396022962455167</v>
      </c>
      <c r="F12" s="23">
        <f>F8*F10</f>
        <v>223.32132816867332</v>
      </c>
      <c r="G12" s="23"/>
      <c r="H12" s="23"/>
      <c r="I12" s="23"/>
      <c r="J12" s="23">
        <f>J8*J10</f>
        <v>10.29704440186639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2.8490318606077321E-2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0.40582756297638944</v>
      </c>
      <c r="C26" s="247">
        <f>B26*'GWP N2O_CH4'!B5</f>
        <v>8.5223788225041783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2.3253797856975355E-2</v>
      </c>
      <c r="C27" s="247">
        <f>B27*'GWP N2O_CH4'!B5</f>
        <v>0.48832975499648246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4.9117956178921611E-3</v>
      </c>
      <c r="C28" s="247">
        <f>B28*'GWP N2O_CH4'!B4</f>
        <v>1.5226566415465699</v>
      </c>
      <c r="D28" s="50"/>
    </row>
    <row r="29" spans="1:4">
      <c r="A29" s="41" t="s">
        <v>277</v>
      </c>
      <c r="B29" s="247">
        <f>B34*'ha_N2O bodem landbouw'!B4</f>
        <v>0.75472388466223306</v>
      </c>
      <c r="C29" s="247">
        <f>B29*'GWP N2O_CH4'!B4</f>
        <v>233.96440424529226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1.7222538958570885E-4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5.2070159165860807E-6</v>
      </c>
      <c r="C5" s="463" t="s">
        <v>211</v>
      </c>
      <c r="D5" s="448">
        <f>SUM(D6:D11)</f>
        <v>1.7579482556045594E-5</v>
      </c>
      <c r="E5" s="448">
        <f>SUM(E6:E11)</f>
        <v>2.3563636871818457E-5</v>
      </c>
      <c r="F5" s="461" t="s">
        <v>211</v>
      </c>
      <c r="G5" s="448">
        <f>SUM(G6:G11)</f>
        <v>7.6882669948979835E-3</v>
      </c>
      <c r="H5" s="448">
        <f>SUM(H6:H11)</f>
        <v>1.9855924774723386E-3</v>
      </c>
      <c r="I5" s="463" t="s">
        <v>211</v>
      </c>
      <c r="J5" s="463" t="s">
        <v>211</v>
      </c>
      <c r="K5" s="463" t="s">
        <v>211</v>
      </c>
      <c r="L5" s="463" t="s">
        <v>211</v>
      </c>
      <c r="M5" s="448">
        <f>SUM(M6:M11)</f>
        <v>5.0776260111294613E-4</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4.366497305811169E-6</v>
      </c>
      <c r="C6" s="449"/>
      <c r="D6" s="892">
        <f>vkm_2011_GW_PW*SUMIFS(TableVerdeelsleutelVkm[CNG],TableVerdeelsleutelVkm[Voertuigtype],"Lichte voertuigen")*SUMIFS(TableECFTransport[EnergieConsumptieFactor (PJ per km)],TableECFTransport[Index],CONCATENATE($A6,"_CNG_CNG"))</f>
        <v>1.3096985775941075E-5</v>
      </c>
      <c r="E6" s="892">
        <f>vkm_2011_GW_PW*SUMIFS(TableVerdeelsleutelVkm[LPG],TableVerdeelsleutelVkm[Voertuigtype],"Lichte voertuigen")*SUMIFS(TableECFTransport[EnergieConsumptieFactor (PJ per km)],TableECFTransport[Index],CONCATENATE($A6,"_LPG_LPG"))</f>
        <v>1.7892363859228044E-5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4.6261450952889745E-3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1.4896314310775148E-3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3.1422411026624535E-4</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1.6278885314196451E-3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4.9614734551366991E-7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9.5128313592003833E-5</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8.405186107749118E-7</v>
      </c>
      <c r="C8" s="449"/>
      <c r="D8" s="451">
        <f>vkm_2011_NGW_PW*SUMIFS(TableVerdeelsleutelVkm[CNG],TableVerdeelsleutelVkm[Voertuigtype],"Lichte voertuigen")*SUMIFS(TableECFTransport[EnergieConsumptieFactor (PJ per km)],TableECFTransport[Index],CONCATENATE($A8,"_CNG_CNG"))</f>
        <v>4.4824967801045201E-6</v>
      </c>
      <c r="E8" s="451">
        <f>vkm_2011_NGW_PW*SUMIFS(TableVerdeelsleutelVkm[LPG],TableVerdeelsleutelVkm[Voertuigtype],"Lichte voertuigen")*SUMIFS(TableECFTransport[EnergieConsumptieFactor (PJ per km)],TableECFTransport[Index],CONCATENATE($A8,"_LPG_LPG"))</f>
        <v>5.6712730125904118E-6</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1.3664655520389333E-3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4.9544545485506741E-4</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9.4450090399261527E-5</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6.7767816150429632E-5</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1.9444194242938596E-8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3.9600868554353646E-6</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1.4463933101628001</v>
      </c>
      <c r="C14" s="21"/>
      <c r="D14" s="21">
        <f t="shared" ref="D14:M14" si="0">((D5)*10^9/3600)+D12</f>
        <v>4.8831895989015539</v>
      </c>
      <c r="E14" s="21">
        <f t="shared" si="0"/>
        <v>6.545454686616238</v>
      </c>
      <c r="F14" s="21"/>
      <c r="G14" s="21">
        <f t="shared" si="0"/>
        <v>2135.6297208049955</v>
      </c>
      <c r="H14" s="21">
        <f t="shared" si="0"/>
        <v>551.55346596453853</v>
      </c>
      <c r="I14" s="21"/>
      <c r="J14" s="21"/>
      <c r="K14" s="21"/>
      <c r="L14" s="21"/>
      <c r="M14" s="21">
        <f t="shared" si="0"/>
        <v>141.04516697581838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0.20735958165938692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0.29992351171029413</v>
      </c>
      <c r="C18" s="23"/>
      <c r="D18" s="23">
        <f t="shared" ref="D18:M18" si="1">D14*D16</f>
        <v>0.98640429897811399</v>
      </c>
      <c r="E18" s="23">
        <f t="shared" si="1"/>
        <v>1.4858182138618861</v>
      </c>
      <c r="F18" s="23"/>
      <c r="G18" s="23">
        <f t="shared" si="1"/>
        <v>570.21313545493388</v>
      </c>
      <c r="H18" s="23">
        <f t="shared" si="1"/>
        <v>137.3368130251701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5.2200011823722436E-5</v>
      </c>
      <c r="H50" s="321">
        <f t="shared" si="2"/>
        <v>0</v>
      </c>
      <c r="I50" s="321">
        <f t="shared" si="2"/>
        <v>0</v>
      </c>
      <c r="J50" s="321">
        <f t="shared" si="2"/>
        <v>0</v>
      </c>
      <c r="K50" s="321">
        <f t="shared" si="2"/>
        <v>0</v>
      </c>
      <c r="L50" s="321">
        <f t="shared" si="2"/>
        <v>0</v>
      </c>
      <c r="M50" s="321">
        <f t="shared" si="2"/>
        <v>2.9647302306479632E-6</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5.2200011823722436E-5</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2.9647302306479632E-6</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14.500003284367343</v>
      </c>
      <c r="H54" s="21">
        <f t="shared" si="3"/>
        <v>0</v>
      </c>
      <c r="I54" s="21">
        <f t="shared" si="3"/>
        <v>0</v>
      </c>
      <c r="J54" s="21">
        <f t="shared" si="3"/>
        <v>0</v>
      </c>
      <c r="K54" s="21">
        <f t="shared" si="3"/>
        <v>0</v>
      </c>
      <c r="L54" s="21">
        <f t="shared" si="3"/>
        <v>0</v>
      </c>
      <c r="M54" s="21">
        <f t="shared" si="3"/>
        <v>0.82353617517998978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0.20735958165938692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3.8715008769260808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29.640999999999998</v>
      </c>
      <c r="D10" s="1013">
        <f ca="1">tertiair!C16</f>
        <v>0</v>
      </c>
      <c r="E10" s="1013">
        <f ca="1">tertiair!D16</f>
        <v>9.5864560000000001</v>
      </c>
      <c r="F10" s="1013">
        <f>tertiair!E16</f>
        <v>0.23388027982865836</v>
      </c>
      <c r="G10" s="1013">
        <f ca="1">tertiair!F16</f>
        <v>3.2568637485594518</v>
      </c>
      <c r="H10" s="1013">
        <f>tertiair!G16</f>
        <v>0</v>
      </c>
      <c r="I10" s="1013">
        <f>tertiair!H16</f>
        <v>0</v>
      </c>
      <c r="J10" s="1013">
        <f>tertiair!I16</f>
        <v>0</v>
      </c>
      <c r="K10" s="1013">
        <f>tertiair!J16</f>
        <v>4.560700630458252E-5</v>
      </c>
      <c r="L10" s="1013">
        <f>tertiair!K16</f>
        <v>0</v>
      </c>
      <c r="M10" s="1013">
        <f ca="1">tertiair!L16</f>
        <v>0</v>
      </c>
      <c r="N10" s="1013">
        <f>tertiair!M16</f>
        <v>0</v>
      </c>
      <c r="O10" s="1013">
        <f ca="1">tertiair!N16</f>
        <v>1.8237085487776969</v>
      </c>
      <c r="P10" s="1013">
        <f>tertiair!O16</f>
        <v>0</v>
      </c>
      <c r="Q10" s="1014">
        <f>tertiair!P16</f>
        <v>0</v>
      </c>
      <c r="R10" s="700">
        <f ca="1">SUM(C10:Q10)</f>
        <v>44.541954184172113</v>
      </c>
      <c r="S10" s="67"/>
    </row>
    <row r="11" spans="1:19" s="473" customFormat="1">
      <c r="A11" s="809" t="s">
        <v>225</v>
      </c>
      <c r="B11" s="814"/>
      <c r="C11" s="1013">
        <f>huishoudens!B8</f>
        <v>140.20947618009563</v>
      </c>
      <c r="D11" s="1013">
        <f>huishoudens!C8</f>
        <v>0</v>
      </c>
      <c r="E11" s="1013">
        <f>huishoudens!D8</f>
        <v>227.77123600000002</v>
      </c>
      <c r="F11" s="1013">
        <f>huishoudens!E8</f>
        <v>0</v>
      </c>
      <c r="G11" s="1013">
        <f>huishoudens!F8</f>
        <v>383.14664229410738</v>
      </c>
      <c r="H11" s="1013">
        <f>huishoudens!G8</f>
        <v>0</v>
      </c>
      <c r="I11" s="1013">
        <f>huishoudens!H8</f>
        <v>0</v>
      </c>
      <c r="J11" s="1013">
        <f>huishoudens!I8</f>
        <v>0</v>
      </c>
      <c r="K11" s="1013">
        <f>huishoudens!J8</f>
        <v>77.572719328593166</v>
      </c>
      <c r="L11" s="1013">
        <f>huishoudens!K8</f>
        <v>0</v>
      </c>
      <c r="M11" s="1013">
        <f>huishoudens!L8</f>
        <v>0</v>
      </c>
      <c r="N11" s="1013">
        <f>huishoudens!M8</f>
        <v>0</v>
      </c>
      <c r="O11" s="1013">
        <f>huishoudens!N8</f>
        <v>0</v>
      </c>
      <c r="P11" s="1013">
        <f>huishoudens!O8</f>
        <v>1.5633333333333335</v>
      </c>
      <c r="Q11" s="1014">
        <f>huishoudens!P8</f>
        <v>0</v>
      </c>
      <c r="R11" s="700">
        <f>SUM(C11:Q11)</f>
        <v>830.26340713612956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40.795000000000002</v>
      </c>
      <c r="D13" s="1013">
        <f>industrie!C18</f>
        <v>0</v>
      </c>
      <c r="E13" s="1013">
        <f>industrie!D18</f>
        <v>82.164081999999993</v>
      </c>
      <c r="F13" s="1013">
        <f>industrie!E18</f>
        <v>2.252534323855035</v>
      </c>
      <c r="G13" s="1013">
        <f>industrie!F18</f>
        <v>8.0802684847985002</v>
      </c>
      <c r="H13" s="1013">
        <f>industrie!G18</f>
        <v>0</v>
      </c>
      <c r="I13" s="1013">
        <f>industrie!H18</f>
        <v>0</v>
      </c>
      <c r="J13" s="1013">
        <f>industrie!I18</f>
        <v>0</v>
      </c>
      <c r="K13" s="1013">
        <f>industrie!J18</f>
        <v>0.14604532425746533</v>
      </c>
      <c r="L13" s="1013">
        <f>industrie!K18</f>
        <v>0</v>
      </c>
      <c r="M13" s="1013">
        <f>industrie!L18</f>
        <v>0</v>
      </c>
      <c r="N13" s="1013">
        <f>industrie!M18</f>
        <v>0</v>
      </c>
      <c r="O13" s="1013">
        <f>industrie!N18</f>
        <v>9.1509588425037585</v>
      </c>
      <c r="P13" s="1013">
        <f>industrie!O18</f>
        <v>0</v>
      </c>
      <c r="Q13" s="1014">
        <f>industrie!P18</f>
        <v>0</v>
      </c>
      <c r="R13" s="700">
        <f>SUM(C13:Q13)</f>
        <v>142.58888897541476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210.64547618009561</v>
      </c>
      <c r="D16" s="732">
        <f t="shared" ref="D16:R16" ca="1" si="0">SUM(D9:D15)</f>
        <v>0</v>
      </c>
      <c r="E16" s="732">
        <f t="shared" ca="1" si="0"/>
        <v>319.52177399999999</v>
      </c>
      <c r="F16" s="732">
        <f t="shared" si="0"/>
        <v>2.4864146036836936</v>
      </c>
      <c r="G16" s="732">
        <f t="shared" ca="1" si="0"/>
        <v>394.48377452746536</v>
      </c>
      <c r="H16" s="732">
        <f t="shared" si="0"/>
        <v>0</v>
      </c>
      <c r="I16" s="732">
        <f t="shared" si="0"/>
        <v>0</v>
      </c>
      <c r="J16" s="732">
        <f t="shared" si="0"/>
        <v>0</v>
      </c>
      <c r="K16" s="732">
        <f t="shared" si="0"/>
        <v>77.718810259856937</v>
      </c>
      <c r="L16" s="732">
        <f t="shared" si="0"/>
        <v>0</v>
      </c>
      <c r="M16" s="732">
        <f t="shared" ca="1" si="0"/>
        <v>0</v>
      </c>
      <c r="N16" s="732">
        <f t="shared" si="0"/>
        <v>0</v>
      </c>
      <c r="O16" s="732">
        <f t="shared" ca="1" si="0"/>
        <v>10.974667391281455</v>
      </c>
      <c r="P16" s="732">
        <f t="shared" si="0"/>
        <v>1.5633333333333335</v>
      </c>
      <c r="Q16" s="732">
        <f t="shared" si="0"/>
        <v>0</v>
      </c>
      <c r="R16" s="732">
        <f t="shared" ca="1" si="0"/>
        <v>1017.3942502957165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14.500003284367343</v>
      </c>
      <c r="I19" s="1013">
        <f>transport!H54</f>
        <v>0</v>
      </c>
      <c r="J19" s="1013">
        <f>transport!I54</f>
        <v>0</v>
      </c>
      <c r="K19" s="1013">
        <f>transport!J54</f>
        <v>0</v>
      </c>
      <c r="L19" s="1013">
        <f>transport!K54</f>
        <v>0</v>
      </c>
      <c r="M19" s="1013">
        <f>transport!L54</f>
        <v>0</v>
      </c>
      <c r="N19" s="1013">
        <f>transport!M54</f>
        <v>0.82353617517998978</v>
      </c>
      <c r="O19" s="1013">
        <f>transport!N54</f>
        <v>0</v>
      </c>
      <c r="P19" s="1013">
        <f>transport!O54</f>
        <v>0</v>
      </c>
      <c r="Q19" s="1014">
        <f>transport!P54</f>
        <v>0</v>
      </c>
      <c r="R19" s="700">
        <f>SUM(C19:Q19)</f>
        <v>15.323539459547334</v>
      </c>
      <c r="S19" s="67"/>
    </row>
    <row r="20" spans="1:19" s="473" customFormat="1">
      <c r="A20" s="809" t="s">
        <v>307</v>
      </c>
      <c r="B20" s="814"/>
      <c r="C20" s="1013">
        <f>transport!B14</f>
        <v>1.4463933101628001</v>
      </c>
      <c r="D20" s="1013">
        <f>transport!C14</f>
        <v>0</v>
      </c>
      <c r="E20" s="1013">
        <f>transport!D14</f>
        <v>4.8831895989015539</v>
      </c>
      <c r="F20" s="1013">
        <f>transport!E14</f>
        <v>6.545454686616238</v>
      </c>
      <c r="G20" s="1013">
        <f>transport!F14</f>
        <v>0</v>
      </c>
      <c r="H20" s="1013">
        <f>transport!G14</f>
        <v>2135.6297208049955</v>
      </c>
      <c r="I20" s="1013">
        <f>transport!H14</f>
        <v>551.55346596453853</v>
      </c>
      <c r="J20" s="1013">
        <f>transport!I14</f>
        <v>0</v>
      </c>
      <c r="K20" s="1013">
        <f>transport!J14</f>
        <v>0</v>
      </c>
      <c r="L20" s="1013">
        <f>transport!K14</f>
        <v>0</v>
      </c>
      <c r="M20" s="1013">
        <f>transport!L14</f>
        <v>0</v>
      </c>
      <c r="N20" s="1013">
        <f>transport!M14</f>
        <v>141.04516697581838</v>
      </c>
      <c r="O20" s="1013">
        <f>transport!N14</f>
        <v>0</v>
      </c>
      <c r="P20" s="1013">
        <f>transport!O14</f>
        <v>0</v>
      </c>
      <c r="Q20" s="1014">
        <f>transport!P14</f>
        <v>0</v>
      </c>
      <c r="R20" s="700">
        <f>SUM(C20:Q20)</f>
        <v>2841.1033913410333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1.4463933101628001</v>
      </c>
      <c r="D22" s="812">
        <f t="shared" ref="D22:R22" si="1">SUM(D18:D21)</f>
        <v>0</v>
      </c>
      <c r="E22" s="812">
        <f t="shared" si="1"/>
        <v>4.8831895989015539</v>
      </c>
      <c r="F22" s="812">
        <f t="shared" si="1"/>
        <v>6.545454686616238</v>
      </c>
      <c r="G22" s="812">
        <f t="shared" si="1"/>
        <v>0</v>
      </c>
      <c r="H22" s="812">
        <f t="shared" si="1"/>
        <v>2150.1297240893628</v>
      </c>
      <c r="I22" s="812">
        <f t="shared" si="1"/>
        <v>551.55346596453853</v>
      </c>
      <c r="J22" s="812">
        <f t="shared" si="1"/>
        <v>0</v>
      </c>
      <c r="K22" s="812">
        <f t="shared" si="1"/>
        <v>0</v>
      </c>
      <c r="L22" s="812">
        <f t="shared" si="1"/>
        <v>0</v>
      </c>
      <c r="M22" s="812">
        <f t="shared" si="1"/>
        <v>0</v>
      </c>
      <c r="N22" s="812">
        <f t="shared" si="1"/>
        <v>141.86870315099836</v>
      </c>
      <c r="O22" s="812">
        <f t="shared" si="1"/>
        <v>0</v>
      </c>
      <c r="P22" s="812">
        <f t="shared" si="1"/>
        <v>0</v>
      </c>
      <c r="Q22" s="812">
        <f t="shared" si="1"/>
        <v>0</v>
      </c>
      <c r="R22" s="812">
        <f t="shared" si="1"/>
        <v>2856.4269308005805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200.773</v>
      </c>
      <c r="D24" s="1013">
        <f>+landbouw!C8</f>
        <v>0</v>
      </c>
      <c r="E24" s="1013">
        <f>+landbouw!D8</f>
        <v>44.391930000000002</v>
      </c>
      <c r="F24" s="1013">
        <f>+landbouw!E8</f>
        <v>5.9013317015220998</v>
      </c>
      <c r="G24" s="1013">
        <f>+landbouw!F8</f>
        <v>836.40946879652927</v>
      </c>
      <c r="H24" s="1013">
        <f>+landbouw!G8</f>
        <v>0</v>
      </c>
      <c r="I24" s="1013">
        <f>+landbouw!H8</f>
        <v>0</v>
      </c>
      <c r="J24" s="1013">
        <f>+landbouw!I8</f>
        <v>0</v>
      </c>
      <c r="K24" s="1013">
        <f>+landbouw!J8</f>
        <v>29.087696050470029</v>
      </c>
      <c r="L24" s="1013">
        <f>+landbouw!K8</f>
        <v>0</v>
      </c>
      <c r="M24" s="1013">
        <f>+landbouw!L8</f>
        <v>0</v>
      </c>
      <c r="N24" s="1013">
        <f>+landbouw!M8</f>
        <v>0</v>
      </c>
      <c r="O24" s="1013">
        <f>+landbouw!N8</f>
        <v>0</v>
      </c>
      <c r="P24" s="1013">
        <f>+landbouw!O8</f>
        <v>0</v>
      </c>
      <c r="Q24" s="1014">
        <f>+landbouw!P8</f>
        <v>0</v>
      </c>
      <c r="R24" s="700">
        <f>SUM(C24:Q24)</f>
        <v>1116.5634265485214</v>
      </c>
      <c r="S24" s="67"/>
    </row>
    <row r="25" spans="1:19" s="473" customFormat="1" ht="15" thickBot="1">
      <c r="A25" s="831" t="s">
        <v>836</v>
      </c>
      <c r="B25" s="1016"/>
      <c r="C25" s="1017">
        <f>IF(Onbekend_ele_kWh="---",0,Onbekend_ele_kWh)/1000+IF(REST_rest_ele_kWh="---",0,REST_rest_ele_kWh)/1000</f>
        <v>23.085999999999999</v>
      </c>
      <c r="D25" s="1017"/>
      <c r="E25" s="1017">
        <f>IF(onbekend_gas_kWh="---",0,onbekend_gas_kWh)/1000+IF(REST_rest_gas_kWh="---",0,REST_rest_gas_kWh)/1000</f>
        <v>56.908999999999999</v>
      </c>
      <c r="F25" s="1017"/>
      <c r="G25" s="1017"/>
      <c r="H25" s="1017"/>
      <c r="I25" s="1017"/>
      <c r="J25" s="1017"/>
      <c r="K25" s="1017"/>
      <c r="L25" s="1017"/>
      <c r="M25" s="1017"/>
      <c r="N25" s="1017"/>
      <c r="O25" s="1017"/>
      <c r="P25" s="1017"/>
      <c r="Q25" s="1018"/>
      <c r="R25" s="700">
        <f>SUM(C25:Q25)</f>
        <v>79.995000000000005</v>
      </c>
      <c r="S25" s="67"/>
    </row>
    <row r="26" spans="1:19" s="473" customFormat="1" ht="15.75" thickBot="1">
      <c r="A26" s="705" t="s">
        <v>837</v>
      </c>
      <c r="B26" s="817"/>
      <c r="C26" s="812">
        <f>SUM(C24:C25)</f>
        <v>223.85899999999998</v>
      </c>
      <c r="D26" s="812">
        <f t="shared" ref="D26:R26" si="2">SUM(D24:D25)</f>
        <v>0</v>
      </c>
      <c r="E26" s="812">
        <f t="shared" si="2"/>
        <v>101.30092999999999</v>
      </c>
      <c r="F26" s="812">
        <f t="shared" si="2"/>
        <v>5.9013317015220998</v>
      </c>
      <c r="G26" s="812">
        <f t="shared" si="2"/>
        <v>836.40946879652927</v>
      </c>
      <c r="H26" s="812">
        <f t="shared" si="2"/>
        <v>0</v>
      </c>
      <c r="I26" s="812">
        <f t="shared" si="2"/>
        <v>0</v>
      </c>
      <c r="J26" s="812">
        <f t="shared" si="2"/>
        <v>0</v>
      </c>
      <c r="K26" s="812">
        <f t="shared" si="2"/>
        <v>29.087696050470029</v>
      </c>
      <c r="L26" s="812">
        <f t="shared" si="2"/>
        <v>0</v>
      </c>
      <c r="M26" s="812">
        <f t="shared" si="2"/>
        <v>0</v>
      </c>
      <c r="N26" s="812">
        <f t="shared" si="2"/>
        <v>0</v>
      </c>
      <c r="O26" s="812">
        <f t="shared" si="2"/>
        <v>0</v>
      </c>
      <c r="P26" s="812">
        <f t="shared" si="2"/>
        <v>0</v>
      </c>
      <c r="Q26" s="812">
        <f t="shared" si="2"/>
        <v>0</v>
      </c>
      <c r="R26" s="812">
        <f t="shared" si="2"/>
        <v>1196.5584265485213</v>
      </c>
      <c r="S26" s="67"/>
    </row>
    <row r="27" spans="1:19" s="473" customFormat="1" ht="17.25" thickTop="1" thickBot="1">
      <c r="A27" s="706" t="s">
        <v>116</v>
      </c>
      <c r="B27" s="805"/>
      <c r="C27" s="707">
        <f ca="1">C22+C16+C26</f>
        <v>435.95086949025836</v>
      </c>
      <c r="D27" s="707">
        <f t="shared" ref="D27:R27" ca="1" si="3">D22+D16+D26</f>
        <v>0</v>
      </c>
      <c r="E27" s="707">
        <f t="shared" ca="1" si="3"/>
        <v>425.70589359890153</v>
      </c>
      <c r="F27" s="707">
        <f t="shared" si="3"/>
        <v>14.933200991822032</v>
      </c>
      <c r="G27" s="707">
        <f t="shared" ca="1" si="3"/>
        <v>1230.8932433239947</v>
      </c>
      <c r="H27" s="707">
        <f t="shared" si="3"/>
        <v>2150.1297240893628</v>
      </c>
      <c r="I27" s="707">
        <f t="shared" si="3"/>
        <v>551.55346596453853</v>
      </c>
      <c r="J27" s="707">
        <f t="shared" si="3"/>
        <v>0</v>
      </c>
      <c r="K27" s="707">
        <f t="shared" si="3"/>
        <v>106.80650631032697</v>
      </c>
      <c r="L27" s="707">
        <f t="shared" si="3"/>
        <v>0</v>
      </c>
      <c r="M27" s="707">
        <f t="shared" ca="1" si="3"/>
        <v>0</v>
      </c>
      <c r="N27" s="707">
        <f t="shared" si="3"/>
        <v>141.86870315099836</v>
      </c>
      <c r="O27" s="707">
        <f t="shared" ca="1" si="3"/>
        <v>10.974667391281455</v>
      </c>
      <c r="P27" s="707">
        <f t="shared" si="3"/>
        <v>1.5633333333333335</v>
      </c>
      <c r="Q27" s="707">
        <f t="shared" si="3"/>
        <v>0</v>
      </c>
      <c r="R27" s="707">
        <f t="shared" ca="1" si="3"/>
        <v>5070.379607644818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6.1463453599658884</v>
      </c>
      <c r="D40" s="1013">
        <f ca="1">tertiair!C20</f>
        <v>0</v>
      </c>
      <c r="E40" s="1013">
        <f ca="1">tertiair!D20</f>
        <v>1.9364641120000001</v>
      </c>
      <c r="F40" s="1013">
        <f>tertiair!E20</f>
        <v>5.3090823521105453E-2</v>
      </c>
      <c r="G40" s="1013">
        <f ca="1">tertiair!F20</f>
        <v>0.86958262086537363</v>
      </c>
      <c r="H40" s="1013">
        <f>tertiair!G20</f>
        <v>0</v>
      </c>
      <c r="I40" s="1013">
        <f>tertiair!H20</f>
        <v>0</v>
      </c>
      <c r="J40" s="1013">
        <f>tertiair!I20</f>
        <v>0</v>
      </c>
      <c r="K40" s="1013">
        <f>tertiair!J20</f>
        <v>1.6144880231822212E-5</v>
      </c>
      <c r="L40" s="1013">
        <f>tertiair!K20</f>
        <v>0</v>
      </c>
      <c r="M40" s="1013">
        <f ca="1">tertiair!L20</f>
        <v>0</v>
      </c>
      <c r="N40" s="1013">
        <f>tertiair!M20</f>
        <v>0</v>
      </c>
      <c r="O40" s="1013">
        <f ca="1">tertiair!N20</f>
        <v>0</v>
      </c>
      <c r="P40" s="1013">
        <f>tertiair!O20</f>
        <v>0</v>
      </c>
      <c r="Q40" s="774">
        <f>tertiair!P20</f>
        <v>0</v>
      </c>
      <c r="R40" s="850">
        <f t="shared" ca="1" si="4"/>
        <v>9.005499061232598</v>
      </c>
    </row>
    <row r="41" spans="1:18">
      <c r="A41" s="822" t="s">
        <v>225</v>
      </c>
      <c r="B41" s="829"/>
      <c r="C41" s="1013">
        <f ca="1">huishoudens!B12</f>
        <v>29.073778325386407</v>
      </c>
      <c r="D41" s="1013">
        <f ca="1">huishoudens!C12</f>
        <v>0</v>
      </c>
      <c r="E41" s="1013">
        <f>huishoudens!D12</f>
        <v>46.009789672000004</v>
      </c>
      <c r="F41" s="1013">
        <f>huishoudens!E12</f>
        <v>0</v>
      </c>
      <c r="G41" s="1013">
        <f>huishoudens!F12</f>
        <v>102.30015349252668</v>
      </c>
      <c r="H41" s="1013">
        <f>huishoudens!G12</f>
        <v>0</v>
      </c>
      <c r="I41" s="1013">
        <f>huishoudens!H12</f>
        <v>0</v>
      </c>
      <c r="J41" s="1013">
        <f>huishoudens!I12</f>
        <v>0</v>
      </c>
      <c r="K41" s="1013">
        <f>huishoudens!J12</f>
        <v>27.460742642321978</v>
      </c>
      <c r="L41" s="1013">
        <f>huishoudens!K12</f>
        <v>0</v>
      </c>
      <c r="M41" s="1013">
        <f>huishoudens!L12</f>
        <v>0</v>
      </c>
      <c r="N41" s="1013">
        <f>huishoudens!M12</f>
        <v>0</v>
      </c>
      <c r="O41" s="1013">
        <f>huishoudens!N12</f>
        <v>0</v>
      </c>
      <c r="P41" s="1013">
        <f>huishoudens!O12</f>
        <v>0</v>
      </c>
      <c r="Q41" s="774">
        <f>huishoudens!P12</f>
        <v>0</v>
      </c>
      <c r="R41" s="850">
        <f t="shared" ca="1" si="4"/>
        <v>204.84446413223506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8.4592341337946895</v>
      </c>
      <c r="D43" s="1013">
        <f ca="1">industrie!C22</f>
        <v>0</v>
      </c>
      <c r="E43" s="1013">
        <f>industrie!D22</f>
        <v>16.597144564000001</v>
      </c>
      <c r="F43" s="1013">
        <f>industrie!E22</f>
        <v>0.51132529151509298</v>
      </c>
      <c r="G43" s="1013">
        <f>industrie!F22</f>
        <v>2.1574316854411997</v>
      </c>
      <c r="H43" s="1013">
        <f>industrie!G22</f>
        <v>0</v>
      </c>
      <c r="I43" s="1013">
        <f>industrie!H22</f>
        <v>0</v>
      </c>
      <c r="J43" s="1013">
        <f>industrie!I22</f>
        <v>0</v>
      </c>
      <c r="K43" s="1013">
        <f>industrie!J22</f>
        <v>5.1700044787142727E-2</v>
      </c>
      <c r="L43" s="1013">
        <f>industrie!K22</f>
        <v>0</v>
      </c>
      <c r="M43" s="1013">
        <f>industrie!L22</f>
        <v>0</v>
      </c>
      <c r="N43" s="1013">
        <f>industrie!M22</f>
        <v>0</v>
      </c>
      <c r="O43" s="1013">
        <f>industrie!N22</f>
        <v>0</v>
      </c>
      <c r="P43" s="1013">
        <f>industrie!O22</f>
        <v>0</v>
      </c>
      <c r="Q43" s="774">
        <f>industrie!P22</f>
        <v>0</v>
      </c>
      <c r="R43" s="849">
        <f t="shared" ca="1" si="4"/>
        <v>27.776835719538127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43.679357819146979</v>
      </c>
      <c r="D46" s="732">
        <f t="shared" ref="D46:Q46" ca="1" si="5">SUM(D39:D45)</f>
        <v>0</v>
      </c>
      <c r="E46" s="732">
        <f t="shared" ca="1" si="5"/>
        <v>64.543398348000011</v>
      </c>
      <c r="F46" s="732">
        <f t="shared" si="5"/>
        <v>0.56441611503619848</v>
      </c>
      <c r="G46" s="732">
        <f t="shared" ca="1" si="5"/>
        <v>105.32716779883324</v>
      </c>
      <c r="H46" s="732">
        <f t="shared" si="5"/>
        <v>0</v>
      </c>
      <c r="I46" s="732">
        <f t="shared" si="5"/>
        <v>0</v>
      </c>
      <c r="J46" s="732">
        <f t="shared" si="5"/>
        <v>0</v>
      </c>
      <c r="K46" s="732">
        <f t="shared" si="5"/>
        <v>27.512458831989353</v>
      </c>
      <c r="L46" s="732">
        <f t="shared" si="5"/>
        <v>0</v>
      </c>
      <c r="M46" s="732">
        <f t="shared" ca="1" si="5"/>
        <v>0</v>
      </c>
      <c r="N46" s="732">
        <f t="shared" si="5"/>
        <v>0</v>
      </c>
      <c r="O46" s="732">
        <f t="shared" ca="1" si="5"/>
        <v>0</v>
      </c>
      <c r="P46" s="732">
        <f t="shared" si="5"/>
        <v>0</v>
      </c>
      <c r="Q46" s="732">
        <f t="shared" si="5"/>
        <v>0</v>
      </c>
      <c r="R46" s="732">
        <f ca="1">SUM(R39:R45)</f>
        <v>241.62679891300579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3.8715008769260808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3.8715008769260808</v>
      </c>
    </row>
    <row r="50" spans="1:18">
      <c r="A50" s="825" t="s">
        <v>307</v>
      </c>
      <c r="B50" s="835"/>
      <c r="C50" s="703">
        <f ca="1">transport!B18</f>
        <v>0.29992351171029413</v>
      </c>
      <c r="D50" s="703">
        <f>transport!C18</f>
        <v>0</v>
      </c>
      <c r="E50" s="703">
        <f>transport!D18</f>
        <v>0.98640429897811399</v>
      </c>
      <c r="F50" s="703">
        <f>transport!E18</f>
        <v>1.4858182138618861</v>
      </c>
      <c r="G50" s="703">
        <f>transport!F18</f>
        <v>0</v>
      </c>
      <c r="H50" s="703">
        <f>transport!G18</f>
        <v>570.21313545493388</v>
      </c>
      <c r="I50" s="703">
        <f>transport!H18</f>
        <v>137.3368130251701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710.32209450465416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0.29992351171029413</v>
      </c>
      <c r="D52" s="732">
        <f t="shared" ref="D52:Q52" ca="1" si="6">SUM(D48:D51)</f>
        <v>0</v>
      </c>
      <c r="E52" s="732">
        <f t="shared" si="6"/>
        <v>0.98640429897811399</v>
      </c>
      <c r="F52" s="732">
        <f t="shared" si="6"/>
        <v>1.4858182138618861</v>
      </c>
      <c r="G52" s="732">
        <f t="shared" si="6"/>
        <v>0</v>
      </c>
      <c r="H52" s="732">
        <f t="shared" si="6"/>
        <v>574.08463633186</v>
      </c>
      <c r="I52" s="732">
        <f t="shared" si="6"/>
        <v>137.3368130251701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714.19359538158028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41.632205288500089</v>
      </c>
      <c r="D54" s="703">
        <f ca="1">+landbouw!C12</f>
        <v>0</v>
      </c>
      <c r="E54" s="703">
        <f>+landbouw!D12</f>
        <v>8.9671698600000003</v>
      </c>
      <c r="F54" s="703">
        <f>+landbouw!E12</f>
        <v>1.3396022962455167</v>
      </c>
      <c r="G54" s="703">
        <f>+landbouw!F12</f>
        <v>223.32132816867332</v>
      </c>
      <c r="H54" s="703">
        <f>+landbouw!G12</f>
        <v>0</v>
      </c>
      <c r="I54" s="703">
        <f>+landbouw!H12</f>
        <v>0</v>
      </c>
      <c r="J54" s="703">
        <f>+landbouw!I12</f>
        <v>0</v>
      </c>
      <c r="K54" s="703">
        <f>+landbouw!J12</f>
        <v>10.29704440186639</v>
      </c>
      <c r="L54" s="703">
        <f>+landbouw!K12</f>
        <v>0</v>
      </c>
      <c r="M54" s="703">
        <f>+landbouw!L12</f>
        <v>0</v>
      </c>
      <c r="N54" s="703">
        <f>+landbouw!M12</f>
        <v>0</v>
      </c>
      <c r="O54" s="703">
        <f>+landbouw!N12</f>
        <v>0</v>
      </c>
      <c r="P54" s="703">
        <f>+landbouw!O12</f>
        <v>0</v>
      </c>
      <c r="Q54" s="704">
        <f>+landbouw!P12</f>
        <v>0</v>
      </c>
      <c r="R54" s="731">
        <f ca="1">SUM(C54:Q54)</f>
        <v>285.55735001528535</v>
      </c>
    </row>
    <row r="55" spans="1:18" ht="15" thickBot="1">
      <c r="A55" s="825" t="s">
        <v>836</v>
      </c>
      <c r="B55" s="835"/>
      <c r="C55" s="703">
        <f ca="1">C25*'EF ele_warmte'!B12</f>
        <v>4.7871033021886058</v>
      </c>
      <c r="D55" s="703"/>
      <c r="E55" s="703">
        <f>E25*EF_CO2_aardgas</f>
        <v>11.495618</v>
      </c>
      <c r="F55" s="703"/>
      <c r="G55" s="703"/>
      <c r="H55" s="703"/>
      <c r="I55" s="703"/>
      <c r="J55" s="703"/>
      <c r="K55" s="703"/>
      <c r="L55" s="703"/>
      <c r="M55" s="703"/>
      <c r="N55" s="703"/>
      <c r="O55" s="703"/>
      <c r="P55" s="703"/>
      <c r="Q55" s="704"/>
      <c r="R55" s="731">
        <f ca="1">SUM(C55:Q55)</f>
        <v>16.282721302188605</v>
      </c>
    </row>
    <row r="56" spans="1:18" ht="15.75" thickBot="1">
      <c r="A56" s="823" t="s">
        <v>837</v>
      </c>
      <c r="B56" s="836"/>
      <c r="C56" s="732">
        <f ca="1">SUM(C54:C55)</f>
        <v>46.419308590688694</v>
      </c>
      <c r="D56" s="732">
        <f t="shared" ref="D56:Q56" ca="1" si="7">SUM(D54:D55)</f>
        <v>0</v>
      </c>
      <c r="E56" s="732">
        <f t="shared" si="7"/>
        <v>20.462787859999999</v>
      </c>
      <c r="F56" s="732">
        <f t="shared" si="7"/>
        <v>1.3396022962455167</v>
      </c>
      <c r="G56" s="732">
        <f t="shared" si="7"/>
        <v>223.32132816867332</v>
      </c>
      <c r="H56" s="732">
        <f t="shared" si="7"/>
        <v>0</v>
      </c>
      <c r="I56" s="732">
        <f t="shared" si="7"/>
        <v>0</v>
      </c>
      <c r="J56" s="732">
        <f t="shared" si="7"/>
        <v>0</v>
      </c>
      <c r="K56" s="732">
        <f t="shared" si="7"/>
        <v>10.29704440186639</v>
      </c>
      <c r="L56" s="732">
        <f t="shared" si="7"/>
        <v>0</v>
      </c>
      <c r="M56" s="732">
        <f t="shared" si="7"/>
        <v>0</v>
      </c>
      <c r="N56" s="732">
        <f t="shared" si="7"/>
        <v>0</v>
      </c>
      <c r="O56" s="732">
        <f t="shared" si="7"/>
        <v>0</v>
      </c>
      <c r="P56" s="732">
        <f t="shared" si="7"/>
        <v>0</v>
      </c>
      <c r="Q56" s="733">
        <f t="shared" si="7"/>
        <v>0</v>
      </c>
      <c r="R56" s="734">
        <f ca="1">SUM(R54:R55)</f>
        <v>301.84007131747398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90.398589921545977</v>
      </c>
      <c r="D61" s="740">
        <f t="shared" ref="D61:Q61" ca="1" si="8">D46+D52+D56</f>
        <v>0</v>
      </c>
      <c r="E61" s="740">
        <f t="shared" ca="1" si="8"/>
        <v>85.992590506978132</v>
      </c>
      <c r="F61" s="740">
        <f t="shared" si="8"/>
        <v>3.3898366251436012</v>
      </c>
      <c r="G61" s="740">
        <f t="shared" ca="1" si="8"/>
        <v>328.64849596750656</v>
      </c>
      <c r="H61" s="740">
        <f t="shared" si="8"/>
        <v>574.08463633186</v>
      </c>
      <c r="I61" s="740">
        <f t="shared" si="8"/>
        <v>137.3368130251701</v>
      </c>
      <c r="J61" s="740">
        <f t="shared" si="8"/>
        <v>0</v>
      </c>
      <c r="K61" s="740">
        <f t="shared" si="8"/>
        <v>37.809503233855743</v>
      </c>
      <c r="L61" s="740">
        <f t="shared" si="8"/>
        <v>0</v>
      </c>
      <c r="M61" s="740">
        <f t="shared" ca="1" si="8"/>
        <v>0</v>
      </c>
      <c r="N61" s="740">
        <f t="shared" si="8"/>
        <v>0</v>
      </c>
      <c r="O61" s="740">
        <f t="shared" ca="1" si="8"/>
        <v>0</v>
      </c>
      <c r="P61" s="740">
        <f t="shared" si="8"/>
        <v>0</v>
      </c>
      <c r="Q61" s="740">
        <f t="shared" si="8"/>
        <v>0</v>
      </c>
      <c r="R61" s="740">
        <f ca="1">R46+R52+R56</f>
        <v>1257.6604656120601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0.20735958165938698</v>
      </c>
      <c r="D63" s="781">
        <f t="shared" ca="1" si="9"/>
        <v>0</v>
      </c>
      <c r="E63" s="1024">
        <f t="shared" ca="1" si="9"/>
        <v>0.20200000000000007</v>
      </c>
      <c r="F63" s="781">
        <f t="shared" si="9"/>
        <v>0.22700000000000001</v>
      </c>
      <c r="G63" s="781">
        <f t="shared" ca="1" si="9"/>
        <v>0.26699999999999996</v>
      </c>
      <c r="H63" s="781">
        <f t="shared" si="9"/>
        <v>0.26700000000000007</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26.907476180095628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26.907476180095628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26.907476180095628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26.907476180095628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140.20947618009563</v>
      </c>
      <c r="C4" s="477">
        <f>huishoudens!C8</f>
        <v>0</v>
      </c>
      <c r="D4" s="477">
        <f>huishoudens!D8</f>
        <v>227.77123600000002</v>
      </c>
      <c r="E4" s="477">
        <f>huishoudens!E8</f>
        <v>0</v>
      </c>
      <c r="F4" s="477">
        <f>huishoudens!F8</f>
        <v>383.14664229410738</v>
      </c>
      <c r="G4" s="477">
        <f>huishoudens!G8</f>
        <v>0</v>
      </c>
      <c r="H4" s="477">
        <f>huishoudens!H8</f>
        <v>0</v>
      </c>
      <c r="I4" s="477">
        <f>huishoudens!I8</f>
        <v>0</v>
      </c>
      <c r="J4" s="477">
        <f>huishoudens!J8</f>
        <v>77.572719328593166</v>
      </c>
      <c r="K4" s="477">
        <f>huishoudens!K8</f>
        <v>0</v>
      </c>
      <c r="L4" s="477">
        <f>huishoudens!L8</f>
        <v>0</v>
      </c>
      <c r="M4" s="477">
        <f>huishoudens!M8</f>
        <v>0</v>
      </c>
      <c r="N4" s="477">
        <f>huishoudens!N8</f>
        <v>0</v>
      </c>
      <c r="O4" s="477">
        <f>huishoudens!O8</f>
        <v>1.5633333333333335</v>
      </c>
      <c r="P4" s="478">
        <f>huishoudens!P8</f>
        <v>0</v>
      </c>
      <c r="Q4" s="479">
        <f>SUM(B4:P4)</f>
        <v>830.26340713612956</v>
      </c>
    </row>
    <row r="5" spans="1:17">
      <c r="A5" s="476" t="s">
        <v>156</v>
      </c>
      <c r="B5" s="477">
        <f ca="1">tertiair!B16</f>
        <v>18.834</v>
      </c>
      <c r="C5" s="477">
        <f ca="1">tertiair!C16</f>
        <v>0</v>
      </c>
      <c r="D5" s="477">
        <f ca="1">tertiair!D16</f>
        <v>9.5864560000000001</v>
      </c>
      <c r="E5" s="477">
        <f>tertiair!E16</f>
        <v>0.23388027982865836</v>
      </c>
      <c r="F5" s="477">
        <f ca="1">tertiair!F16</f>
        <v>3.2568637485594518</v>
      </c>
      <c r="G5" s="477">
        <f>tertiair!G16</f>
        <v>0</v>
      </c>
      <c r="H5" s="477">
        <f>tertiair!H16</f>
        <v>0</v>
      </c>
      <c r="I5" s="477">
        <f>tertiair!I16</f>
        <v>0</v>
      </c>
      <c r="J5" s="477">
        <f>tertiair!J16</f>
        <v>4.560700630458252E-5</v>
      </c>
      <c r="K5" s="477">
        <f>tertiair!K16</f>
        <v>0</v>
      </c>
      <c r="L5" s="477">
        <f ca="1">tertiair!L16</f>
        <v>0</v>
      </c>
      <c r="M5" s="477">
        <f>tertiair!M16</f>
        <v>0</v>
      </c>
      <c r="N5" s="477">
        <f ca="1">tertiair!N16</f>
        <v>1.8237085487776969</v>
      </c>
      <c r="O5" s="477">
        <f>tertiair!O16</f>
        <v>0</v>
      </c>
      <c r="P5" s="478">
        <f>tertiair!P16</f>
        <v>0</v>
      </c>
      <c r="Q5" s="476">
        <f t="shared" ref="Q5:Q14" ca="1" si="0">SUM(B5:P5)</f>
        <v>33.734954184172111</v>
      </c>
    </row>
    <row r="6" spans="1:17">
      <c r="A6" s="476" t="s">
        <v>194</v>
      </c>
      <c r="B6" s="477">
        <f>'openbare verlichting'!B8</f>
        <v>10.807</v>
      </c>
      <c r="C6" s="477"/>
      <c r="D6" s="477"/>
      <c r="E6" s="477"/>
      <c r="F6" s="477"/>
      <c r="G6" s="477"/>
      <c r="H6" s="477"/>
      <c r="I6" s="477"/>
      <c r="J6" s="477"/>
      <c r="K6" s="477"/>
      <c r="L6" s="477"/>
      <c r="M6" s="477"/>
      <c r="N6" s="477"/>
      <c r="O6" s="477"/>
      <c r="P6" s="478"/>
      <c r="Q6" s="476">
        <f t="shared" si="0"/>
        <v>10.807</v>
      </c>
    </row>
    <row r="7" spans="1:17">
      <c r="A7" s="476" t="s">
        <v>112</v>
      </c>
      <c r="B7" s="477">
        <f>landbouw!B8</f>
        <v>200.773</v>
      </c>
      <c r="C7" s="477">
        <f>landbouw!C8</f>
        <v>0</v>
      </c>
      <c r="D7" s="477">
        <f>landbouw!D8</f>
        <v>44.391930000000002</v>
      </c>
      <c r="E7" s="477">
        <f>landbouw!E8</f>
        <v>5.9013317015220998</v>
      </c>
      <c r="F7" s="477">
        <f>landbouw!F8</f>
        <v>836.40946879652927</v>
      </c>
      <c r="G7" s="477">
        <f>landbouw!G8</f>
        <v>0</v>
      </c>
      <c r="H7" s="477">
        <f>landbouw!H8</f>
        <v>0</v>
      </c>
      <c r="I7" s="477">
        <f>landbouw!I8</f>
        <v>0</v>
      </c>
      <c r="J7" s="477">
        <f>landbouw!J8</f>
        <v>29.087696050470029</v>
      </c>
      <c r="K7" s="477">
        <f>landbouw!K8</f>
        <v>0</v>
      </c>
      <c r="L7" s="477">
        <f>landbouw!L8</f>
        <v>0</v>
      </c>
      <c r="M7" s="477">
        <f>landbouw!M8</f>
        <v>0</v>
      </c>
      <c r="N7" s="477">
        <f>landbouw!N8</f>
        <v>0</v>
      </c>
      <c r="O7" s="477">
        <f>landbouw!O8</f>
        <v>0</v>
      </c>
      <c r="P7" s="478">
        <f>landbouw!P8</f>
        <v>0</v>
      </c>
      <c r="Q7" s="476">
        <f t="shared" si="0"/>
        <v>1116.5634265485214</v>
      </c>
    </row>
    <row r="8" spans="1:17">
      <c r="A8" s="476" t="s">
        <v>635</v>
      </c>
      <c r="B8" s="477">
        <f>industrie!B18</f>
        <v>40.795000000000002</v>
      </c>
      <c r="C8" s="477">
        <f>industrie!C18</f>
        <v>0</v>
      </c>
      <c r="D8" s="477">
        <f>industrie!D18</f>
        <v>82.164081999999993</v>
      </c>
      <c r="E8" s="477">
        <f>industrie!E18</f>
        <v>2.252534323855035</v>
      </c>
      <c r="F8" s="477">
        <f>industrie!F18</f>
        <v>8.0802684847985002</v>
      </c>
      <c r="G8" s="477">
        <f>industrie!G18</f>
        <v>0</v>
      </c>
      <c r="H8" s="477">
        <f>industrie!H18</f>
        <v>0</v>
      </c>
      <c r="I8" s="477">
        <f>industrie!I18</f>
        <v>0</v>
      </c>
      <c r="J8" s="477">
        <f>industrie!J18</f>
        <v>0.14604532425746533</v>
      </c>
      <c r="K8" s="477">
        <f>industrie!K18</f>
        <v>0</v>
      </c>
      <c r="L8" s="477">
        <f>industrie!L18</f>
        <v>0</v>
      </c>
      <c r="M8" s="477">
        <f>industrie!M18</f>
        <v>0</v>
      </c>
      <c r="N8" s="477">
        <f>industrie!N18</f>
        <v>9.1509588425037585</v>
      </c>
      <c r="O8" s="477">
        <f>industrie!O18</f>
        <v>0</v>
      </c>
      <c r="P8" s="478">
        <f>industrie!P18</f>
        <v>0</v>
      </c>
      <c r="Q8" s="476">
        <f t="shared" si="0"/>
        <v>142.58888897541476</v>
      </c>
    </row>
    <row r="9" spans="1:17" s="482" customFormat="1">
      <c r="A9" s="480" t="s">
        <v>561</v>
      </c>
      <c r="B9" s="481">
        <f>transport!B14</f>
        <v>1.4463933101628001</v>
      </c>
      <c r="C9" s="481">
        <f>transport!C14</f>
        <v>0</v>
      </c>
      <c r="D9" s="481">
        <f>transport!D14</f>
        <v>4.8831895989015539</v>
      </c>
      <c r="E9" s="481">
        <f>transport!E14</f>
        <v>6.545454686616238</v>
      </c>
      <c r="F9" s="481">
        <f>transport!F14</f>
        <v>0</v>
      </c>
      <c r="G9" s="481">
        <f>transport!G14</f>
        <v>2135.6297208049955</v>
      </c>
      <c r="H9" s="481">
        <f>transport!H14</f>
        <v>551.55346596453853</v>
      </c>
      <c r="I9" s="481">
        <f>transport!I14</f>
        <v>0</v>
      </c>
      <c r="J9" s="481">
        <f>transport!J14</f>
        <v>0</v>
      </c>
      <c r="K9" s="481">
        <f>transport!K14</f>
        <v>0</v>
      </c>
      <c r="L9" s="481">
        <f>transport!L14</f>
        <v>0</v>
      </c>
      <c r="M9" s="481">
        <f>transport!M14</f>
        <v>141.04516697581838</v>
      </c>
      <c r="N9" s="481">
        <f>transport!N14</f>
        <v>0</v>
      </c>
      <c r="O9" s="481">
        <f>transport!O14</f>
        <v>0</v>
      </c>
      <c r="P9" s="481">
        <f>transport!P14</f>
        <v>0</v>
      </c>
      <c r="Q9" s="480">
        <f>SUM(B9:P9)</f>
        <v>2841.1033913410333</v>
      </c>
    </row>
    <row r="10" spans="1:17">
      <c r="A10" s="476" t="s">
        <v>551</v>
      </c>
      <c r="B10" s="477">
        <f>transport!B54</f>
        <v>0</v>
      </c>
      <c r="C10" s="477">
        <f>transport!C54</f>
        <v>0</v>
      </c>
      <c r="D10" s="477">
        <f>transport!D54</f>
        <v>0</v>
      </c>
      <c r="E10" s="477">
        <f>transport!E54</f>
        <v>0</v>
      </c>
      <c r="F10" s="477">
        <f>transport!F54</f>
        <v>0</v>
      </c>
      <c r="G10" s="477">
        <f>transport!G54</f>
        <v>14.500003284367343</v>
      </c>
      <c r="H10" s="477">
        <f>transport!H54</f>
        <v>0</v>
      </c>
      <c r="I10" s="477">
        <f>transport!I54</f>
        <v>0</v>
      </c>
      <c r="J10" s="477">
        <f>transport!J54</f>
        <v>0</v>
      </c>
      <c r="K10" s="477">
        <f>transport!K54</f>
        <v>0</v>
      </c>
      <c r="L10" s="477">
        <f>transport!L54</f>
        <v>0</v>
      </c>
      <c r="M10" s="477">
        <f>transport!M54</f>
        <v>0.82353617517998978</v>
      </c>
      <c r="N10" s="477">
        <f>transport!N54</f>
        <v>0</v>
      </c>
      <c r="O10" s="477">
        <f>transport!O54</f>
        <v>0</v>
      </c>
      <c r="P10" s="478">
        <f>transport!P54</f>
        <v>0</v>
      </c>
      <c r="Q10" s="476">
        <f t="shared" si="0"/>
        <v>15.323539459547334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23.085999999999999</v>
      </c>
      <c r="C14" s="484"/>
      <c r="D14" s="484">
        <f>'SEAP template'!E25</f>
        <v>56.908999999999999</v>
      </c>
      <c r="E14" s="484"/>
      <c r="F14" s="484"/>
      <c r="G14" s="484"/>
      <c r="H14" s="484"/>
      <c r="I14" s="484"/>
      <c r="J14" s="484"/>
      <c r="K14" s="484"/>
      <c r="L14" s="484"/>
      <c r="M14" s="484"/>
      <c r="N14" s="484"/>
      <c r="O14" s="484"/>
      <c r="P14" s="485"/>
      <c r="Q14" s="476">
        <f t="shared" si="0"/>
        <v>79.995000000000005</v>
      </c>
    </row>
    <row r="15" spans="1:17" s="486" customFormat="1">
      <c r="A15" s="1039" t="s">
        <v>555</v>
      </c>
      <c r="B15" s="987">
        <f ca="1">SUM(B4:B14)</f>
        <v>435.95086949025847</v>
      </c>
      <c r="C15" s="987">
        <f t="shared" ref="C15:Q15" ca="1" si="1">SUM(C4:C14)</f>
        <v>0</v>
      </c>
      <c r="D15" s="987">
        <f t="shared" ca="1" si="1"/>
        <v>425.70589359890158</v>
      </c>
      <c r="E15" s="987">
        <f t="shared" si="1"/>
        <v>14.93320099182203</v>
      </c>
      <c r="F15" s="987">
        <f t="shared" ca="1" si="1"/>
        <v>1230.8932433239947</v>
      </c>
      <c r="G15" s="987">
        <f t="shared" si="1"/>
        <v>2150.1297240893628</v>
      </c>
      <c r="H15" s="987">
        <f t="shared" si="1"/>
        <v>551.55346596453853</v>
      </c>
      <c r="I15" s="987">
        <f t="shared" si="1"/>
        <v>0</v>
      </c>
      <c r="J15" s="987">
        <f t="shared" si="1"/>
        <v>106.80650631032697</v>
      </c>
      <c r="K15" s="987">
        <f t="shared" si="1"/>
        <v>0</v>
      </c>
      <c r="L15" s="987">
        <f t="shared" ca="1" si="1"/>
        <v>0</v>
      </c>
      <c r="M15" s="987">
        <f t="shared" si="1"/>
        <v>141.86870315099836</v>
      </c>
      <c r="N15" s="987">
        <f t="shared" ca="1" si="1"/>
        <v>10.974667391281455</v>
      </c>
      <c r="O15" s="987">
        <f t="shared" si="1"/>
        <v>1.5633333333333335</v>
      </c>
      <c r="P15" s="987">
        <f t="shared" si="1"/>
        <v>0</v>
      </c>
      <c r="Q15" s="987">
        <f t="shared" ca="1" si="1"/>
        <v>5070.3796076448189</v>
      </c>
    </row>
    <row r="17" spans="1:17">
      <c r="A17" s="487" t="s">
        <v>556</v>
      </c>
      <c r="B17" s="786">
        <f ca="1">huishoudens!B10</f>
        <v>0.20735958165938692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29.073778325386407</v>
      </c>
      <c r="C22" s="477">
        <f t="shared" ref="C22:C32" ca="1" si="3">C4*$C$17</f>
        <v>0</v>
      </c>
      <c r="D22" s="477">
        <f t="shared" ref="D22:D32" si="4">D4*$D$17</f>
        <v>46.009789672000004</v>
      </c>
      <c r="E22" s="477">
        <f t="shared" ref="E22:E32" si="5">E4*$E$17</f>
        <v>0</v>
      </c>
      <c r="F22" s="477">
        <f t="shared" ref="F22:F32" si="6">F4*$F$17</f>
        <v>102.30015349252668</v>
      </c>
      <c r="G22" s="477">
        <f t="shared" ref="G22:G32" si="7">G4*$G$17</f>
        <v>0</v>
      </c>
      <c r="H22" s="477">
        <f t="shared" ref="H22:H32" si="8">H4*$H$17</f>
        <v>0</v>
      </c>
      <c r="I22" s="477">
        <f t="shared" ref="I22:I32" si="9">I4*$I$17</f>
        <v>0</v>
      </c>
      <c r="J22" s="477">
        <f t="shared" ref="J22:J32" si="10">J4*$J$17</f>
        <v>27.460742642321978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204.84446413223506</v>
      </c>
    </row>
    <row r="23" spans="1:17">
      <c r="A23" s="476" t="s">
        <v>156</v>
      </c>
      <c r="B23" s="477">
        <f t="shared" ca="1" si="2"/>
        <v>3.9054103609728932</v>
      </c>
      <c r="C23" s="477">
        <f t="shared" ca="1" si="3"/>
        <v>0</v>
      </c>
      <c r="D23" s="477">
        <f t="shared" ca="1" si="4"/>
        <v>1.9364641120000001</v>
      </c>
      <c r="E23" s="477">
        <f t="shared" si="5"/>
        <v>5.3090823521105453E-2</v>
      </c>
      <c r="F23" s="477">
        <f t="shared" ca="1" si="6"/>
        <v>0.86958262086537363</v>
      </c>
      <c r="G23" s="477">
        <f t="shared" si="7"/>
        <v>0</v>
      </c>
      <c r="H23" s="477">
        <f t="shared" si="8"/>
        <v>0</v>
      </c>
      <c r="I23" s="477">
        <f t="shared" si="9"/>
        <v>0</v>
      </c>
      <c r="J23" s="477">
        <f t="shared" si="10"/>
        <v>1.6144880231822212E-5</v>
      </c>
      <c r="K23" s="477">
        <f t="shared" si="11"/>
        <v>0</v>
      </c>
      <c r="L23" s="477">
        <f t="shared" ca="1" si="12"/>
        <v>0</v>
      </c>
      <c r="M23" s="477">
        <f t="shared" si="13"/>
        <v>0</v>
      </c>
      <c r="N23" s="477">
        <f t="shared" ca="1" si="14"/>
        <v>0</v>
      </c>
      <c r="O23" s="477">
        <f t="shared" si="15"/>
        <v>0</v>
      </c>
      <c r="P23" s="478">
        <f t="shared" si="16"/>
        <v>0</v>
      </c>
      <c r="Q23" s="476">
        <f t="shared" ref="Q23:Q32" ca="1" si="17">SUM(B23:P23)</f>
        <v>6.7645640622396046</v>
      </c>
    </row>
    <row r="24" spans="1:17">
      <c r="A24" s="476" t="s">
        <v>194</v>
      </c>
      <c r="B24" s="477">
        <f t="shared" ca="1" si="2"/>
        <v>2.2409349989929948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2.2409349989929948</v>
      </c>
    </row>
    <row r="25" spans="1:17">
      <c r="A25" s="476" t="s">
        <v>112</v>
      </c>
      <c r="B25" s="477">
        <f t="shared" ca="1" si="2"/>
        <v>41.632205288500089</v>
      </c>
      <c r="C25" s="477">
        <f t="shared" ca="1" si="3"/>
        <v>0</v>
      </c>
      <c r="D25" s="477">
        <f t="shared" si="4"/>
        <v>8.9671698600000003</v>
      </c>
      <c r="E25" s="477">
        <f t="shared" si="5"/>
        <v>1.3396022962455167</v>
      </c>
      <c r="F25" s="477">
        <f t="shared" si="6"/>
        <v>223.32132816867332</v>
      </c>
      <c r="G25" s="477">
        <f t="shared" si="7"/>
        <v>0</v>
      </c>
      <c r="H25" s="477">
        <f t="shared" si="8"/>
        <v>0</v>
      </c>
      <c r="I25" s="477">
        <f t="shared" si="9"/>
        <v>0</v>
      </c>
      <c r="J25" s="477">
        <f t="shared" si="10"/>
        <v>10.29704440186639</v>
      </c>
      <c r="K25" s="477">
        <f t="shared" si="11"/>
        <v>0</v>
      </c>
      <c r="L25" s="477">
        <f t="shared" si="12"/>
        <v>0</v>
      </c>
      <c r="M25" s="477">
        <f t="shared" si="13"/>
        <v>0</v>
      </c>
      <c r="N25" s="477">
        <f t="shared" si="14"/>
        <v>0</v>
      </c>
      <c r="O25" s="477">
        <f t="shared" si="15"/>
        <v>0</v>
      </c>
      <c r="P25" s="478">
        <f t="shared" si="16"/>
        <v>0</v>
      </c>
      <c r="Q25" s="476">
        <f t="shared" ca="1" si="17"/>
        <v>285.55735001528535</v>
      </c>
    </row>
    <row r="26" spans="1:17">
      <c r="A26" s="476" t="s">
        <v>635</v>
      </c>
      <c r="B26" s="477">
        <f t="shared" ca="1" si="2"/>
        <v>8.4592341337946895</v>
      </c>
      <c r="C26" s="477">
        <f t="shared" ca="1" si="3"/>
        <v>0</v>
      </c>
      <c r="D26" s="477">
        <f t="shared" si="4"/>
        <v>16.597144564000001</v>
      </c>
      <c r="E26" s="477">
        <f t="shared" si="5"/>
        <v>0.51132529151509298</v>
      </c>
      <c r="F26" s="477">
        <f t="shared" si="6"/>
        <v>2.1574316854411997</v>
      </c>
      <c r="G26" s="477">
        <f t="shared" si="7"/>
        <v>0</v>
      </c>
      <c r="H26" s="477">
        <f t="shared" si="8"/>
        <v>0</v>
      </c>
      <c r="I26" s="477">
        <f t="shared" si="9"/>
        <v>0</v>
      </c>
      <c r="J26" s="477">
        <f t="shared" si="10"/>
        <v>5.1700044787142727E-2</v>
      </c>
      <c r="K26" s="477">
        <f t="shared" si="11"/>
        <v>0</v>
      </c>
      <c r="L26" s="477">
        <f t="shared" si="12"/>
        <v>0</v>
      </c>
      <c r="M26" s="477">
        <f t="shared" si="13"/>
        <v>0</v>
      </c>
      <c r="N26" s="477">
        <f t="shared" si="14"/>
        <v>0</v>
      </c>
      <c r="O26" s="477">
        <f t="shared" si="15"/>
        <v>0</v>
      </c>
      <c r="P26" s="478">
        <f t="shared" si="16"/>
        <v>0</v>
      </c>
      <c r="Q26" s="476">
        <f t="shared" ca="1" si="17"/>
        <v>27.776835719538127</v>
      </c>
    </row>
    <row r="27" spans="1:17" s="482" customFormat="1">
      <c r="A27" s="480" t="s">
        <v>561</v>
      </c>
      <c r="B27" s="780">
        <f t="shared" ca="1" si="2"/>
        <v>0.29992351171029413</v>
      </c>
      <c r="C27" s="481">
        <f t="shared" ca="1" si="3"/>
        <v>0</v>
      </c>
      <c r="D27" s="481">
        <f t="shared" si="4"/>
        <v>0.98640429897811399</v>
      </c>
      <c r="E27" s="481">
        <f t="shared" si="5"/>
        <v>1.4858182138618861</v>
      </c>
      <c r="F27" s="481">
        <f t="shared" si="6"/>
        <v>0</v>
      </c>
      <c r="G27" s="481">
        <f t="shared" si="7"/>
        <v>570.21313545493388</v>
      </c>
      <c r="H27" s="481">
        <f t="shared" si="8"/>
        <v>137.3368130251701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710.32209450465416</v>
      </c>
    </row>
    <row r="28" spans="1:17">
      <c r="A28" s="476" t="s">
        <v>551</v>
      </c>
      <c r="B28" s="477">
        <f t="shared" ca="1" si="2"/>
        <v>0</v>
      </c>
      <c r="C28" s="477">
        <f t="shared" ca="1" si="3"/>
        <v>0</v>
      </c>
      <c r="D28" s="477">
        <f t="shared" si="4"/>
        <v>0</v>
      </c>
      <c r="E28" s="477">
        <f t="shared" si="5"/>
        <v>0</v>
      </c>
      <c r="F28" s="477">
        <f t="shared" si="6"/>
        <v>0</v>
      </c>
      <c r="G28" s="477">
        <f t="shared" si="7"/>
        <v>3.8715008769260808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3.8715008769260808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4.7871033021886058</v>
      </c>
      <c r="C32" s="477">
        <f t="shared" ca="1" si="3"/>
        <v>0</v>
      </c>
      <c r="D32" s="477">
        <f t="shared" si="4"/>
        <v>11.495618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16.282721302188605</v>
      </c>
    </row>
    <row r="33" spans="1:17" s="486" customFormat="1">
      <c r="A33" s="1039" t="s">
        <v>555</v>
      </c>
      <c r="B33" s="987">
        <f ca="1">SUM(B22:B32)</f>
        <v>90.398589921545991</v>
      </c>
      <c r="C33" s="987">
        <f t="shared" ref="C33:Q33" ca="1" si="18">SUM(C22:C32)</f>
        <v>0</v>
      </c>
      <c r="D33" s="987">
        <f t="shared" ca="1" si="18"/>
        <v>85.992590506978132</v>
      </c>
      <c r="E33" s="987">
        <f t="shared" si="18"/>
        <v>3.3898366251436012</v>
      </c>
      <c r="F33" s="987">
        <f t="shared" ca="1" si="18"/>
        <v>328.64849596750662</v>
      </c>
      <c r="G33" s="987">
        <f t="shared" si="18"/>
        <v>574.08463633186</v>
      </c>
      <c r="H33" s="987">
        <f t="shared" si="18"/>
        <v>137.3368130251701</v>
      </c>
      <c r="I33" s="987">
        <f t="shared" si="18"/>
        <v>0</v>
      </c>
      <c r="J33" s="987">
        <f t="shared" si="18"/>
        <v>37.809503233855736</v>
      </c>
      <c r="K33" s="987">
        <f t="shared" si="18"/>
        <v>0</v>
      </c>
      <c r="L33" s="987">
        <f t="shared" ca="1" si="18"/>
        <v>0</v>
      </c>
      <c r="M33" s="987">
        <f t="shared" si="18"/>
        <v>0</v>
      </c>
      <c r="N33" s="987">
        <f t="shared" ca="1" si="18"/>
        <v>0</v>
      </c>
      <c r="O33" s="987">
        <f t="shared" si="18"/>
        <v>0</v>
      </c>
      <c r="P33" s="987">
        <f t="shared" si="18"/>
        <v>0</v>
      </c>
      <c r="Q33" s="987">
        <f t="shared" ca="1" si="18"/>
        <v>1257.6604656120599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26.907476180095628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26.907476180095628</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0.20735958165938692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0.20735958165938692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2019-08-12T08:35:40Z</dcterms:modified>
</cp:coreProperties>
</file>