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61"/>
  <c r="P6"/>
  <c r="P5"/>
  <c r="P4"/>
  <c r="L19" i="18" l="1"/>
  <c r="O89" i="14" s="1"/>
  <c r="O19" i="61" s="1"/>
  <c r="K19" i="18"/>
  <c r="N89" i="14" s="1"/>
  <c r="N19" i="61" s="1"/>
  <c r="J19" i="18"/>
  <c r="I19"/>
  <c r="I89" i="14" s="1"/>
  <c r="I19" i="61" s="1"/>
  <c r="H19" i="18"/>
  <c r="M89" i="14" s="1"/>
  <c r="M19" i="61" s="1"/>
  <c r="G19" i="18"/>
  <c r="F19"/>
  <c r="E19"/>
  <c r="F89" i="14" s="1"/>
  <c r="F19" i="61" s="1"/>
  <c r="D19" i="18"/>
  <c r="D20" s="1"/>
  <c r="C19"/>
  <c r="D89" i="14" s="1"/>
  <c r="D19" i="61" s="1"/>
  <c r="B19" i="18"/>
  <c r="N18"/>
  <c r="L88" i="14" s="1"/>
  <c r="M18" i="18"/>
  <c r="K88" i="14" s="1"/>
  <c r="L18" i="18"/>
  <c r="K18"/>
  <c r="J18"/>
  <c r="I18"/>
  <c r="H18"/>
  <c r="M88" i="14" s="1"/>
  <c r="M18" i="61" s="1"/>
  <c r="G18" i="18"/>
  <c r="H88" i="14" s="1"/>
  <c r="H18" i="61" s="1"/>
  <c r="F18" i="18"/>
  <c r="G88" i="14" s="1"/>
  <c r="G18" i="61" s="1"/>
  <c r="E18" i="18"/>
  <c r="D18"/>
  <c r="C18"/>
  <c r="B18"/>
  <c r="L9"/>
  <c r="L10" s="1"/>
  <c r="K9"/>
  <c r="K10" s="1"/>
  <c r="G9"/>
  <c r="G10" s="1"/>
  <c r="F9"/>
  <c r="E9"/>
  <c r="D9"/>
  <c r="C9"/>
  <c r="B9"/>
  <c r="K22"/>
  <c r="J22"/>
  <c r="I22"/>
  <c r="H22"/>
  <c r="K12"/>
  <c r="J12"/>
  <c r="I12"/>
  <c r="H12"/>
  <c r="W92"/>
  <c r="V92"/>
  <c r="U92"/>
  <c r="T92"/>
  <c r="S92"/>
  <c r="R92"/>
  <c r="Q92"/>
  <c r="P92"/>
  <c r="O92"/>
  <c r="N92"/>
  <c r="M92"/>
  <c r="W91"/>
  <c r="V91"/>
  <c r="U91"/>
  <c r="T91"/>
  <c r="S91"/>
  <c r="R91"/>
  <c r="Q91"/>
  <c r="P91"/>
  <c r="O91"/>
  <c r="N91"/>
  <c r="M91"/>
  <c r="W90"/>
  <c r="V90"/>
  <c r="U90"/>
  <c r="T90"/>
  <c r="S90"/>
  <c r="R90"/>
  <c r="Q90"/>
  <c r="P90"/>
  <c r="O90"/>
  <c r="N90"/>
  <c r="M90"/>
  <c r="W89"/>
  <c r="V89"/>
  <c r="U89"/>
  <c r="T89"/>
  <c r="S89"/>
  <c r="R89"/>
  <c r="Q89"/>
  <c r="J9" s="1"/>
  <c r="J77" i="14" s="1"/>
  <c r="J9" i="61" s="1"/>
  <c r="P89" i="18"/>
  <c r="O89"/>
  <c r="N89"/>
  <c r="M89"/>
  <c r="W61"/>
  <c r="V61"/>
  <c r="N6" i="17" s="1"/>
  <c r="U61" i="18"/>
  <c r="T61"/>
  <c r="L6" i="17" s="1"/>
  <c r="S61" i="18"/>
  <c r="R61"/>
  <c r="Q61"/>
  <c r="P61"/>
  <c r="O61"/>
  <c r="C6" i="17" s="1"/>
  <c r="N61" i="18"/>
  <c r="M61"/>
  <c r="W60"/>
  <c r="V60"/>
  <c r="U60"/>
  <c r="T60"/>
  <c r="S60"/>
  <c r="R60"/>
  <c r="Q60"/>
  <c r="P60"/>
  <c r="D13" i="15" s="1"/>
  <c r="O60" i="18"/>
  <c r="C13" i="15" s="1"/>
  <c r="N60" i="18"/>
  <c r="M60"/>
  <c r="W59"/>
  <c r="V59"/>
  <c r="U59"/>
  <c r="T59"/>
  <c r="S59"/>
  <c r="R59"/>
  <c r="Q59"/>
  <c r="P59"/>
  <c r="O59"/>
  <c r="N59"/>
  <c r="M59"/>
  <c r="W58"/>
  <c r="V58"/>
  <c r="U58"/>
  <c r="T58"/>
  <c r="S58"/>
  <c r="R58"/>
  <c r="Q58"/>
  <c r="P58"/>
  <c r="O58"/>
  <c r="B98" s="1"/>
  <c r="N58"/>
  <c r="M58"/>
  <c r="G22"/>
  <c r="F22"/>
  <c r="E22"/>
  <c r="D22"/>
  <c r="C22"/>
  <c r="G89" i="14"/>
  <c r="G19" i="61" s="1"/>
  <c r="N88" i="14"/>
  <c r="N18" i="61" s="1"/>
  <c r="D88" i="14"/>
  <c r="D18" i="61" s="1"/>
  <c r="G12" i="18"/>
  <c r="F12"/>
  <c r="E12"/>
  <c r="D12"/>
  <c r="C12"/>
  <c r="F10"/>
  <c r="E77" i="14"/>
  <c r="E9" i="61" s="1"/>
  <c r="B8" i="18"/>
  <c r="B6"/>
  <c r="B5"/>
  <c r="B4"/>
  <c r="D6" i="17"/>
  <c r="B19" i="6"/>
  <c r="B18"/>
  <c r="B5"/>
  <c r="B6"/>
  <c r="C64" i="14" s="1"/>
  <c r="P7" i="48"/>
  <c r="P25" s="1"/>
  <c r="O7"/>
  <c r="O25" s="1"/>
  <c r="M7"/>
  <c r="K7"/>
  <c r="I7"/>
  <c r="H7"/>
  <c r="G7"/>
  <c r="P10"/>
  <c r="P28" s="1"/>
  <c r="O10"/>
  <c r="O28" s="1"/>
  <c r="N10"/>
  <c r="L10"/>
  <c r="K10"/>
  <c r="J10"/>
  <c r="I10"/>
  <c r="H10"/>
  <c r="F10"/>
  <c r="E10"/>
  <c r="D10"/>
  <c r="C10"/>
  <c r="P9"/>
  <c r="O9"/>
  <c r="N9"/>
  <c r="L9"/>
  <c r="K9"/>
  <c r="J9"/>
  <c r="I9"/>
  <c r="F9"/>
  <c r="C9"/>
  <c r="P13"/>
  <c r="O13"/>
  <c r="N13"/>
  <c r="L13"/>
  <c r="K13"/>
  <c r="J13"/>
  <c r="I13"/>
  <c r="F13"/>
  <c r="E13"/>
  <c r="D13"/>
  <c r="C13"/>
  <c r="B13"/>
  <c r="M8"/>
  <c r="K8"/>
  <c r="I8"/>
  <c r="H8"/>
  <c r="G8"/>
  <c r="B12"/>
  <c r="Q12" s="1"/>
  <c r="P17"/>
  <c r="O17"/>
  <c r="O31" s="1"/>
  <c r="M4"/>
  <c r="L4"/>
  <c r="K4"/>
  <c r="I4"/>
  <c r="H4"/>
  <c r="G4"/>
  <c r="P11"/>
  <c r="O11"/>
  <c r="N11"/>
  <c r="M11"/>
  <c r="L11"/>
  <c r="K11"/>
  <c r="J11"/>
  <c r="I11"/>
  <c r="H11"/>
  <c r="G11"/>
  <c r="F11"/>
  <c r="E11"/>
  <c r="D11"/>
  <c r="C11"/>
  <c r="B11"/>
  <c r="O32"/>
  <c r="O30"/>
  <c r="L89" i="14"/>
  <c r="L19" i="61" s="1"/>
  <c r="K89" i="14"/>
  <c r="K19" i="61" s="1"/>
  <c r="J89" i="14"/>
  <c r="J19" i="61" s="1"/>
  <c r="H89" i="14"/>
  <c r="H19" i="61" s="1"/>
  <c r="J88" i="14"/>
  <c r="J18" i="61" s="1"/>
  <c r="I88" i="14"/>
  <c r="I18" i="61" s="1"/>
  <c r="F88" i="14"/>
  <c r="F18" i="61" s="1"/>
  <c r="E88" i="14"/>
  <c r="O87"/>
  <c r="O17" i="61" s="1"/>
  <c r="N87" i="14"/>
  <c r="N17" i="61" s="1"/>
  <c r="L87" i="14"/>
  <c r="L17" i="61" s="1"/>
  <c r="K87" i="14"/>
  <c r="K17" i="61" s="1"/>
  <c r="H87" i="14"/>
  <c r="H17" i="61" s="1"/>
  <c r="G87" i="14"/>
  <c r="G17" i="61" s="1"/>
  <c r="G20" s="1"/>
  <c r="E87" i="14"/>
  <c r="E17" i="61" s="1"/>
  <c r="L77" i="14"/>
  <c r="L9" i="61" s="1"/>
  <c r="K77" i="14"/>
  <c r="K9" i="61" s="1"/>
  <c r="G77" i="14"/>
  <c r="G9" i="61" s="1"/>
  <c r="O76" i="14"/>
  <c r="O8" i="61" s="1"/>
  <c r="N76" i="14"/>
  <c r="N8" i="61" s="1"/>
  <c r="L76" i="14"/>
  <c r="K76"/>
  <c r="H76"/>
  <c r="H8" i="61" s="1"/>
  <c r="G76" i="14"/>
  <c r="G8" i="61" s="1"/>
  <c r="E76" i="14"/>
  <c r="E8" i="61" s="1"/>
  <c r="B75" i="14"/>
  <c r="B7" i="61" s="1"/>
  <c r="B74" i="14"/>
  <c r="B6" i="61" s="1"/>
  <c r="B73" i="14"/>
  <c r="B5" i="61" s="1"/>
  <c r="B72" i="14"/>
  <c r="B4" i="61" s="1"/>
  <c r="C29" i="14"/>
  <c r="Q54"/>
  <c r="Q56" s="1"/>
  <c r="P54"/>
  <c r="P56" s="1"/>
  <c r="L54"/>
  <c r="L56" s="1"/>
  <c r="J54"/>
  <c r="I54"/>
  <c r="H54"/>
  <c r="H56" s="1"/>
  <c r="Q24"/>
  <c r="P24"/>
  <c r="P26" s="1"/>
  <c r="N24"/>
  <c r="N26" s="1"/>
  <c r="L24"/>
  <c r="L26" s="1"/>
  <c r="J24"/>
  <c r="I24"/>
  <c r="H24"/>
  <c r="Q50"/>
  <c r="P50"/>
  <c r="P52" s="1"/>
  <c r="O50"/>
  <c r="M50"/>
  <c r="L50"/>
  <c r="K50"/>
  <c r="J50"/>
  <c r="G50"/>
  <c r="D50"/>
  <c r="Q49"/>
  <c r="P49"/>
  <c r="Q20"/>
  <c r="P20"/>
  <c r="O20"/>
  <c r="M20"/>
  <c r="L20"/>
  <c r="K20"/>
  <c r="J20"/>
  <c r="G20"/>
  <c r="D20"/>
  <c r="Q19"/>
  <c r="P19"/>
  <c r="O19"/>
  <c r="O22" s="1"/>
  <c r="M19"/>
  <c r="L19"/>
  <c r="K19"/>
  <c r="K22" s="1"/>
  <c r="J19"/>
  <c r="I19"/>
  <c r="G19"/>
  <c r="G22" s="1"/>
  <c r="F19"/>
  <c r="E19"/>
  <c r="D19"/>
  <c r="Q48"/>
  <c r="P48"/>
  <c r="O48"/>
  <c r="M48"/>
  <c r="L48"/>
  <c r="K48"/>
  <c r="J48"/>
  <c r="G48"/>
  <c r="D48"/>
  <c r="Q18"/>
  <c r="Q22" s="1"/>
  <c r="P18"/>
  <c r="O18"/>
  <c r="M18"/>
  <c r="L18"/>
  <c r="L22" s="1"/>
  <c r="K18"/>
  <c r="J18"/>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J56"/>
  <c r="I56"/>
  <c r="R44"/>
  <c r="Q26"/>
  <c r="J26"/>
  <c r="I26"/>
  <c r="E25"/>
  <c r="D14" i="48" s="1"/>
  <c r="C25" i="14"/>
  <c r="B14" i="48" s="1"/>
  <c r="H26" i="14"/>
  <c r="M22"/>
  <c r="D5" i="17"/>
  <c r="K18" i="61" l="1"/>
  <c r="K90" i="14"/>
  <c r="Q14" i="48"/>
  <c r="H20" i="61"/>
  <c r="L78" i="14"/>
  <c r="L8" i="61"/>
  <c r="L10" s="1"/>
  <c r="E18"/>
  <c r="E20" s="1"/>
  <c r="K78" i="14"/>
  <c r="K8" i="61"/>
  <c r="K10" s="1"/>
  <c r="L90" i="14"/>
  <c r="L18" i="61"/>
  <c r="L20" s="1"/>
  <c r="I77" i="14"/>
  <c r="I9" i="61" s="1"/>
  <c r="O9" i="18"/>
  <c r="K20" i="61"/>
  <c r="Q11" i="48"/>
  <c r="L20" i="18"/>
  <c r="C98"/>
  <c r="C101" s="1"/>
  <c r="O77" i="14"/>
  <c r="O9" i="61" s="1"/>
  <c r="O10" s="1"/>
  <c r="N20"/>
  <c r="Q52" i="14"/>
  <c r="N77"/>
  <c r="E89"/>
  <c r="E19" i="61" s="1"/>
  <c r="F6" i="17"/>
  <c r="I9" i="18"/>
  <c r="P27" i="48"/>
  <c r="B10" i="18"/>
  <c r="M77" i="14"/>
  <c r="M9" i="61" s="1"/>
  <c r="H9" i="18"/>
  <c r="G10" i="61"/>
  <c r="P31" i="48"/>
  <c r="J22" i="14"/>
  <c r="P22"/>
  <c r="E10" i="61"/>
  <c r="B17" i="18"/>
  <c r="B20" s="1"/>
  <c r="F13" i="15"/>
  <c r="L13"/>
  <c r="B13"/>
  <c r="H90" i="14"/>
  <c r="N13" i="15"/>
  <c r="F77" i="14"/>
  <c r="F9" i="61" s="1"/>
  <c r="B101" i="18"/>
  <c r="C8" s="1"/>
  <c r="I102"/>
  <c r="H17" s="1"/>
  <c r="E102"/>
  <c r="E17" s="1"/>
  <c r="C102"/>
  <c r="B102"/>
  <c r="C17" s="1"/>
  <c r="H102"/>
  <c r="D102"/>
  <c r="G102"/>
  <c r="F102"/>
  <c r="N90" i="14"/>
  <c r="O18" i="18"/>
  <c r="F20"/>
  <c r="D77" i="14"/>
  <c r="D9" i="61" s="1"/>
  <c r="H77" i="14"/>
  <c r="G90"/>
  <c r="O88"/>
  <c r="G20" i="18"/>
  <c r="K20"/>
  <c r="O19"/>
  <c r="D10"/>
  <c r="O29" i="48"/>
  <c r="O27"/>
  <c r="P29"/>
  <c r="P32"/>
  <c r="O24"/>
  <c r="P24"/>
  <c r="P30"/>
  <c r="G78" i="14"/>
  <c r="R9"/>
  <c r="D22"/>
  <c r="E55"/>
  <c r="R25"/>
  <c r="E78"/>
  <c r="O90" l="1"/>
  <c r="O18" i="61"/>
  <c r="O20" s="1"/>
  <c r="H78" i="14"/>
  <c r="H9" i="61"/>
  <c r="H10" s="1"/>
  <c r="N78" i="14"/>
  <c r="N9" i="61"/>
  <c r="N10" s="1"/>
  <c r="I101" i="18"/>
  <c r="H8" s="1"/>
  <c r="B89" i="14"/>
  <c r="B19" i="61" s="1"/>
  <c r="E101" i="18"/>
  <c r="E8" s="1"/>
  <c r="E10" s="1"/>
  <c r="C89" i="14"/>
  <c r="C19" i="61" s="1"/>
  <c r="G101" i="18"/>
  <c r="I8" s="1"/>
  <c r="I10" s="1"/>
  <c r="E90" i="14"/>
  <c r="F101" i="18"/>
  <c r="O78" i="14"/>
  <c r="H101" i="18"/>
  <c r="D101"/>
  <c r="Q89" i="14"/>
  <c r="P19" i="61" s="1"/>
  <c r="B88" i="14"/>
  <c r="B18" i="61" s="1"/>
  <c r="B77" i="14"/>
  <c r="B9" i="61" s="1"/>
  <c r="Q77" i="14"/>
  <c r="P9" i="61" s="1"/>
  <c r="J17" i="18"/>
  <c r="H20"/>
  <c r="M87" i="14"/>
  <c r="J8" i="18"/>
  <c r="M76" i="14"/>
  <c r="H10" i="18"/>
  <c r="E20"/>
  <c r="F87" i="14"/>
  <c r="C77"/>
  <c r="C9" i="61" s="1"/>
  <c r="C20" i="18"/>
  <c r="D87" i="14"/>
  <c r="D17" i="61" s="1"/>
  <c r="D20" s="1"/>
  <c r="D76" i="14"/>
  <c r="D8" i="61" s="1"/>
  <c r="D10" s="1"/>
  <c r="C10" i="18"/>
  <c r="C88" i="14"/>
  <c r="C18" i="61" s="1"/>
  <c r="I17" i="18"/>
  <c r="I76" i="14"/>
  <c r="I8" i="61" s="1"/>
  <c r="I10" s="1"/>
  <c r="Q88" i="14"/>
  <c r="P18" i="61" s="1"/>
  <c r="AC15" i="5"/>
  <c r="M78" i="14" l="1"/>
  <c r="M8" i="61"/>
  <c r="M10" s="1"/>
  <c r="F90" i="14"/>
  <c r="F17" i="61"/>
  <c r="F20" s="1"/>
  <c r="M90" i="14"/>
  <c r="M17" i="61"/>
  <c r="M20" s="1"/>
  <c r="O8" i="18"/>
  <c r="O10" s="1"/>
  <c r="F76" i="14"/>
  <c r="I78"/>
  <c r="Q76"/>
  <c r="D78"/>
  <c r="J87"/>
  <c r="J20" i="18"/>
  <c r="I87" i="14"/>
  <c r="I17" i="61" s="1"/>
  <c r="I20" s="1"/>
  <c r="I20" i="18"/>
  <c r="O17"/>
  <c r="O20" s="1"/>
  <c r="Q87" i="14"/>
  <c r="D90"/>
  <c r="J10" i="18"/>
  <c r="J76" i="14"/>
  <c r="D5" i="13"/>
  <c r="Q90" i="14" l="1"/>
  <c r="B17" i="6" s="1"/>
  <c r="P17" i="61"/>
  <c r="P20" s="1"/>
  <c r="Q78" i="14"/>
  <c r="B9" i="6" s="1"/>
  <c r="P8" i="61"/>
  <c r="P10" s="1"/>
  <c r="J78" i="14"/>
  <c r="J8" i="61"/>
  <c r="J10" s="1"/>
  <c r="J90" i="14"/>
  <c r="J17" i="61"/>
  <c r="J20" s="1"/>
  <c r="F78" i="14"/>
  <c r="F8" i="61"/>
  <c r="F10" s="1"/>
  <c r="I90" i="14"/>
  <c r="B87"/>
  <c r="C87"/>
  <c r="C76"/>
  <c r="B76"/>
  <c r="B26" i="17"/>
  <c r="B90" i="14" l="1"/>
  <c r="B17" i="61"/>
  <c r="B20" s="1"/>
  <c r="C90" i="14"/>
  <c r="C17" i="61"/>
  <c r="C20" s="1"/>
  <c r="C78" i="14"/>
  <c r="C8" i="61"/>
  <c r="C10" s="1"/>
  <c r="B78" i="14"/>
  <c r="B8" i="61"/>
  <c r="B10" s="1"/>
  <c r="H14" i="15"/>
  <c r="H16" s="1"/>
  <c r="G14"/>
  <c r="G16" s="1"/>
  <c r="I10" i="14" l="1"/>
  <c r="I16" s="1"/>
  <c r="H5" i="48"/>
  <c r="H10" i="14"/>
  <c r="H16" s="1"/>
  <c r="G5" i="48"/>
  <c r="B4" i="6"/>
  <c r="A31" i="23"/>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M5" i="48" l="1"/>
  <c r="N10" i="14"/>
  <c r="N16" s="1"/>
  <c r="E35" i="50"/>
  <c r="E34" s="1"/>
  <c r="E33"/>
  <c r="E32" s="1"/>
  <c r="E31"/>
  <c r="E30" s="1"/>
  <c r="E29"/>
  <c r="E28" s="1"/>
  <c r="N24" i="22" l="1"/>
  <c r="N25" l="1"/>
  <c r="E77" l="1"/>
  <c r="B28" i="17" l="1"/>
  <c r="B27"/>
  <c r="B31" i="19" l="1"/>
  <c r="B24"/>
  <c r="B46" i="15" l="1"/>
  <c r="B69" i="13"/>
  <c r="B35" i="19" l="1"/>
  <c r="B26"/>
  <c r="B27" s="1"/>
  <c r="B6" i="13" l="1"/>
  <c r="B17" i="17" l="1"/>
  <c r="B34" l="1"/>
  <c r="B18" i="13" l="1"/>
  <c r="B19"/>
  <c r="B20"/>
  <c r="B21"/>
  <c r="B6" i="16" l="1"/>
  <c r="L5" i="17" l="1"/>
  <c r="L16" i="16"/>
  <c r="F16"/>
  <c r="D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8"/>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K5" i="48" l="1"/>
  <c r="L10" i="14"/>
  <c r="L16" s="1"/>
  <c r="L27" s="1"/>
  <c r="D30" i="48"/>
  <c r="D28"/>
  <c r="D32"/>
  <c r="D24"/>
  <c r="D29"/>
  <c r="D31"/>
  <c r="L29"/>
  <c r="L32"/>
  <c r="L27"/>
  <c r="L28"/>
  <c r="L24"/>
  <c r="L22"/>
  <c r="L31"/>
  <c r="L30"/>
  <c r="Q10" i="14"/>
  <c r="P5" i="48"/>
  <c r="P23" s="1"/>
  <c r="K32"/>
  <c r="K24"/>
  <c r="K27"/>
  <c r="K31"/>
  <c r="K26"/>
  <c r="K22"/>
  <c r="K29"/>
  <c r="K25"/>
  <c r="K30"/>
  <c r="K28"/>
  <c r="C24" i="14"/>
  <c r="C26" s="1"/>
  <c r="B7" i="48"/>
  <c r="J30"/>
  <c r="J32"/>
  <c r="J24"/>
  <c r="J31"/>
  <c r="J29"/>
  <c r="J28"/>
  <c r="J27"/>
  <c r="Q11" i="14"/>
  <c r="P4" i="48"/>
  <c r="P11" i="14"/>
  <c r="O4" i="48"/>
  <c r="I29"/>
  <c r="I25"/>
  <c r="I28"/>
  <c r="I30"/>
  <c r="I22"/>
  <c r="I32"/>
  <c r="I26"/>
  <c r="I27"/>
  <c r="I31"/>
  <c r="I24"/>
  <c r="D4"/>
  <c r="D22" s="1"/>
  <c r="E11" i="14"/>
  <c r="H29" i="48"/>
  <c r="H32"/>
  <c r="H25"/>
  <c r="H30"/>
  <c r="H24"/>
  <c r="H28"/>
  <c r="H22"/>
  <c r="H26"/>
  <c r="H23"/>
  <c r="C4"/>
  <c r="D11" i="14"/>
  <c r="G23" i="48"/>
  <c r="G30"/>
  <c r="G32"/>
  <c r="G26"/>
  <c r="G29"/>
  <c r="G25"/>
  <c r="G24"/>
  <c r="G22"/>
  <c r="C11" i="14"/>
  <c r="B4" i="48"/>
  <c r="F30"/>
  <c r="F32"/>
  <c r="F24"/>
  <c r="F31"/>
  <c r="F29"/>
  <c r="F27"/>
  <c r="F28"/>
  <c r="N30"/>
  <c r="N32"/>
  <c r="N24"/>
  <c r="N27"/>
  <c r="N28"/>
  <c r="N31"/>
  <c r="N29"/>
  <c r="C19" i="14"/>
  <c r="B10" i="48"/>
  <c r="E31"/>
  <c r="E29"/>
  <c r="E24"/>
  <c r="E30"/>
  <c r="E28"/>
  <c r="E32"/>
  <c r="M29"/>
  <c r="M26"/>
  <c r="M24"/>
  <c r="M30"/>
  <c r="M25"/>
  <c r="M32"/>
  <c r="M22"/>
  <c r="M23"/>
  <c r="B8" i="9"/>
  <c r="B6" i="48" s="1"/>
  <c r="Q6" s="1"/>
  <c r="N16" i="16"/>
  <c r="C16" i="15"/>
  <c r="C5" i="48" s="1"/>
  <c r="C16" i="16"/>
  <c r="C18" s="1"/>
  <c r="L18"/>
  <c r="L22" s="1"/>
  <c r="M43" i="14" s="1"/>
  <c r="I14" i="15"/>
  <c r="I16" s="1"/>
  <c r="B13" i="16"/>
  <c r="C35"/>
  <c r="D8" i="17"/>
  <c r="D12" s="1"/>
  <c r="E54" i="14" s="1"/>
  <c r="E56" s="1"/>
  <c r="D14" i="15"/>
  <c r="P18" i="16"/>
  <c r="N5" i="17"/>
  <c r="J8"/>
  <c r="F8"/>
  <c r="L16" i="15"/>
  <c r="B67" i="22"/>
  <c r="M11"/>
  <c r="G10"/>
  <c r="M9"/>
  <c r="G8"/>
  <c r="M7"/>
  <c r="G6"/>
  <c r="G11"/>
  <c r="M8"/>
  <c r="G7"/>
  <c r="M10"/>
  <c r="G9"/>
  <c r="M6"/>
  <c r="B7" i="15"/>
  <c r="O5" i="16"/>
  <c r="B38" i="13"/>
  <c r="B50" s="1"/>
  <c r="B11" i="15"/>
  <c r="B11" i="16"/>
  <c r="J19" i="19"/>
  <c r="K39" i="14" s="1"/>
  <c r="N19" i="19"/>
  <c r="O39" i="14" s="1"/>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E9" i="48" l="1"/>
  <c r="E27" s="1"/>
  <c r="F20" i="14"/>
  <c r="F22" s="1"/>
  <c r="Q13"/>
  <c r="P8" i="48"/>
  <c r="P26" s="1"/>
  <c r="F4"/>
  <c r="F22" s="1"/>
  <c r="G11" i="14"/>
  <c r="I5" i="48"/>
  <c r="J10" i="14"/>
  <c r="J16" s="1"/>
  <c r="J27" s="1"/>
  <c r="C22"/>
  <c r="O22" i="48"/>
  <c r="K23"/>
  <c r="K15"/>
  <c r="G13"/>
  <c r="G31" s="1"/>
  <c r="H18" i="14"/>
  <c r="D9" i="48"/>
  <c r="D27" s="1"/>
  <c r="E20" i="14"/>
  <c r="E22" s="1"/>
  <c r="P10"/>
  <c r="O5" i="48"/>
  <c r="O23" s="1"/>
  <c r="B9"/>
  <c r="C20" i="14"/>
  <c r="J7" i="48"/>
  <c r="J25" s="1"/>
  <c r="K24" i="14"/>
  <c r="K26" s="1"/>
  <c r="P22" i="48"/>
  <c r="P15"/>
  <c r="K33"/>
  <c r="Q16" i="14"/>
  <c r="Q27" s="1"/>
  <c r="I20" i="15"/>
  <c r="J40" i="14" s="1"/>
  <c r="J46" s="1"/>
  <c r="J61" s="1"/>
  <c r="L46"/>
  <c r="L61" s="1"/>
  <c r="L63" s="1"/>
  <c r="H13" i="48"/>
  <c r="I18" i="14"/>
  <c r="D10"/>
  <c r="M12" i="22"/>
  <c r="N18" i="14"/>
  <c r="M13" i="48"/>
  <c r="M31" s="1"/>
  <c r="G24" i="14"/>
  <c r="G26" s="1"/>
  <c r="F7" i="48"/>
  <c r="F25" s="1"/>
  <c r="D7"/>
  <c r="D25" s="1"/>
  <c r="E24" i="14"/>
  <c r="E26" s="1"/>
  <c r="C7" i="48"/>
  <c r="D24" i="14"/>
  <c r="M13"/>
  <c r="L8" i="48"/>
  <c r="L26" s="1"/>
  <c r="C8"/>
  <c r="D13" i="14"/>
  <c r="M10"/>
  <c r="L5" i="48"/>
  <c r="P22" i="16"/>
  <c r="Q43" i="14" s="1"/>
  <c r="J12" i="17"/>
  <c r="K54" i="14" s="1"/>
  <c r="K56" s="1"/>
  <c r="B35" i="13"/>
  <c r="B47" s="1"/>
  <c r="D18" i="16"/>
  <c r="G31" i="20"/>
  <c r="H48" i="14" s="1"/>
  <c r="G12" i="22"/>
  <c r="D16" i="15"/>
  <c r="E8" i="17"/>
  <c r="O18" i="16"/>
  <c r="B36" i="13"/>
  <c r="B48" s="1"/>
  <c r="C48" s="1"/>
  <c r="N5" s="1"/>
  <c r="N8" s="1"/>
  <c r="H12" i="22"/>
  <c r="B34" i="13"/>
  <c r="N8" i="17"/>
  <c r="L8"/>
  <c r="M50" i="22"/>
  <c r="M54" s="1"/>
  <c r="G51"/>
  <c r="G50" s="1"/>
  <c r="G54" s="1"/>
  <c r="F12" i="17"/>
  <c r="G54" i="14" s="1"/>
  <c r="G56" s="1"/>
  <c r="M31" i="20"/>
  <c r="N48" i="14" s="1"/>
  <c r="H31" i="20"/>
  <c r="I48" i="14" s="1"/>
  <c r="M5" i="22"/>
  <c r="M14" s="1"/>
  <c r="G5"/>
  <c r="H5"/>
  <c r="H14" s="1"/>
  <c r="E5" i="15"/>
  <c r="O20"/>
  <c r="P40" i="14" s="1"/>
  <c r="P20" i="15"/>
  <c r="Q40" i="14" s="1"/>
  <c r="Q46" s="1"/>
  <c r="Q61" s="1"/>
  <c r="Q63" s="1"/>
  <c r="J5" i="15"/>
  <c r="F5"/>
  <c r="F16" s="1"/>
  <c r="B5"/>
  <c r="B16" s="1"/>
  <c r="B5" i="16"/>
  <c r="B18" s="1"/>
  <c r="N5" i="15"/>
  <c r="N16" s="1"/>
  <c r="F12" i="13"/>
  <c r="G41" i="14" s="1"/>
  <c r="F13" i="16"/>
  <c r="E13"/>
  <c r="N13"/>
  <c r="J13"/>
  <c r="N12"/>
  <c r="J12"/>
  <c r="F12"/>
  <c r="E12"/>
  <c r="B46" i="13"/>
  <c r="E5" s="1"/>
  <c r="E8" s="1"/>
  <c r="C50"/>
  <c r="J5" s="1"/>
  <c r="J8" s="1"/>
  <c r="M10" i="48" l="1"/>
  <c r="M28" s="1"/>
  <c r="N19" i="14"/>
  <c r="F24"/>
  <c r="F26" s="1"/>
  <c r="E7" i="48"/>
  <c r="E25" s="1"/>
  <c r="O8"/>
  <c r="P13" i="14"/>
  <c r="K11"/>
  <c r="J4" i="48"/>
  <c r="N4"/>
  <c r="N22" s="1"/>
  <c r="O11" i="14"/>
  <c r="I15" i="48"/>
  <c r="I23"/>
  <c r="I33" s="1"/>
  <c r="P16" i="14"/>
  <c r="P27" s="1"/>
  <c r="P46"/>
  <c r="P61" s="1"/>
  <c r="H19"/>
  <c r="G10" i="48"/>
  <c r="E4"/>
  <c r="F11" i="14"/>
  <c r="E12" i="17"/>
  <c r="F54" i="14" s="1"/>
  <c r="F56" s="1"/>
  <c r="J63"/>
  <c r="P33" i="48"/>
  <c r="I20" i="14"/>
  <c r="I22" s="1"/>
  <c r="I27" s="1"/>
  <c r="H9" i="48"/>
  <c r="M9"/>
  <c r="N20" i="14"/>
  <c r="R18"/>
  <c r="N22"/>
  <c r="N27" s="1"/>
  <c r="H31" i="48"/>
  <c r="Q13"/>
  <c r="N12" i="17"/>
  <c r="O54" i="14" s="1"/>
  <c r="O56" s="1"/>
  <c r="N7" i="48"/>
  <c r="N25" s="1"/>
  <c r="O24" i="14"/>
  <c r="O26" s="1"/>
  <c r="L12" i="17"/>
  <c r="M54" i="14" s="1"/>
  <c r="M56" s="1"/>
  <c r="M24"/>
  <c r="M26" s="1"/>
  <c r="L7" i="48"/>
  <c r="L25" s="1"/>
  <c r="D26" i="14"/>
  <c r="D8" i="48"/>
  <c r="D26" s="1"/>
  <c r="E13" i="14"/>
  <c r="B8" i="48"/>
  <c r="C13" i="14"/>
  <c r="O10"/>
  <c r="N5" i="48"/>
  <c r="C10" i="14"/>
  <c r="B5" i="48"/>
  <c r="G10" i="14"/>
  <c r="F5" i="48"/>
  <c r="E10" i="14"/>
  <c r="D5" i="48"/>
  <c r="O22" i="16"/>
  <c r="P43" i="14" s="1"/>
  <c r="E12" i="13"/>
  <c r="F41" i="14" s="1"/>
  <c r="D22" i="16"/>
  <c r="E43" i="14" s="1"/>
  <c r="D20" i="15"/>
  <c r="E40" i="14" s="1"/>
  <c r="G14" i="22"/>
  <c r="J16" i="15"/>
  <c r="E16"/>
  <c r="M58" i="22"/>
  <c r="N49" i="14" s="1"/>
  <c r="D18" i="22"/>
  <c r="E50" i="14" s="1"/>
  <c r="E52" s="1"/>
  <c r="E18" i="22"/>
  <c r="F50" i="14" s="1"/>
  <c r="F52" s="1"/>
  <c r="G58" i="22"/>
  <c r="H49" i="14" s="1"/>
  <c r="M18" i="22"/>
  <c r="N50" i="14" s="1"/>
  <c r="N52" s="1"/>
  <c r="N61" s="1"/>
  <c r="J20" i="15"/>
  <c r="K40" i="14" s="1"/>
  <c r="N20" i="15"/>
  <c r="O40" i="14" s="1"/>
  <c r="F20" i="15"/>
  <c r="G40" i="14" s="1"/>
  <c r="N5" i="16"/>
  <c r="E5"/>
  <c r="J5"/>
  <c r="C35" i="13"/>
  <c r="F5" i="16"/>
  <c r="C36" i="13"/>
  <c r="N12"/>
  <c r="O41" i="14" s="1"/>
  <c r="C38" i="13"/>
  <c r="C39"/>
  <c r="C32"/>
  <c r="C34"/>
  <c r="J12"/>
  <c r="K41" i="14" s="1"/>
  <c r="L20" i="15"/>
  <c r="M40" i="14" s="1"/>
  <c r="J22" i="48" l="1"/>
  <c r="J5"/>
  <c r="J23" s="1"/>
  <c r="K10" i="14"/>
  <c r="G28" i="48"/>
  <c r="Q10"/>
  <c r="F10" i="14"/>
  <c r="E5" i="48"/>
  <c r="E23" s="1"/>
  <c r="E22"/>
  <c r="Q4"/>
  <c r="Q7"/>
  <c r="P63" i="14"/>
  <c r="G9" i="48"/>
  <c r="H20" i="14"/>
  <c r="H22"/>
  <c r="H27" s="1"/>
  <c r="R19"/>
  <c r="R22" s="1"/>
  <c r="O26" i="48"/>
  <c r="O33" s="1"/>
  <c r="O15"/>
  <c r="R11" i="14"/>
  <c r="M15" i="48"/>
  <c r="M27"/>
  <c r="M33" s="1"/>
  <c r="Q9"/>
  <c r="H15"/>
  <c r="H27"/>
  <c r="H33" s="1"/>
  <c r="N63" i="14"/>
  <c r="R20"/>
  <c r="R24"/>
  <c r="R26" s="1"/>
  <c r="N18" i="16"/>
  <c r="E20" i="15"/>
  <c r="F40" i="14" s="1"/>
  <c r="F18" i="16"/>
  <c r="J18"/>
  <c r="E18"/>
  <c r="G18" i="22"/>
  <c r="H50" i="14" s="1"/>
  <c r="H52" s="1"/>
  <c r="H61" s="1"/>
  <c r="H63" s="1"/>
  <c r="H18" i="22"/>
  <c r="I50" i="14" s="1"/>
  <c r="I52" s="1"/>
  <c r="I61" s="1"/>
  <c r="I63" s="1"/>
  <c r="G27" i="48" l="1"/>
  <c r="G33" s="1"/>
  <c r="G15"/>
  <c r="J8"/>
  <c r="K13" i="14"/>
  <c r="K16" s="1"/>
  <c r="K27" s="1"/>
  <c r="K63" s="1"/>
  <c r="F13"/>
  <c r="F16" s="1"/>
  <c r="F27" s="1"/>
  <c r="E8" i="48"/>
  <c r="N8"/>
  <c r="N26" s="1"/>
  <c r="O13" i="14"/>
  <c r="F8" i="48"/>
  <c r="G13" i="14"/>
  <c r="R13" s="1"/>
  <c r="E22" i="16"/>
  <c r="F43" i="14" s="1"/>
  <c r="F46" s="1"/>
  <c r="F61" s="1"/>
  <c r="F22" i="16"/>
  <c r="G43" i="14" s="1"/>
  <c r="N22" i="16"/>
  <c r="O43" i="14" s="1"/>
  <c r="J22" i="16"/>
  <c r="K43" i="14" s="1"/>
  <c r="K46" s="1"/>
  <c r="K61" s="1"/>
  <c r="F63" l="1"/>
  <c r="E26" i="48"/>
  <c r="E33" s="1"/>
  <c r="E15"/>
  <c r="J26"/>
  <c r="J33" s="1"/>
  <c r="J15"/>
  <c r="F26"/>
  <c r="Q8"/>
  <c r="D16" i="14" l="1"/>
  <c r="D27" s="1"/>
  <c r="B20" i="6" s="1"/>
  <c r="M16" i="14"/>
  <c r="M27" s="1"/>
  <c r="L23" i="48" l="1"/>
  <c r="L33" s="1"/>
  <c r="L15"/>
  <c r="B15"/>
  <c r="C15"/>
  <c r="O16" i="14"/>
  <c r="O27" s="1"/>
  <c r="G16"/>
  <c r="G27" s="1"/>
  <c r="E16"/>
  <c r="E27" s="1"/>
  <c r="Q5" i="48"/>
  <c r="Q15" s="1"/>
  <c r="R10" i="14"/>
  <c r="R16" s="1"/>
  <c r="R27" s="1"/>
  <c r="C16"/>
  <c r="C27" s="1"/>
  <c r="B3" i="6" s="1"/>
  <c r="B22"/>
  <c r="C22" i="61" s="1"/>
  <c r="E46" i="14"/>
  <c r="E61" s="1"/>
  <c r="O46"/>
  <c r="O61" s="1"/>
  <c r="G46"/>
  <c r="G61" s="1"/>
  <c r="G63" s="1"/>
  <c r="M46"/>
  <c r="M61" s="1"/>
  <c r="M63" s="1"/>
  <c r="O63" l="1"/>
  <c r="C10" i="17"/>
  <c r="C12" s="1"/>
  <c r="D54" i="14" s="1"/>
  <c r="C20" i="16"/>
  <c r="C22" s="1"/>
  <c r="D43" i="14" s="1"/>
  <c r="C56" i="22"/>
  <c r="C58" s="1"/>
  <c r="D49" i="14" s="1"/>
  <c r="C17" i="49"/>
  <c r="C16" i="22"/>
  <c r="C17" i="19"/>
  <c r="C19" s="1"/>
  <c r="D39" i="14" s="1"/>
  <c r="C18" i="15"/>
  <c r="C20" s="1"/>
  <c r="D40" i="14" s="1"/>
  <c r="C10" i="13"/>
  <c r="C29" i="20"/>
  <c r="F15" i="48"/>
  <c r="F23"/>
  <c r="F33" s="1"/>
  <c r="E63" i="14"/>
  <c r="D23" i="48"/>
  <c r="D33" s="1"/>
  <c r="D15"/>
  <c r="N15"/>
  <c r="N23"/>
  <c r="N33" s="1"/>
  <c r="B12" i="6"/>
  <c r="C12" i="61" s="1"/>
  <c r="C17" i="48" l="1"/>
  <c r="C12" i="13"/>
  <c r="D41" i="14" s="1"/>
  <c r="C55"/>
  <c r="B20" i="16"/>
  <c r="B22" s="1"/>
  <c r="C43" i="14" s="1"/>
  <c r="B17" i="49"/>
  <c r="B19" s="1"/>
  <c r="C42" i="14" s="1"/>
  <c r="B29" i="20"/>
  <c r="B31" s="1"/>
  <c r="C48" i="14" s="1"/>
  <c r="B16" i="22"/>
  <c r="B18" s="1"/>
  <c r="C50" i="14" s="1"/>
  <c r="B17" i="19"/>
  <c r="B19" s="1"/>
  <c r="C39" i="14" s="1"/>
  <c r="B56" i="22"/>
  <c r="B58" s="1"/>
  <c r="C49" i="14" s="1"/>
  <c r="B10" i="9"/>
  <c r="B12" s="1"/>
  <c r="B10" i="17"/>
  <c r="B12" s="1"/>
  <c r="C54" i="14" s="1"/>
  <c r="B10" i="13"/>
  <c r="B18" i="15"/>
  <c r="B20" s="1"/>
  <c r="D52" i="14"/>
  <c r="D56"/>
  <c r="C40" l="1"/>
  <c r="B17" i="48"/>
  <c r="B12" i="13"/>
  <c r="C41" i="14" s="1"/>
  <c r="C31" i="48"/>
  <c r="C30"/>
  <c r="C24"/>
  <c r="C22"/>
  <c r="C32"/>
  <c r="C28"/>
  <c r="C26"/>
  <c r="C27"/>
  <c r="C25"/>
  <c r="C29"/>
  <c r="C23"/>
  <c r="C33" l="1"/>
  <c r="D46" i="14"/>
  <c r="D61" s="1"/>
  <c r="D63" s="1"/>
  <c r="R55"/>
  <c r="R49" l="1"/>
  <c r="R50"/>
  <c r="R43"/>
  <c r="R42"/>
  <c r="B32" i="48" l="1"/>
  <c r="Q32" s="1"/>
  <c r="B31"/>
  <c r="Q31" s="1"/>
  <c r="B24"/>
  <c r="Q24" s="1"/>
  <c r="B28"/>
  <c r="Q28" s="1"/>
  <c r="B27"/>
  <c r="Q27" s="1"/>
  <c r="B22"/>
  <c r="B30"/>
  <c r="Q30" s="1"/>
  <c r="B29"/>
  <c r="Q29" s="1"/>
  <c r="B25"/>
  <c r="Q25" s="1"/>
  <c r="B26"/>
  <c r="Q26" s="1"/>
  <c r="B23"/>
  <c r="Q23" s="1"/>
  <c r="C56" i="14"/>
  <c r="R54"/>
  <c r="R56" s="1"/>
  <c r="C52"/>
  <c r="R48"/>
  <c r="R52" s="1"/>
  <c r="R39"/>
  <c r="R40"/>
  <c r="R41"/>
  <c r="R46" l="1"/>
  <c r="R61" s="1"/>
  <c r="Q22" i="48"/>
  <c r="Q33" s="1"/>
  <c r="B33"/>
  <c r="C46" i="14"/>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<sst xmlns="http://schemas.openxmlformats.org/spreadsheetml/2006/main" count="2392" uniqueCount="888">
  <si>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</si>
  <si>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</si>
  <si>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</si>
  <si>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</si>
  <si>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</si>
  <si>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</si>
  <si>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</si>
  <si>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</si>
  <si>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</si>
  <si>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</si>
  <si>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</si>
  <si>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</si>
  <si>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</si>
  <si>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</si>
  <si>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</si>
  <si>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</si>
  <si>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</si>
  <si>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</si>
  <si>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</si>
  <si>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</si>
  <si>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</si>
  <si>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</si>
  <si>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</si>
  <si>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</si>
  <si>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</si>
  <si>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</si>
  <si>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</si>
  <si>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</si>
  <si>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</si>
  <si>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</si>
  <si>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</si>
  <si>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</si>
  <si>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</si>
  <si>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</si>
  <si>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</si>
  <si>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</si>
  <si>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</si>
  <si>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</si>
  <si>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</si>
  <si>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</si>
  <si>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</si>
  <si>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</si>
  <si>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</si>
  <si>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</si>
  <si>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</si>
  <si>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</si>
  <si>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</si>
  <si>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</si>
  <si>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</si>
  <si>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</si>
  <si>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</si>
  <si>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</si>
  <si>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</si>
  <si>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</si>
  <si>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</si>
  <si>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</si>
  <si>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</si>
  <si>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</si>
  <si>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</si>
  <si>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</si>
  <si>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</si>
  <si>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</si>
  <si>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</si>
  <si>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</si>
  <si>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</si>
  <si>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</si>
  <si>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</si>
  <si>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</si>
  <si>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</si>
  <si>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</si>
  <si>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</si>
  <si>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</si>
  <si>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</si>
  <si>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</si>
  <si>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</si>
  <si>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</si>
  <si>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</si>
  <si>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</si>
  <si>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</si>
  <si>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</si>
  <si>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</si>
  <si>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</si>
  <si>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</si>
  <si>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</si>
  <si>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</si>
  <si>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</si>
  <si>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</si>
  <si>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</si>
  <si>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</si>
  <si>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</si>
  <si>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</si>
  <si>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</si>
  <si>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</si>
  <si>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</si>
  <si>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</si>
  <si>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</si>
  <si>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</si>
  <si>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</si>
  <si>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</si>
  <si>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</si>
  <si>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</si>
  <si>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</si>
  <si>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</si>
  <si>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</si>
  <si>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</si>
  <si>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</si>
  <si>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</si>
  <si>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</si>
  <si>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</si>
  <si>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</si>
  <si>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</si>
  <si>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</si>
  <si>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</si>
  <si>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</si>
  <si>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</si>
  <si>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</si>
  <si>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</si>
  <si>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</si>
  <si>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</si>
  <si>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</si>
  <si>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</si>
  <si>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</si>
  <si>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</si>
  <si>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</si>
  <si>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</si>
  <si>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</si>
  <si>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</si>
  <si>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</si>
  <si>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</si>
  <si>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</si>
  <si>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</si>
  <si>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</si>
  <si>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</si>
  <si>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</si>
  <si>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</si>
  <si>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</si>
  <si>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</si>
  <si>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</si>
  <si>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</si>
  <si>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</si>
  <si>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</si>
  <si>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</si>
  <si>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</si>
  <si>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</si>
  <si>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</si>
  <si>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</si>
  <si>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</si>
  <si>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</si>
  <si>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</si>
  <si>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</si>
  <si>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</si>
  <si>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</si>
  <si>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</si>
  <si>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</si>
  <si>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</si>
  <si>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</si>
  <si>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</si>
  <si>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</si>
  <si>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</si>
  <si>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</si>
  <si>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</si>
  <si>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</si>
  <si>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</si>
  <si>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</si>
  <si>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</si>
  <si>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</si>
  <si>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</si>
  <si>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</si>
  <si>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</si>
  <si>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</si>
  <si>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</si>
  <si>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</si>
  <si>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</si>
  <si>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</si>
  <si>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</si>
  <si>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</si>
  <si>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</si>
  <si>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</si>
  <si>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</si>
  <si>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</si>
  <si>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</si>
  <si>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</si>
  <si>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</si>
  <si>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</si>
  <si>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</si>
  <si>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</si>
  <si>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</si>
  <si>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</si>
  <si>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</si>
  <si>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</si>
  <si>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</si>
  <si>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</si>
  <si>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</si>
  <si>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</si>
  <si>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</si>
  <si>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</si>
  <si>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</si>
  <si>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</si>
  <si>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</si>
  <si>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</si>
  <si>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</si>
  <si>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</si>
  <si>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</si>
  <si>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</si>
  <si>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</si>
  <si>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</si>
  <si>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</si>
  <si>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</si>
  <si>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</si>
  <si>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</si>
  <si>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</si>
  <si>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</si>
  <si>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</si>
  <si>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</si>
  <si>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</si>
  <si>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</si>
  <si>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</si>
  <si>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</si>
  <si>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</si>
  <si>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</si>
  <si>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</si>
  <si>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</si>
  <si>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</si>
  <si>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</si>
  <si>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</si>
  <si>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</si>
  <si>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</si>
  <si>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</si>
  <si>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</si>
  <si>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</si>
  <si>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</si>
  <si>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</si>
  <si>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</si>
  <si>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</si>
  <si>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</si>
  <si>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</si>
  <si>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</si>
  <si>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</si>
  <si>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</si>
  <si>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</si>
  <si>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</si>
  <si>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</si>
  <si>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</si>
  <si>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</si>
  <si>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</si>
  <si>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</si>
  <si>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</si>
  <si>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</si>
  <si>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</si>
  <si>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</si>
  <si>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</si>
  <si>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</si>
  <si>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</si>
  <si>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</si>
  <si>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</si>
  <si>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</si>
  <si>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</si>
  <si>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</si>
  <si>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</si>
  <si>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</si>
  <si>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</si>
  <si>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</si>
  <si>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</si>
  <si>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</si>
  <si>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</si>
  <si>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</si>
  <si>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</si>
  <si>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</si>
  <si>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</si>
  <si>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</si>
  <si>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</si>
  <si>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</si>
  <si>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</si>
  <si>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</si>
  <si>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</si>
  <si>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</si>
  <si>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</si>
  <si>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</si>
  <si>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</si>
  <si>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</si>
  <si>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</si>
  <si>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</si>
  <si>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</si>
  <si>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</si>
  <si>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</si>
  <si>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</si>
  <si>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</si>
  <si>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</si>
  <si>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</si>
  <si>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</si>
  <si>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</si>
  <si>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</si>
  <si>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</si>
  <si>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</si>
  <si>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</si>
  <si>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</si>
  <si>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</si>
  <si>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</si>
  <si>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</si>
  <si>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</si>
  <si>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</si>
  <si>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</si>
  <si>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</si>
  <si>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</si>
  <si>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</si>
  <si>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</si>
  <si>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</si>
  <si>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</si>
  <si>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</si>
  <si>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</si>
  <si>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</si>
  <si>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</si>
  <si>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</si>
  <si>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</si>
  <si>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</si>
  <si>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</si>
  <si>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</si>
  <si>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</si>
  <si>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</si>
  <si>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</si>
  <si>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</si>
  <si>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</si>
  <si>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</si>
  <si>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</si>
  <si>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</si>
  <si>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</si>
  <si>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</si>
  <si>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</si>
  <si>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</si>
  <si>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</si>
  <si>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</si>
  <si>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</si>
  <si>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</si>
  <si>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</si>
  <si>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</si>
  <si>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</si>
  <si>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</si>
  <si>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</si>
  <si>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</si>
  <si>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</si>
  <si>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</si>
  <si>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</si>
  <si>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</si>
  <si>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</si>
  <si>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</si>
  <si>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</si>
  <si>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</si>
  <si>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</si>
  <si>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</si>
  <si>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</si>
  <si>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</si>
  <si>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</si>
  <si>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</si>
  <si>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</si>
  <si>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</si>
  <si>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</si>
  <si>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</si>
  <si>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</si>
  <si>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</si>
  <si>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</si>
  <si>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</si>
  <si>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</si>
  <si>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</si>
  <si>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</si>
  <si>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</si>
  <si>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</si>
  <si>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</si>
  <si>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</si>
  <si>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</si>
  <si>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</si>
  <si>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</si>
  <si>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</si>
  <si>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</si>
  <si>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</si>
  <si>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</si>
  <si>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</si>
  <si>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</si>
  <si>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</si>
  <si>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</si>
  <si>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</si>
  <si>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</si>
  <si>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</si>
  <si>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</si>
  <si>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</si>
  <si>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</si>
  <si>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</si>
  <si>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</si>
  <si>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</si>
  <si>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</si>
  <si>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</si>
  <si>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</si>
  <si>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</si>
  <si>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</si>
  <si>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</si>
  <si>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</si>
  <si>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</si>
  <si>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</si>
  <si>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</si>
  <si>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</si>
  <si>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</si>
  <si>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</si>
  <si>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</si>
  <si>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</si>
  <si>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</si>
  <si>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</si>
  <si>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</si>
  <si>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</si>
  <si>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</si>
  <si>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</si>
  <si>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</si>
  <si>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</si>
  <si>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</si>
  <si>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</si>
  <si>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</si>
  <si>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</si>
  <si>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</si>
  <si>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</si>
  <si>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</si>
  <si>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</si>
  <si>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</si>
  <si>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</si>
  <si>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</si>
  <si>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</si>
  <si>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</si>
  <si>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</si>
  <si>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</si>
  <si>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</si>
  <si>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</si>
  <si>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</si>
  <si>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</si>
  <si>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</si>
  <si>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</si>
  <si>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</si>
  <si>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</si>
  <si>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</si>
  <si>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</si>
  <si>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</si>
  <si>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</si>
  <si>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</si>
  <si>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</si>
  <si>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</si>
  <si>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</si>
  <si>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</si>
  <si>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</si>
  <si>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</si>
  <si>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</si>
  <si>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</si>
  <si>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</si>
  <si>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</si>
  <si>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</si>
  <si>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</si>
  <si>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</si>
  <si>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</si>
  <si>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</si>
  <si>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</si>
  <si>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</si>
  <si>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</si>
  <si>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</si>
  <si>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</si>
  <si>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</si>
  <si>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</si>
  <si>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</si>
  <si>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</si>
  <si>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</si>
  <si>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</si>
  <si>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</si>
  <si>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</si>
  <si>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</si>
  <si>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</si>
  <si>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</si>
  <si>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</si>
  <si>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</si>
  <si>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</si>
  <si>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</si>
  <si>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</si>
  <si>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</si>
  <si>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</si>
  <si>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</si>
  <si>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</si>
  <si>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</si>
  <si>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</si>
  <si>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</si>
  <si>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</si>
  <si>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</si>
  <si>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</si>
  <si>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</si>
  <si>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</si>
  <si>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</si>
  <si>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</si>
  <si>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</si>
  <si>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</si>
  <si>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</si>
  <si>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</si>
  <si>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</si>
  <si>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</si>
  <si>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</si>
  <si>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</si>
  <si>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</si>
  <si>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</si>
  <si>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</si>
  <si>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</si>
  <si>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</si>
  <si>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</si>
  <si>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</si>
  <si>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</si>
  <si>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</si>
  <si>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</si>
  <si>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</si>
  <si>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</si>
  <si>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</si>
  <si>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</si>
  <si>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</si>
  <si>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</si>
  <si>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</si>
  <si>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</si>
  <si>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</si>
  <si>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</si>
  <si>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</si>
  <si>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</si>
  <si>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</si>
  <si>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</si>
  <si>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</si>
  <si>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</si>
  <si>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</si>
  <si>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</si>
  <si>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</si>
  <si>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</si>
  <si>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</si>
  <si>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</si>
  <si>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</si>
  <si>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</si>
  <si>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</si>
  <si>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</si>
  <si>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</si>
  <si>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</si>
  <si>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</si>
  <si>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</si>
  <si>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</si>
  <si>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</si>
  <si>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</si>
  <si>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</si>
  <si>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</si>
  <si>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</si>
  <si>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</si>
  <si>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</si>
  <si>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</si>
  <si>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</si>
  <si>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</si>
  <si>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</si>
  <si>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</si>
  <si>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</si>
  <si>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</si>
  <si>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</si>
  <si>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</si>
  <si>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</si>
  <si>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</si>
  <si>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</si>
  <si>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</si>
  <si>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</si>
  <si>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</si>
  <si>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</si>
  <si>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</si>
  <si>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</si>
  <si>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</si>
  <si>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</si>
  <si>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</si>
  <si>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</si>
  <si>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</si>
  <si>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</si>
  <si>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</si>
  <si>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</si>
  <si>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</si>
  <si>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</si>
  <si>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</si>
  <si>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</si>
  <si>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</si>
  <si>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</si>
  <si>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</si>
  <si>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</si>
  <si>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</si>
  <si>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</si>
  <si>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</si>
  <si>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</si>
  <si>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</si>
  <si>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</si>
  <si>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</si>
  <si>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</si>
  <si>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</si>
  <si>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</si>
  <si>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</si>
  <si>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</si>
  <si>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</si>
  <si>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</si>
  <si>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</si>
  <si>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</si>
  <si>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</si>
  <si>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</si>
  <si>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</si>
  <si>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</si>
  <si>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</si>
  <si>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</si>
  <si>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</si>
  <si>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</si>
  <si>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</si>
  <si>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</si>
  <si>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</si>
  <si>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</si>
  <si>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</si>
  <si>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</si>
  <si>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</si>
  <si>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</si>
  <si>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</si>
  <si>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</si>
  <si>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</si>
  <si>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</si>
  <si>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</si>
  <si>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</si>
  <si>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</si>
  <si>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</si>
  <si>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</si>
  <si>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</si>
  <si>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</si>
  <si>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</si>
  <si>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</si>
  <si>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</si>
  <si>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</si>
  <si>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</si>
  <si>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</si>
  <si>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</si>
  <si>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</si>
  <si>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</si>
  <si>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</si>
  <si>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</si>
  <si>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</si>
  <si>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</si>
  <si>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</si>
  <si>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</si>
  <si>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</si>
  <si>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</si>
  <si>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</si>
  <si>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</si>
  <si>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</si>
  <si>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</si>
  <si>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</si>
  <si>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</si>
  <si>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</si>
  <si>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</si>
  <si>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</si>
  <si>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</si>
  <si>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</si>
  <si>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</si>
  <si>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</si>
  <si>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</si>
  <si>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</si>
  <si>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</si>
  <si>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</si>
  <si>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</si>
  <si>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</si>
  <si>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</si>
  <si>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</si>
  <si>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</si>
  <si>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</si>
  <si>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</si>
  <si>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</si>
  <si>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</si>
  <si>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</si>
  <si>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</si>
  <si>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</si>
  <si>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</si>
  <si>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</si>
  <si>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</si>
  <si>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</si>
  <si>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</si>
  <si>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</si>
  <si>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</si>
  <si>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</si>
  <si>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</si>
  <si>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</si>
  <si>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</si>
  <si>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</si>
  <si>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</si>
  <si>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</si>
  <si>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</si>
  <si>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</si>
  <si>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</si>
  <si>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</si>
  <si>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</si>
  <si>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</si>
  <si>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</si>
  <si>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</si>
  <si>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</si>
  <si>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</si>
  <si>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</si>
  <si>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</si>
  <si>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</si>
  <si>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</si>
  <si>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</si>
  <si>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</si>
  <si>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</si>
  <si>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</si>
  <si>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</si>
  <si>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</si>
  <si>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</si>
  <si>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</si>
  <si>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</si>
  <si>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</si>
  <si>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</si>
  <si>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</si>
  <si>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</si>
  <si>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</si>
  <si>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</si>
  <si>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</si>
  <si>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</si>
  <si>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</si>
  <si>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</si>
  <si>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</si>
  <si>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</si>
  <si>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</si>
  <si>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</si>
  <si>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</si>
  <si>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</si>
  <si>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</si>
  <si>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</si>
  <si>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</si>
  <si>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</si>
  <si>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</si>
  <si>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</si>
  <si>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</si>
  <si>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</si>
  <si>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</si>
  <si>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</si>
  <si>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</si>
  <si>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</si>
  <si>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</si>
  <si>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</si>
  <si>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</si>
  <si>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</si>
  <si>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</si>
  <si>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</si>
  <si>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</si>
  <si>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</si>
  <si>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</si>
  <si>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</si>
  <si>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</si>
  <si>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</si>
  <si>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</si>
  <si>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</si>
  <si>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</si>
  <si>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</si>
  <si>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</si>
  <si>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</si>
  <si>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</si>
  <si>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</si>
  <si>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</si>
  <si>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</si>
  <si>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</si>
  <si>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</si>
  <si>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</si>
  <si>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</si>
  <si>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</si>
  <si>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</si>
  <si>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</si>
  <si>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</si>
  <si>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</si>
  <si>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</si>
  <si>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</si>
  <si>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</si>
  <si>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</si>
  <si>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</si>
  <si>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</si>
  <si>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</si>
  <si>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</si>
  <si>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</si>
  <si>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</si>
  <si>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</si>
  <si>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</si>
  <si>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</si>
  <si>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</si>
  <si>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</si>
  <si>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</si>
  <si>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</si>
  <si>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</si>
  <si>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</si>
  <si>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</si>
  <si>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</si>
  <si>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</si>
  <si>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</si>
  <si>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</si>
  <si>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</si>
  <si>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</si>
  <si>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</si>
  <si>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</si>
  <si>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</si>
  <si>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</si>
  <si>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</si>
  <si>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</si>
  <si>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</si>
  <si>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</si>
  <si>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</si>
  <si>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</si>
  <si>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</si>
  <si>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</si>
  <si>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</si>
  <si>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</si>
  <si>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</si>
  <si>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</si>
  <si>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</si>
  <si>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</si>
  <si>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</si>
  <si>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</si>
  <si>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</si>
  <si>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</si>
  <si>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</si>
  <si>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</si>
  <si>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</si>
  <si>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</si>
  <si>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</si>
  <si>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</si>
  <si>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</si>
  <si>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</si>
  <si>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</si>
  <si>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</si>
  <si>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</si>
  <si>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</si>
  <si>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</si>
  <si>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</si>
  <si>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</si>
  <si>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</si>
  <si>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</si>
  <si>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</si>
  <si>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</si>
  <si>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</si>
  <si>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</si>
  <si>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</si>
  <si>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</si>
  <si>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</si>
  <si>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</si>
  <si>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</si>
  <si>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</si>
  <si>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</si>
  <si>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</si>
  <si>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</si>
  <si>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</si>
  <si>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</si>
  <si>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</si>
  <si>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Data VMM december 2018</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</si>
  <si>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</si>
  <si>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</si>
  <si>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</si>
  <si>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</si>
  <si>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</si>
  <si>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</si>
  <si>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</si>
  <si>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</si>
  <si>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</si>
  <si>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</si>
  <si>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</si>
  <si>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</si>
  <si>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</si>
  <si>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</si>
  <si>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</si>
  <si>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</si>
  <si>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</si>
  <si>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</si>
  <si>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</si>
  <si>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</si>
  <si>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</si>
  <si>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</si>
  <si>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</si>
  <si>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</si>
  <si>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</si>
  <si>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</si>
  <si>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versie: 2016_04</t>
  </si>
  <si>
    <t>72040</t>
  </si>
  <si>
    <t>MEEUWEN-GRUITRODE</t>
  </si>
  <si>
    <t>Eandis (januari 2018); Infrax (juni 2018)</t>
  </si>
  <si>
    <t>MOW (september 2017)</t>
  </si>
  <si>
    <t>referentietaak LNE (2017); Jaarverslag De Lijn (2016)</t>
  </si>
  <si>
    <t>VEA (april 2018)</t>
  </si>
  <si>
    <t>VEA (januari 2017)</t>
  </si>
  <si>
    <t>VEA (juni 2018)</t>
  </si>
  <si>
    <t>Biolectric nv</t>
  </si>
  <si>
    <t>Jan de Malschelaan 4 B, 9140 Temse</t>
  </si>
  <si>
    <t>WKK-0500 Stijn Van Ham</t>
  </si>
  <si>
    <t>interne verbrandingsmotor</t>
  </si>
  <si>
    <t>WKK interne verbrandinsgmotor (gas)</t>
  </si>
  <si>
    <t>Lommerstraat 13 , 3670 Meeuwen-Gruitrode</t>
  </si>
  <si>
    <t>Inter-Energa</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</si>
</sst>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9">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3"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53" fillId="0" borderId="0"/>
    <xf numFmtId="172" fontId="73"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3" fillId="0" borderId="0"/>
    <xf numFmtId="0" fontId="107" fillId="0" borderId="0"/>
    <xf numFmtId="0" fontId="3" fillId="0" borderId="0" applyNumberFormat="0" applyFill="0" applyBorder="0" applyAlignment="0" applyProtection="0"/>
    <xf numFmtId="0" fontId="108" fillId="0" borderId="176"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5" fillId="0" borderId="2" applyNumberFormat="0" applyFill="0" applyAlignment="0" applyProtection="0"/>
    <xf numFmtId="172" fontId="6" fillId="0" borderId="0"/>
  </cellStyleXfs>
  <cellXfs count="130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3"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1"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0"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0"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79" fillId="0" borderId="80" xfId="0" applyFont="1" applyFill="1" applyBorder="1" applyAlignment="1">
      <alignment horizontal="left" vertical="center" wrapText="1"/>
    </xf>
    <xf numFmtId="172" fontId="0" fillId="0" borderId="114" xfId="0" applyBorder="1"/>
    <xf numFmtId="172" fontId="48" fillId="0" borderId="80" xfId="0" applyFont="1" applyFill="1" applyBorder="1" applyAlignment="1">
      <alignment horizontal="justify" wrapText="1"/>
    </xf>
    <xf numFmtId="172" fontId="79" fillId="0" borderId="114" xfId="0" applyFont="1" applyFill="1" applyBorder="1" applyAlignment="1">
      <alignment horizontal="left" vertical="center" wrapText="1"/>
    </xf>
    <xf numFmtId="172" fontId="79" fillId="0" borderId="115" xfId="0" applyFont="1" applyFill="1" applyBorder="1" applyAlignment="1">
      <alignment horizontal="left" vertical="center" wrapText="1"/>
    </xf>
    <xf numFmtId="172" fontId="54" fillId="12" borderId="103" xfId="0" applyFont="1" applyFill="1" applyBorder="1" applyAlignment="1">
      <alignment horizontal="left" vertical="center" wrapText="1"/>
    </xf>
    <xf numFmtId="172" fontId="54" fillId="12" borderId="61"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1" xfId="0" applyBorder="1"/>
    <xf numFmtId="172" fontId="0" fillId="0" borderId="18" xfId="0" applyBorder="1"/>
    <xf numFmtId="172" fontId="77" fillId="12" borderId="86"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8" fillId="23" borderId="19" xfId="0" applyFont="1" applyFill="1" applyBorder="1"/>
    <xf numFmtId="172" fontId="0" fillId="0" borderId="118"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7" fillId="0" borderId="118"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5" fillId="0" borderId="110" xfId="0" applyFont="1" applyBorder="1" applyAlignment="1">
      <alignment vertical="top" wrapText="1"/>
    </xf>
    <xf numFmtId="172" fontId="25" fillId="0" borderId="113" xfId="0" applyFont="1" applyBorder="1" applyAlignment="1">
      <alignment vertical="top"/>
    </xf>
    <xf numFmtId="172" fontId="25" fillId="0" borderId="119" xfId="0" applyFont="1" applyBorder="1"/>
    <xf numFmtId="172" fontId="25" fillId="0" borderId="121" xfId="0" applyFont="1" applyBorder="1"/>
    <xf numFmtId="172" fontId="25" fillId="0" borderId="118"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4" xfId="0" applyFont="1" applyFill="1" applyBorder="1" applyAlignment="1">
      <alignment horizontal="justify" vertical="top"/>
    </xf>
    <xf numFmtId="172" fontId="0" fillId="0" borderId="113" xfId="0" applyFill="1" applyBorder="1" applyAlignment="1">
      <alignment horizontal="left"/>
    </xf>
    <xf numFmtId="172" fontId="73" fillId="0" borderId="0" xfId="150" applyBorder="1" applyAlignment="1" applyProtection="1">
      <alignment vertical="top"/>
    </xf>
    <xf numFmtId="172" fontId="8" fillId="0" borderId="111" xfId="0" applyFont="1" applyBorder="1"/>
    <xf numFmtId="172" fontId="73" fillId="0" borderId="80" xfId="150" applyBorder="1" applyAlignment="1" applyProtection="1"/>
    <xf numFmtId="172" fontId="73" fillId="0" borderId="80" xfId="150" quotePrefix="1" applyBorder="1" applyAlignment="1" applyProtection="1"/>
    <xf numFmtId="172" fontId="8" fillId="0" borderId="115"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1" xfId="0" applyFill="1" applyBorder="1"/>
    <xf numFmtId="172" fontId="7" fillId="0" borderId="0" xfId="0" applyFont="1" applyBorder="1"/>
    <xf numFmtId="172" fontId="7" fillId="0" borderId="0" xfId="0" applyFont="1" applyFill="1" applyBorder="1"/>
    <xf numFmtId="172" fontId="0" fillId="0" borderId="132" xfId="0" applyBorder="1"/>
    <xf numFmtId="172" fontId="0" fillId="0" borderId="133" xfId="0" applyBorder="1"/>
    <xf numFmtId="172" fontId="25" fillId="0" borderId="0" xfId="0" applyFont="1" applyBorder="1" applyAlignment="1">
      <alignment vertical="top" wrapText="1"/>
    </xf>
    <xf numFmtId="172" fontId="25" fillId="0" borderId="80" xfId="0" applyFont="1" applyBorder="1" applyAlignment="1">
      <alignment vertical="top"/>
    </xf>
    <xf numFmtId="3" fontId="0" fillId="13" borderId="15" xfId="0" quotePrefix="1" applyNumberFormat="1" applyFill="1" applyBorder="1" applyAlignment="1">
      <alignment horizontal="center"/>
    </xf>
    <xf numFmtId="172" fontId="25" fillId="0" borderId="113"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2" fillId="0" borderId="134" xfId="7" applyFont="1" applyFill="1" applyBorder="1" applyAlignment="1">
      <alignment wrapText="1"/>
    </xf>
    <xf numFmtId="172" fontId="8" fillId="23" borderId="102" xfId="0" applyFont="1" applyFill="1" applyBorder="1"/>
    <xf numFmtId="172" fontId="8" fillId="23" borderId="52" xfId="0" applyFont="1" applyFill="1" applyBorder="1"/>
    <xf numFmtId="172" fontId="8" fillId="23" borderId="101" xfId="0" applyFont="1" applyFill="1" applyBorder="1"/>
    <xf numFmtId="3" fontId="0" fillId="0" borderId="61" xfId="0" applyNumberFormat="1" applyFill="1" applyBorder="1"/>
    <xf numFmtId="172" fontId="73" fillId="0" borderId="18" xfId="150" applyBorder="1" applyAlignment="1" applyProtection="1"/>
    <xf numFmtId="172" fontId="87" fillId="0" borderId="136" xfId="0" applyFont="1" applyBorder="1"/>
    <xf numFmtId="172" fontId="7" fillId="0" borderId="61" xfId="0" applyFont="1" applyBorder="1"/>
    <xf numFmtId="172" fontId="7" fillId="0" borderId="18" xfId="0" applyFont="1" applyBorder="1"/>
    <xf numFmtId="172" fontId="73"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8" fillId="0" borderId="111"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3" fillId="0" borderId="134" xfId="7" applyFont="1" applyFill="1" applyBorder="1" applyAlignment="1">
      <alignment wrapText="1"/>
    </xf>
    <xf numFmtId="172" fontId="0" fillId="0" borderId="111" xfId="0" applyFill="1" applyBorder="1"/>
    <xf numFmtId="172" fontId="8" fillId="0" borderId="111" xfId="0" applyFont="1" applyFill="1" applyBorder="1"/>
    <xf numFmtId="172" fontId="95" fillId="0" borderId="8" xfId="0" applyFont="1" applyBorder="1"/>
    <xf numFmtId="172" fontId="0" fillId="0" borderId="140"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4" xfId="0" applyFont="1" applyBorder="1"/>
    <xf numFmtId="172" fontId="0" fillId="0" borderId="145" xfId="0" applyBorder="1" applyAlignment="1">
      <alignment horizontal="center"/>
    </xf>
    <xf numFmtId="172" fontId="8" fillId="0" borderId="147" xfId="0" applyFont="1" applyBorder="1"/>
    <xf numFmtId="172" fontId="0" fillId="0" borderId="143" xfId="0" applyBorder="1" applyAlignment="1">
      <alignment horizontal="center"/>
    </xf>
    <xf numFmtId="172" fontId="0" fillId="0" borderId="149" xfId="0" applyBorder="1"/>
    <xf numFmtId="172" fontId="18" fillId="0" borderId="121" xfId="7" applyFont="1" applyFill="1" applyBorder="1" applyAlignment="1">
      <alignment wrapText="1"/>
    </xf>
    <xf numFmtId="172" fontId="0" fillId="0" borderId="143" xfId="0" applyBorder="1" applyAlignment="1">
      <alignment horizontal="left"/>
    </xf>
    <xf numFmtId="172" fontId="8" fillId="0" borderId="149" xfId="0" applyFont="1" applyBorder="1"/>
    <xf numFmtId="172" fontId="46" fillId="0" borderId="135" xfId="0" applyFont="1" applyFill="1" applyBorder="1"/>
    <xf numFmtId="172" fontId="46" fillId="0" borderId="135" xfId="0" applyFont="1" applyBorder="1"/>
    <xf numFmtId="172" fontId="8" fillId="0" borderId="121" xfId="0" applyFont="1" applyFill="1" applyBorder="1"/>
    <xf numFmtId="172" fontId="0" fillId="23" borderId="4" xfId="0" applyFill="1" applyBorder="1"/>
    <xf numFmtId="172" fontId="8" fillId="0" borderId="134" xfId="0" applyFont="1" applyBorder="1"/>
    <xf numFmtId="172" fontId="46"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49" xfId="0" applyFont="1" applyFill="1" applyBorder="1"/>
    <xf numFmtId="172" fontId="42" fillId="0" borderId="151" xfId="7" applyFont="1" applyFill="1" applyBorder="1" applyAlignment="1">
      <alignment wrapText="1"/>
    </xf>
    <xf numFmtId="172" fontId="0" fillId="0" borderId="10" xfId="0" applyFill="1" applyBorder="1"/>
    <xf numFmtId="172" fontId="0" fillId="0" borderId="11" xfId="0" applyFill="1" applyBorder="1"/>
    <xf numFmtId="172" fontId="8" fillId="0" borderId="149" xfId="0" applyFont="1" applyFill="1" applyBorder="1"/>
    <xf numFmtId="172" fontId="0" fillId="0" borderId="121" xfId="0" applyFill="1" applyBorder="1"/>
    <xf numFmtId="172" fontId="8" fillId="0" borderId="151" xfId="0" applyFont="1" applyFill="1" applyBorder="1"/>
    <xf numFmtId="172" fontId="18"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9" fillId="0" borderId="7" xfId="0" applyFont="1" applyFill="1" applyBorder="1"/>
    <xf numFmtId="172" fontId="0" fillId="0" borderId="147" xfId="0" applyFill="1" applyBorder="1"/>
    <xf numFmtId="172" fontId="0" fillId="0" borderId="7" xfId="0" applyFont="1" applyFill="1" applyBorder="1"/>
    <xf numFmtId="3" fontId="7" fillId="0" borderId="0" xfId="0" applyNumberFormat="1" applyFont="1" applyAlignment="1">
      <alignment horizontal="center"/>
    </xf>
    <xf numFmtId="172" fontId="5" fillId="0" borderId="152" xfId="3" applyBorder="1"/>
    <xf numFmtId="172" fontId="5" fillId="0" borderId="0" xfId="3" applyBorder="1"/>
    <xf numFmtId="172" fontId="0" fillId="0" borderId="152" xfId="0" applyBorder="1"/>
    <xf numFmtId="172" fontId="46" fillId="23" borderId="3" xfId="3" applyFont="1" applyFill="1" applyBorder="1"/>
    <xf numFmtId="172" fontId="46"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1"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6" fillId="0" borderId="121" xfId="54" applyNumberFormat="1" applyFont="1" applyFill="1" applyBorder="1" applyAlignment="1">
      <alignment horizontal="center" vertical="center"/>
    </xf>
    <xf numFmtId="172" fontId="8" fillId="0" borderId="3" xfId="0" applyFont="1" applyBorder="1"/>
    <xf numFmtId="172" fontId="25" fillId="0" borderId="152" xfId="0" applyFont="1" applyBorder="1"/>
    <xf numFmtId="172" fontId="25" fillId="0" borderId="152" xfId="0" applyFont="1" applyFill="1" applyBorder="1"/>
    <xf numFmtId="172" fontId="25" fillId="0" borderId="0" xfId="0" applyFont="1" applyFill="1" applyBorder="1"/>
    <xf numFmtId="9" fontId="25" fillId="0" borderId="0" xfId="0" applyNumberFormat="1" applyFont="1" applyBorder="1"/>
    <xf numFmtId="172" fontId="49" fillId="0" borderId="10" xfId="0" applyFont="1" applyBorder="1"/>
    <xf numFmtId="9" fontId="49" fillId="0" borderId="12" xfId="0" applyNumberFormat="1" applyFont="1" applyBorder="1"/>
    <xf numFmtId="172" fontId="25" fillId="0" borderId="152" xfId="3" applyFont="1" applyFill="1" applyBorder="1"/>
    <xf numFmtId="172" fontId="25" fillId="0" borderId="8" xfId="0" applyFont="1" applyFill="1" applyBorder="1"/>
    <xf numFmtId="172" fontId="25" fillId="0" borderId="149" xfId="3" applyFont="1" applyBorder="1"/>
    <xf numFmtId="172" fontId="25" fillId="0" borderId="151"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0" xfId="0" applyBorder="1" applyAlignment="1">
      <alignment vertical="top" wrapText="1"/>
    </xf>
    <xf numFmtId="172" fontId="8" fillId="0" borderId="80" xfId="0" applyFont="1" applyFill="1" applyBorder="1"/>
    <xf numFmtId="172"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6"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6" fillId="23" borderId="123" xfId="2" applyNumberFormat="1" applyFont="1" applyFill="1" applyBorder="1"/>
    <xf numFmtId="0" fontId="46" fillId="23" borderId="131" xfId="2" applyNumberFormat="1" applyFont="1" applyFill="1" applyBorder="1"/>
    <xf numFmtId="0" fontId="0" fillId="0" borderId="0" xfId="0" applyNumberFormat="1"/>
    <xf numFmtId="0" fontId="85" fillId="0" borderId="0" xfId="1" applyNumberFormat="1" applyFont="1" applyBorder="1"/>
    <xf numFmtId="0" fontId="91" fillId="23" borderId="102" xfId="1" applyNumberFormat="1" applyFont="1" applyFill="1" applyBorder="1"/>
    <xf numFmtId="0" fontId="25" fillId="23" borderId="52" xfId="0" applyNumberFormat="1" applyFont="1" applyFill="1" applyBorder="1"/>
    <xf numFmtId="0" fontId="25" fillId="23" borderId="162" xfId="0" applyNumberFormat="1" applyFont="1" applyFill="1" applyBorder="1"/>
    <xf numFmtId="0" fontId="46" fillId="23" borderId="122" xfId="2" applyNumberFormat="1" applyFont="1" applyFill="1" applyBorder="1"/>
    <xf numFmtId="0" fontId="46" fillId="23" borderId="123" xfId="2" applyNumberFormat="1" applyFont="1" applyFill="1" applyBorder="1" applyAlignment="1">
      <alignment horizontal="left"/>
    </xf>
    <xf numFmtId="0" fontId="25" fillId="0" borderId="111" xfId="3" applyNumberFormat="1" applyFont="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46" fillId="23" borderId="124" xfId="2" applyNumberFormat="1" applyFont="1" applyFill="1" applyBorder="1"/>
    <xf numFmtId="0" fontId="46" fillId="23" borderId="125" xfId="2" applyNumberFormat="1" applyFont="1" applyFill="1" applyBorder="1"/>
    <xf numFmtId="0" fontId="46" fillId="23" borderId="126" xfId="2" applyNumberFormat="1" applyFont="1" applyFill="1" applyBorder="1"/>
    <xf numFmtId="0" fontId="25" fillId="0" borderId="0" xfId="3" applyNumberFormat="1" applyFont="1"/>
    <xf numFmtId="0" fontId="46" fillId="23" borderId="127" xfId="3" applyNumberFormat="1" applyFont="1" applyFill="1" applyBorder="1"/>
    <xf numFmtId="0" fontId="46" fillId="23" borderId="117" xfId="3" applyNumberFormat="1" applyFont="1" applyFill="1" applyBorder="1"/>
    <xf numFmtId="0" fontId="46" fillId="23" borderId="128" xfId="3" applyNumberFormat="1" applyFont="1" applyFill="1" applyBorder="1"/>
    <xf numFmtId="0" fontId="46" fillId="23" borderId="124" xfId="3" applyNumberFormat="1" applyFont="1" applyFill="1" applyBorder="1"/>
    <xf numFmtId="0" fontId="46" fillId="23" borderId="125" xfId="3" applyNumberFormat="1" applyFont="1" applyFill="1" applyBorder="1"/>
    <xf numFmtId="0" fontId="46" fillId="23" borderId="126" xfId="3" applyNumberFormat="1" applyFont="1" applyFill="1" applyBorder="1"/>
    <xf numFmtId="0" fontId="25" fillId="0" borderId="0" xfId="3" applyNumberFormat="1" applyFont="1" applyBorder="1"/>
    <xf numFmtId="0" fontId="0" fillId="0" borderId="0" xfId="0" applyNumberFormat="1" applyBorder="1"/>
    <xf numFmtId="0" fontId="91" fillId="23" borderId="21" xfId="1" applyNumberFormat="1" applyFont="1" applyFill="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46" fillId="23" borderId="125" xfId="2" applyNumberFormat="1" applyFont="1" applyFill="1" applyBorder="1" applyAlignment="1">
      <alignment horizontal="left"/>
    </xf>
    <xf numFmtId="0" fontId="82" fillId="0" borderId="0" xfId="3" applyNumberFormat="1" applyFont="1"/>
    <xf numFmtId="0" fontId="25" fillId="23" borderId="52" xfId="3" applyNumberFormat="1" applyFont="1" applyFill="1" applyBorder="1"/>
    <xf numFmtId="0" fontId="5" fillId="0" borderId="0" xfId="3" applyNumberFormat="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50" applyNumberFormat="1" applyBorder="1" applyAlignment="1" applyProtection="1"/>
    <xf numFmtId="0" fontId="0" fillId="0" borderId="110" xfId="0" applyNumberFormat="1" applyBorder="1"/>
    <xf numFmtId="0" fontId="0" fillId="0" borderId="113" xfId="0" applyNumberFormat="1" applyBorder="1"/>
    <xf numFmtId="0" fontId="73" fillId="0" borderId="114" xfId="150" applyNumberFormat="1" applyBorder="1" applyAlignment="1" applyProtection="1"/>
    <xf numFmtId="0" fontId="0" fillId="0" borderId="115" xfId="0" applyNumberFormat="1" applyBorder="1"/>
    <xf numFmtId="0" fontId="73" fillId="0" borderId="112" xfId="150"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1" fillId="4" borderId="149"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2"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2" fontId="40" fillId="19" borderId="77"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2" fontId="0" fillId="0" borderId="66"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2"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2"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2"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2" xfId="0" applyFont="1" applyBorder="1" applyProtection="1"/>
    <xf numFmtId="172" fontId="47" fillId="0" borderId="0" xfId="0" applyFont="1" applyBorder="1" applyProtection="1"/>
    <xf numFmtId="172" fontId="0" fillId="0" borderId="0" xfId="0" applyBorder="1" applyProtection="1"/>
    <xf numFmtId="172" fontId="46"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0"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2"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7" applyNumberFormat="1" applyFont="1" applyFill="1" applyBorder="1" applyAlignment="1">
      <alignment wrapText="1"/>
    </xf>
    <xf numFmtId="2" fontId="18" fillId="0" borderId="103" xfId="7" applyNumberFormat="1" applyFont="1" applyFill="1" applyBorder="1" applyAlignment="1">
      <alignment wrapText="1"/>
    </xf>
    <xf numFmtId="2" fontId="18"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8"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6" xfId="0" applyNumberFormat="1" applyFont="1" applyFill="1" applyBorder="1" applyAlignment="1">
      <alignment horizontal="left" vertical="center" wrapText="1"/>
    </xf>
    <xf numFmtId="172"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70" fontId="8" fillId="0" borderId="145" xfId="4" applyNumberFormat="1" applyFont="1" applyBorder="1" applyAlignment="1">
      <alignment horizontal="center"/>
    </xf>
    <xf numFmtId="170" fontId="8" fillId="0" borderId="146" xfId="4" applyNumberFormat="1" applyFont="1" applyBorder="1" applyAlignment="1">
      <alignment horizontal="center"/>
    </xf>
    <xf numFmtId="170" fontId="15" fillId="0" borderId="145" xfId="4" applyNumberFormat="1" applyFont="1" applyBorder="1" applyAlignment="1">
      <alignment horizontal="center"/>
    </xf>
    <xf numFmtId="174" fontId="8" fillId="0" borderId="143" xfId="4" applyNumberFormat="1" applyFont="1" applyBorder="1" applyAlignment="1">
      <alignment horizontal="center"/>
    </xf>
    <xf numFmtId="174" fontId="8" fillId="0" borderId="148" xfId="4" applyNumberFormat="1" applyFont="1" applyBorder="1" applyAlignment="1">
      <alignment horizontal="center"/>
    </xf>
    <xf numFmtId="174" fontId="15" fillId="0" borderId="143"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1" xfId="4" applyNumberFormat="1" applyFill="1" applyBorder="1" applyAlignment="1">
      <alignment horizontal="center"/>
    </xf>
    <xf numFmtId="170" fontId="8" fillId="0" borderId="150" xfId="4" applyNumberFormat="1" applyFont="1" applyBorder="1" applyAlignment="1">
      <alignment horizontal="center"/>
    </xf>
    <xf numFmtId="170" fontId="16" fillId="2" borderId="121" xfId="4" applyNumberFormat="1" applyFont="1" applyFill="1" applyBorder="1" applyAlignment="1">
      <alignment horizontal="center"/>
    </xf>
    <xf numFmtId="170" fontId="8" fillId="0" borderId="143" xfId="4" applyNumberFormat="1" applyFont="1" applyBorder="1" applyAlignment="1">
      <alignment horizontal="center"/>
    </xf>
    <xf numFmtId="170" fontId="8" fillId="0" borderId="148" xfId="4" applyNumberFormat="1" applyFont="1" applyBorder="1" applyAlignment="1">
      <alignment horizontal="center"/>
    </xf>
    <xf numFmtId="170" fontId="15"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6" fillId="0" borderId="0" xfId="151" applyNumberFormat="1" applyFont="1" applyFill="1"/>
    <xf numFmtId="172" fontId="106" fillId="0" borderId="0" xfId="150" applyFont="1" applyAlignment="1" applyProtection="1"/>
    <xf numFmtId="0" fontId="25"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1" fillId="0" borderId="0" xfId="0" applyNumberFormat="1" applyFont="1" applyFill="1"/>
    <xf numFmtId="172" fontId="25"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3"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5" fillId="0" borderId="0" xfId="0" applyFont="1" applyBorder="1"/>
    <xf numFmtId="177" fontId="0" fillId="0" borderId="0" xfId="0" applyNumberFormat="1" applyBorder="1"/>
    <xf numFmtId="172" fontId="73" fillId="0" borderId="0" xfId="150" quotePrefix="1" applyAlignment="1" applyProtection="1"/>
    <xf numFmtId="3" fontId="25" fillId="0" borderId="61" xfId="0" applyNumberFormat="1" applyFont="1" applyFill="1" applyBorder="1" applyAlignment="1">
      <alignment horizontal="left"/>
    </xf>
    <xf numFmtId="172" fontId="25" fillId="0" borderId="18" xfId="0" applyFont="1" applyFill="1" applyBorder="1" applyAlignment="1">
      <alignment horizontal="left"/>
    </xf>
    <xf numFmtId="172"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2" fontId="0" fillId="30" borderId="179" xfId="0" applyFill="1" applyBorder="1" applyAlignment="1">
      <alignment horizontal="left" vertical="top" wrapText="1"/>
    </xf>
    <xf numFmtId="172"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1"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2" fontId="0" fillId="30" borderId="182" xfId="0" applyFill="1" applyBorder="1" applyAlignment="1">
      <alignment horizontal="left" vertical="top" wrapText="1"/>
    </xf>
    <xf numFmtId="172" fontId="0" fillId="30" borderId="183" xfId="0" applyFill="1" applyBorder="1" applyAlignment="1">
      <alignment horizontal="left" vertical="top" wrapText="1"/>
    </xf>
    <xf numFmtId="3" fontId="110" fillId="12" borderId="186"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2"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71"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2" fontId="8"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5" fillId="0" borderId="199" xfId="0" applyNumberFormat="1" applyFont="1" applyFill="1" applyBorder="1" applyAlignment="1">
      <alignment horizontal="left"/>
    </xf>
    <xf numFmtId="1" fontId="116"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5"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5" fillId="0" borderId="199" xfId="0" applyNumberFormat="1" applyFont="1" applyFill="1" applyBorder="1" applyAlignment="1">
      <alignment horizontal="left" vertical="top"/>
    </xf>
    <xf numFmtId="1" fontId="116" fillId="15" borderId="199" xfId="0" applyNumberFormat="1" applyFont="1" applyFill="1" applyBorder="1" applyAlignment="1">
      <alignment horizontal="left" vertical="top" wrapText="1"/>
    </xf>
    <xf numFmtId="1" fontId="116"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110" fillId="12" borderId="185" xfId="0" applyNumberFormat="1" applyFont="1" applyFill="1" applyBorder="1" applyAlignment="1">
      <alignment horizontal="center" vertical="top" wrapText="1"/>
    </xf>
    <xf numFmtId="3" fontId="110" fillId="12" borderId="186"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4"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8"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89"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0" borderId="0" xfId="0" applyFont="1" applyFill="1" applyBorder="1" applyAlignment="1" applyProtection="1">
      <alignment horizontal="center" vertical="center" wrapText="1"/>
    </xf>
    <xf numFmtId="172" fontId="40" fillId="19" borderId="97" xfId="0" applyFont="1" applyFill="1" applyBorder="1" applyAlignment="1" applyProtection="1">
      <alignment horizontal="center" vertical="center"/>
    </xf>
    <xf numFmtId="172" fontId="40" fillId="19" borderId="9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2" fontId="40" fillId="19" borderId="155"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0" borderId="0" xfId="0" applyFont="1" applyFill="1" applyBorder="1" applyAlignment="1" applyProtection="1">
      <alignment horizontal="right" vertical="center"/>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172" fontId="44" fillId="0" borderId="66"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19" borderId="186" xfId="0" applyFont="1" applyFill="1" applyBorder="1" applyAlignment="1" applyProtection="1">
      <alignment horizontal="right" vertical="center"/>
    </xf>
    <xf numFmtId="172" fontId="40" fillId="19" borderId="54" xfId="0" applyFont="1" applyFill="1" applyBorder="1" applyAlignment="1" applyProtection="1">
      <alignment horizontal="right" vertical="center"/>
    </xf>
    <xf numFmtId="172" fontId="40" fillId="19" borderId="100"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8" xfId="0" applyFont="1" applyFill="1" applyBorder="1" applyAlignment="1" applyProtection="1">
      <alignment horizontal="center" vertical="center"/>
    </xf>
    <xf numFmtId="0" fontId="86" fillId="0" borderId="0" xfId="162" applyFont="1" applyBorder="1"/>
    <xf numFmtId="0" fontId="46" fillId="23" borderId="125" xfId="175" applyNumberFormat="1" applyFont="1" applyFill="1" applyBorder="1" applyAlignment="1">
      <alignment horizontal="left"/>
    </xf>
    <xf numFmtId="0" fontId="6" fillId="0" borderId="0" xfId="176" applyNumberFormat="1"/>
    <xf numFmtId="3" fontId="25" fillId="0" borderId="111" xfId="3" applyNumberFormat="1" applyFont="1" applyBorder="1"/>
    <xf numFmtId="1" fontId="0" fillId="0" borderId="0" xfId="0" applyNumberFormat="1"/>
    <xf numFmtId="0" fontId="25"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125884.55275316404</c:v>
                </c:pt>
                <c:pt idx="1">
                  <c:v>16493.488028239284</c:v>
                </c:pt>
                <c:pt idx="2">
                  <c:v>773.59500000000003</c:v>
                </c:pt>
                <c:pt idx="3">
                  <c:v>13531.209056533493</c:v>
                </c:pt>
                <c:pt idx="4">
                  <c:v>13169.573034568826</c:v>
                </c:pt>
                <c:pt idx="5">
                  <c:v>101891.40406373578</c:v>
                </c:pt>
                <c:pt idx="6">
                  <c:v>1840.6314084698326</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75792768"/>
        <c:axId val="75794304"/>
      </c:barChart>
      <c:catAx>
        <c:axId val="75792768"/>
        <c:scaling>
          <c:orientation val="minMax"/>
        </c:scaling>
        <c:axPos val="b"/>
        <c:numFmt formatCode="General" sourceLinked="0"/>
        <c:tickLblPos val="nextTo"/>
        <c:crossAx val="75794304"/>
        <c:crosses val="autoZero"/>
        <c:auto val="1"/>
        <c:lblAlgn val="ctr"/>
        <c:lblOffset val="100"/>
      </c:catAx>
      <c:valAx>
        <c:axId val="75794304"/>
        <c:scaling>
          <c:orientation val="minMax"/>
        </c:scaling>
        <c:axPos val="l"/>
        <c:majorGridlines>
          <c:spPr>
            <a:ln>
              <a:noFill/>
            </a:ln>
          </c:spPr>
        </c:majorGridlines>
        <c:numFmt formatCode="#,##0" sourceLinked="1"/>
        <c:tickLblPos val="nextTo"/>
        <c:crossAx val="75792768"/>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125884.55275316404</c:v>
                </c:pt>
                <c:pt idx="1">
                  <c:v>16493.488028239284</c:v>
                </c:pt>
                <c:pt idx="2">
                  <c:v>773.59500000000003</c:v>
                </c:pt>
                <c:pt idx="3">
                  <c:v>13531.209056533493</c:v>
                </c:pt>
                <c:pt idx="4">
                  <c:v>13169.573034568826</c:v>
                </c:pt>
                <c:pt idx="5">
                  <c:v>101891.40406373578</c:v>
                </c:pt>
                <c:pt idx="6">
                  <c:v>1840.6314084698326</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24728.951698611065</c:v>
                </c:pt>
                <c:pt idx="2">
                  <c:v>3134.3343862285924</c:v>
                </c:pt>
                <c:pt idx="3">
                  <c:v>141.32039543097198</c:v>
                </c:pt>
                <c:pt idx="4">
                  <c:v>3411.6224241639989</c:v>
                </c:pt>
                <c:pt idx="5">
                  <c:v>2510.1891607196376</c:v>
                </c:pt>
                <c:pt idx="6">
                  <c:v>25489.765165155717</c:v>
                </c:pt>
                <c:pt idx="7">
                  <c:v>465.03656226426102</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56469888"/>
        <c:axId val="156471680"/>
      </c:barChart>
      <c:catAx>
        <c:axId val="156469888"/>
        <c:scaling>
          <c:orientation val="minMax"/>
        </c:scaling>
        <c:axPos val="b"/>
        <c:numFmt formatCode="General" sourceLinked="0"/>
        <c:tickLblPos val="nextTo"/>
        <c:crossAx val="156471680"/>
        <c:crosses val="autoZero"/>
        <c:auto val="1"/>
        <c:lblAlgn val="ctr"/>
        <c:lblOffset val="100"/>
      </c:catAx>
      <c:valAx>
        <c:axId val="156471680"/>
        <c:scaling>
          <c:orientation val="minMax"/>
        </c:scaling>
        <c:axPos val="l"/>
        <c:majorGridlines>
          <c:spPr>
            <a:ln>
              <a:noFill/>
            </a:ln>
          </c:spPr>
        </c:majorGridlines>
        <c:numFmt formatCode="#,##0" sourceLinked="1"/>
        <c:tickLblPos val="nextTo"/>
        <c:crossAx val="156469888"/>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24728.951698611065</c:v>
                </c:pt>
                <c:pt idx="2">
                  <c:v>3134.3343862285924</c:v>
                </c:pt>
                <c:pt idx="3">
                  <c:v>141.32039543097198</c:v>
                </c:pt>
                <c:pt idx="4">
                  <c:v>3411.6224241639989</c:v>
                </c:pt>
                <c:pt idx="5">
                  <c:v>2510.1891607196376</c:v>
                </c:pt>
                <c:pt idx="6">
                  <c:v>25489.765165155717</c:v>
                </c:pt>
                <c:pt idx="7">
                  <c:v>465.03656226426102</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xmlns=""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B5" sqref="B5"/>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872</v>
      </c>
      <c r="B4" s="106"/>
      <c r="C4" s="107"/>
    </row>
    <row r="5" spans="1:7" s="413" customFormat="1" ht="15.75" customHeight="1">
      <c r="A5" s="410" t="s">
        <v>0</v>
      </c>
      <c r="B5" s="411"/>
      <c r="C5" s="412"/>
    </row>
    <row r="6" spans="1:7" s="413" customFormat="1" ht="15" customHeight="1">
      <c r="A6" s="414" t="str">
        <f>txtNIS</f>
        <v>72040</v>
      </c>
      <c r="B6" s="415"/>
      <c r="C6" s="416"/>
    </row>
    <row r="7" spans="1:7" s="413" customFormat="1" ht="15.75" customHeight="1">
      <c r="A7" s="417" t="str">
        <f>txtMunicipality</f>
        <v>MEEUWEN-GRUITRODE</v>
      </c>
      <c r="B7" s="415"/>
      <c r="C7" s="416"/>
    </row>
    <row r="8" spans="1:7" ht="15.75" thickBot="1">
      <c r="A8" s="45"/>
      <c r="B8" s="108"/>
      <c r="C8" s="109"/>
    </row>
    <row r="9" spans="1:7" s="406" customFormat="1" ht="15.75" thickBot="1">
      <c r="A9" s="430" t="s">
        <v>357</v>
      </c>
      <c r="B9" s="433"/>
      <c r="C9" s="434"/>
    </row>
    <row r="10" spans="1:7" s="15" customFormat="1" ht="57.75" customHeight="1" thickBot="1">
      <c r="A10" s="1075" t="s">
        <v>796</v>
      </c>
      <c r="B10" s="1076"/>
      <c r="C10" s="1077"/>
    </row>
    <row r="11" spans="1:7" s="407" customFormat="1" ht="15.75" thickBot="1">
      <c r="A11" s="430" t="s">
        <v>359</v>
      </c>
      <c r="B11" s="433"/>
      <c r="C11" s="434"/>
      <c r="G11" s="408"/>
    </row>
    <row r="12" spans="1:7">
      <c r="A12" s="44"/>
      <c r="B12" s="43"/>
      <c r="C12" s="96"/>
    </row>
    <row r="13" spans="1:7" s="407" customFormat="1">
      <c r="A13" s="778"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8" t="s">
        <v>520</v>
      </c>
      <c r="C16" s="107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576</v>
      </c>
      <c r="B13" s="477"/>
      <c r="C13" s="494"/>
      <c r="D13" s="494"/>
      <c r="E13" s="494"/>
      <c r="F13" s="494"/>
      <c r="G13" s="494"/>
      <c r="H13" s="494"/>
      <c r="I13" s="494"/>
      <c r="J13" s="494"/>
      <c r="K13" s="494"/>
      <c r="L13" s="494"/>
      <c r="M13" s="494"/>
      <c r="N13" s="494"/>
      <c r="O13" s="1199"/>
      <c r="P13" s="1199"/>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0.18268007863413283</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2" t="s">
        <v>328</v>
      </c>
      <c r="B1" s="1193" t="s">
        <v>195</v>
      </c>
      <c r="C1" s="1194"/>
      <c r="D1" s="1194"/>
      <c r="E1" s="1194"/>
      <c r="F1" s="1194"/>
      <c r="G1" s="1194"/>
      <c r="H1" s="1194"/>
      <c r="I1" s="1194"/>
      <c r="J1" s="1194"/>
      <c r="K1" s="1194"/>
      <c r="L1" s="1194"/>
      <c r="M1" s="1194"/>
      <c r="N1" s="1194"/>
      <c r="O1" s="1194"/>
      <c r="P1" s="1194"/>
    </row>
    <row r="2" spans="1:16" ht="15" customHeight="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576</v>
      </c>
    </row>
    <row r="26" spans="1:16" s="486" customFormat="1">
      <c r="A26" s="495" t="s">
        <v>525</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594</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603</v>
      </c>
      <c r="B29" s="525">
        <f ca="1">'EF ele_warmte'!B12</f>
        <v>0.18268007863413283</v>
      </c>
      <c r="C29" s="525">
        <f ca="1">'EF ele_warmte'!B22</f>
        <v>0</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522</v>
      </c>
      <c r="B2" s="526"/>
      <c r="C2" s="185"/>
      <c r="D2" s="186"/>
    </row>
    <row r="3" spans="1:11">
      <c r="A3" s="101"/>
      <c r="B3" s="527"/>
      <c r="C3" s="141" t="s">
        <v>182</v>
      </c>
      <c r="D3" s="144" t="s">
        <v>391</v>
      </c>
    </row>
    <row r="4" spans="1:11">
      <c r="A4" s="44" t="s">
        <v>441</v>
      </c>
      <c r="B4" s="47"/>
      <c r="C4" s="32"/>
      <c r="D4" s="143" t="s">
        <v>393</v>
      </c>
    </row>
    <row r="5" spans="1:11">
      <c r="A5" s="44"/>
      <c r="B5" s="48"/>
      <c r="C5" s="32"/>
      <c r="D5" s="143"/>
    </row>
    <row r="6" spans="1:11" s="10" customFormat="1" ht="21.75" thickBot="1">
      <c r="A6" s="189" t="s">
        <v>474</v>
      </c>
      <c r="B6" s="528"/>
      <c r="C6" s="190"/>
      <c r="D6" s="191"/>
    </row>
    <row r="7" spans="1:11" s="43" customFormat="1" ht="15.75" thickBot="1">
      <c r="B7" s="477"/>
    </row>
    <row r="8" spans="1:11" s="43" customFormat="1">
      <c r="A8" s="184" t="s">
        <v>535</v>
      </c>
      <c r="B8" s="526"/>
      <c r="C8" s="185"/>
      <c r="D8" s="186"/>
    </row>
    <row r="9" spans="1:11" s="32" customFormat="1">
      <c r="A9" s="46"/>
      <c r="B9" s="529"/>
      <c r="C9" s="42"/>
      <c r="D9" s="303"/>
    </row>
    <row r="10" spans="1:11">
      <c r="A10" s="304" t="s">
        <v>564</v>
      </c>
      <c r="B10" s="527"/>
      <c r="C10" s="141" t="s">
        <v>182</v>
      </c>
      <c r="D10" s="144" t="s">
        <v>391</v>
      </c>
      <c r="I10" s="1200"/>
      <c r="K10" s="58"/>
    </row>
    <row r="11" spans="1:11" s="43" customFormat="1">
      <c r="A11" s="44" t="s">
        <v>565</v>
      </c>
      <c r="B11" s="47"/>
      <c r="D11" s="142" t="s">
        <v>392</v>
      </c>
      <c r="I11" s="1200"/>
      <c r="K11" s="58"/>
    </row>
    <row r="12" spans="1:11" s="43" customFormat="1">
      <c r="A12" s="44" t="s">
        <v>566</v>
      </c>
      <c r="B12" s="47"/>
      <c r="D12" s="142" t="s">
        <v>392</v>
      </c>
      <c r="I12" s="1200"/>
      <c r="K12" s="58"/>
    </row>
    <row r="13" spans="1:11" s="43" customFormat="1">
      <c r="A13" s="44"/>
      <c r="B13" s="477"/>
      <c r="D13" s="96"/>
      <c r="I13" s="1200"/>
    </row>
    <row r="14" spans="1:11" s="43" customFormat="1">
      <c r="A14" s="304" t="s">
        <v>563</v>
      </c>
      <c r="B14" s="527"/>
      <c r="C14" s="141" t="s">
        <v>182</v>
      </c>
      <c r="D14" s="144" t="s">
        <v>391</v>
      </c>
      <c r="I14" s="1200"/>
    </row>
    <row r="15" spans="1:11" s="43" customFormat="1">
      <c r="A15" s="44" t="s">
        <v>71</v>
      </c>
      <c r="B15" s="47"/>
      <c r="D15" s="142" t="s">
        <v>392</v>
      </c>
      <c r="I15" s="1200"/>
      <c r="J15" s="1200"/>
    </row>
    <row r="16" spans="1:11" s="43" customFormat="1">
      <c r="A16" s="44" t="s">
        <v>527</v>
      </c>
      <c r="B16" s="47"/>
      <c r="D16" s="142" t="s">
        <v>392</v>
      </c>
      <c r="I16" s="1200"/>
      <c r="J16" s="1200"/>
    </row>
    <row r="17" spans="1:11" s="43" customFormat="1">
      <c r="A17" s="44" t="s">
        <v>78</v>
      </c>
      <c r="B17" s="47"/>
      <c r="D17" s="142" t="s">
        <v>392</v>
      </c>
      <c r="I17" s="1200"/>
      <c r="J17" s="1200"/>
    </row>
    <row r="18" spans="1:11" s="43" customFormat="1">
      <c r="A18" s="44" t="s">
        <v>528</v>
      </c>
      <c r="B18" s="47"/>
      <c r="D18" s="142" t="s">
        <v>392</v>
      </c>
      <c r="I18" s="1200"/>
      <c r="J18" s="1200"/>
      <c r="K18" s="58"/>
    </row>
    <row r="19" spans="1:11" s="43" customFormat="1">
      <c r="A19" s="44" t="s">
        <v>77</v>
      </c>
      <c r="B19" s="47"/>
      <c r="D19" s="142" t="s">
        <v>392</v>
      </c>
      <c r="I19" s="1200"/>
      <c r="J19" s="1201"/>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0"/>
      <c r="C26" s="108"/>
      <c r="D26" s="109"/>
      <c r="I26" s="58"/>
      <c r="J26" s="58"/>
      <c r="K26" s="58"/>
    </row>
    <row r="28" spans="1:11" ht="15.75" thickBot="1"/>
    <row r="29" spans="1:11" s="43" customFormat="1">
      <c r="A29" s="184" t="s">
        <v>523</v>
      </c>
      <c r="B29" s="526"/>
      <c r="C29" s="185"/>
      <c r="D29" s="186"/>
    </row>
    <row r="30" spans="1:11" s="32" customFormat="1">
      <c r="A30" s="46"/>
      <c r="B30" s="529"/>
      <c r="C30" s="42"/>
      <c r="D30" s="303"/>
    </row>
    <row r="31" spans="1:11">
      <c r="A31" s="304" t="s">
        <v>564</v>
      </c>
      <c r="B31" s="527"/>
      <c r="C31" s="141" t="s">
        <v>182</v>
      </c>
      <c r="D31" s="144" t="s">
        <v>391</v>
      </c>
    </row>
    <row r="32" spans="1:11">
      <c r="A32" s="467" t="s">
        <v>565</v>
      </c>
      <c r="B32" s="47"/>
      <c r="C32" s="48"/>
      <c r="D32" s="142" t="s">
        <v>392</v>
      </c>
    </row>
    <row r="33" spans="1:11">
      <c r="A33" s="44"/>
      <c r="B33" s="48"/>
      <c r="C33" s="48"/>
      <c r="D33" s="142"/>
    </row>
    <row r="34" spans="1:11" s="43" customFormat="1">
      <c r="A34" s="304" t="s">
        <v>563</v>
      </c>
      <c r="B34" s="527"/>
      <c r="C34" s="141" t="s">
        <v>182</v>
      </c>
      <c r="D34" s="144" t="s">
        <v>391</v>
      </c>
      <c r="I34"/>
    </row>
    <row r="35" spans="1:11" s="43" customFormat="1">
      <c r="A35" s="466" t="s">
        <v>71</v>
      </c>
      <c r="B35" s="47"/>
      <c r="D35" s="142" t="s">
        <v>392</v>
      </c>
      <c r="I35" s="1200"/>
      <c r="J35" s="1200"/>
    </row>
    <row r="36" spans="1:11" s="43" customFormat="1">
      <c r="A36" s="466" t="s">
        <v>527</v>
      </c>
      <c r="B36" s="47"/>
      <c r="D36" s="142" t="s">
        <v>392</v>
      </c>
      <c r="I36" s="1200"/>
      <c r="J36" s="1200"/>
    </row>
    <row r="37" spans="1:11" s="43" customFormat="1">
      <c r="A37" s="466" t="s">
        <v>78</v>
      </c>
      <c r="B37" s="47"/>
      <c r="D37" s="142" t="s">
        <v>392</v>
      </c>
      <c r="I37" s="1200"/>
      <c r="J37" s="1200"/>
    </row>
    <row r="38" spans="1:11" s="43" customFormat="1">
      <c r="A38" s="466" t="s">
        <v>528</v>
      </c>
      <c r="B38" s="47"/>
      <c r="D38" s="142" t="s">
        <v>392</v>
      </c>
      <c r="I38" s="1200"/>
      <c r="J38" s="1200"/>
      <c r="K38" s="58"/>
    </row>
    <row r="39" spans="1:11" s="43" customFormat="1">
      <c r="A39" s="466" t="s">
        <v>77</v>
      </c>
      <c r="B39" s="47"/>
      <c r="D39" s="142" t="s">
        <v>392</v>
      </c>
      <c r="I39" s="1200"/>
      <c r="J39" s="1201"/>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26"/>
      <c r="C55" s="185"/>
      <c r="D55" s="186"/>
    </row>
    <row r="56" spans="1:4">
      <c r="A56" s="101"/>
      <c r="B56" s="527"/>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589</v>
      </c>
      <c r="B1" s="659"/>
      <c r="C1" s="659"/>
      <c r="D1" s="659"/>
      <c r="E1" s="660"/>
    </row>
    <row r="2" spans="1:5">
      <c r="A2" s="671" t="s">
        <v>394</v>
      </c>
      <c r="B2" s="676" t="s">
        <v>514</v>
      </c>
      <c r="C2" s="672"/>
      <c r="D2" s="672"/>
      <c r="E2" s="673"/>
    </row>
    <row r="3" spans="1:5">
      <c r="A3" s="674"/>
      <c r="B3" s="675"/>
      <c r="C3" s="663"/>
      <c r="D3" s="663"/>
      <c r="E3" s="664"/>
    </row>
    <row r="4" spans="1:5" s="334" customFormat="1" ht="45">
      <c r="A4" s="662" t="s">
        <v>593</v>
      </c>
      <c r="B4" s="670" t="s">
        <v>582</v>
      </c>
      <c r="C4" s="691" t="s">
        <v>604</v>
      </c>
      <c r="D4" s="692" t="s">
        <v>605</v>
      </c>
      <c r="E4" s="693" t="s">
        <v>606</v>
      </c>
    </row>
    <row r="5" spans="1:5">
      <c r="A5" s="665" t="s">
        <v>583</v>
      </c>
      <c r="B5" s="657" t="s">
        <v>584</v>
      </c>
      <c r="C5" s="688">
        <v>3.678273E-2</v>
      </c>
      <c r="D5" s="689">
        <v>0.27778000000000003</v>
      </c>
      <c r="E5" s="681">
        <f>C5*D5</f>
        <v>1.0217506739400001E-2</v>
      </c>
    </row>
    <row r="6" spans="1:5">
      <c r="A6" s="665" t="s">
        <v>583</v>
      </c>
      <c r="B6" s="657" t="s">
        <v>585</v>
      </c>
      <c r="C6" s="688">
        <v>4.2278999999999997E-2</v>
      </c>
      <c r="D6" s="689">
        <v>0.27778000000000003</v>
      </c>
      <c r="E6" s="681">
        <f t="shared" ref="E6:E21" si="0">C6*D6</f>
        <v>1.174426062E-2</v>
      </c>
    </row>
    <row r="7" spans="1:5">
      <c r="A7" s="665" t="s">
        <v>583</v>
      </c>
      <c r="B7" s="657" t="s">
        <v>586</v>
      </c>
      <c r="C7" s="688">
        <v>42.279000000000003</v>
      </c>
      <c r="D7" s="689">
        <v>0.27778000000000003</v>
      </c>
      <c r="E7" s="681">
        <f t="shared" si="0"/>
        <v>11.744260620000002</v>
      </c>
    </row>
    <row r="8" spans="1:5">
      <c r="A8" s="665" t="s">
        <v>587</v>
      </c>
      <c r="B8" s="657" t="s">
        <v>584</v>
      </c>
      <c r="C8" s="688">
        <v>3.8573799999999998E-2</v>
      </c>
      <c r="D8" s="689">
        <v>0.27778000000000003</v>
      </c>
      <c r="E8" s="681">
        <f t="shared" si="0"/>
        <v>1.0715030164E-2</v>
      </c>
    </row>
    <row r="9" spans="1:5">
      <c r="A9" s="665" t="s">
        <v>587</v>
      </c>
      <c r="B9" s="657" t="s">
        <v>585</v>
      </c>
      <c r="C9" s="688">
        <v>4.0604000000000001E-2</v>
      </c>
      <c r="D9" s="689">
        <v>0.27778000000000003</v>
      </c>
      <c r="E9" s="681">
        <f t="shared" si="0"/>
        <v>1.1278979120000001E-2</v>
      </c>
    </row>
    <row r="10" spans="1:5">
      <c r="A10" s="665" t="s">
        <v>587</v>
      </c>
      <c r="B10" s="657" t="s">
        <v>586</v>
      </c>
      <c r="C10" s="688">
        <v>40.603999999999999</v>
      </c>
      <c r="D10" s="689">
        <v>0.27778000000000003</v>
      </c>
      <c r="E10" s="681">
        <f t="shared" si="0"/>
        <v>11.278979120000001</v>
      </c>
    </row>
    <row r="11" spans="1:5">
      <c r="A11" s="665" t="s">
        <v>607</v>
      </c>
      <c r="B11" s="657" t="s">
        <v>584</v>
      </c>
      <c r="C11" s="688">
        <v>2.3511000000000001E-2</v>
      </c>
      <c r="D11" s="689">
        <v>0.27778000000000003</v>
      </c>
      <c r="E11" s="681">
        <f t="shared" si="0"/>
        <v>6.5308855800000004E-3</v>
      </c>
    </row>
    <row r="12" spans="1:5">
      <c r="A12" s="665" t="s">
        <v>607</v>
      </c>
      <c r="B12" s="657" t="s">
        <v>585</v>
      </c>
      <c r="C12" s="688">
        <v>4.6100000000000002E-2</v>
      </c>
      <c r="D12" s="689">
        <v>0.27778000000000003</v>
      </c>
      <c r="E12" s="681">
        <f t="shared" si="0"/>
        <v>1.2805658000000001E-2</v>
      </c>
    </row>
    <row r="13" spans="1:5">
      <c r="A13" s="665" t="s">
        <v>607</v>
      </c>
      <c r="B13" s="657" t="s">
        <v>586</v>
      </c>
      <c r="C13" s="688">
        <v>46.1</v>
      </c>
      <c r="D13" s="689">
        <v>0.27778000000000003</v>
      </c>
      <c r="E13" s="681">
        <f t="shared" si="0"/>
        <v>12.805658000000001</v>
      </c>
    </row>
    <row r="14" spans="1:5">
      <c r="A14" s="665" t="s">
        <v>608</v>
      </c>
      <c r="B14" s="657" t="s">
        <v>584</v>
      </c>
      <c r="C14" s="688">
        <v>2.6525139999999999E-2</v>
      </c>
      <c r="D14" s="689">
        <v>0.27778000000000003</v>
      </c>
      <c r="E14" s="681">
        <f t="shared" si="0"/>
        <v>7.3681533892000009E-3</v>
      </c>
    </row>
    <row r="15" spans="1:5">
      <c r="A15" s="665" t="s">
        <v>608</v>
      </c>
      <c r="B15" s="657" t="s">
        <v>585</v>
      </c>
      <c r="C15" s="688">
        <v>4.5733000000000003E-2</v>
      </c>
      <c r="D15" s="689">
        <v>0.27778000000000003</v>
      </c>
      <c r="E15" s="681">
        <f t="shared" si="0"/>
        <v>1.2703712740000001E-2</v>
      </c>
    </row>
    <row r="16" spans="1:5">
      <c r="A16" s="665" t="s">
        <v>608</v>
      </c>
      <c r="B16" s="657" t="s">
        <v>586</v>
      </c>
      <c r="C16" s="688">
        <v>45.732999999999997</v>
      </c>
      <c r="D16" s="689">
        <v>0.27778000000000003</v>
      </c>
      <c r="E16" s="681">
        <f t="shared" si="0"/>
        <v>12.70371274</v>
      </c>
    </row>
    <row r="17" spans="1:10">
      <c r="A17" s="665" t="s">
        <v>591</v>
      </c>
      <c r="B17" s="657" t="s">
        <v>588</v>
      </c>
      <c r="C17" s="688">
        <v>3.2923000000000001E-2</v>
      </c>
      <c r="D17" s="689">
        <f>0.27778</f>
        <v>0.27778000000000003</v>
      </c>
      <c r="E17" s="681">
        <f t="shared" si="0"/>
        <v>9.1453509400000015E-3</v>
      </c>
    </row>
    <row r="18" spans="1:10">
      <c r="A18" s="665" t="s">
        <v>592</v>
      </c>
      <c r="B18" s="657" t="s">
        <v>588</v>
      </c>
      <c r="C18" s="688">
        <v>3.8852400000000002E-2</v>
      </c>
      <c r="D18" s="689">
        <f>0.27778</f>
        <v>0.27778000000000003</v>
      </c>
      <c r="E18" s="681">
        <f t="shared" si="0"/>
        <v>1.0792419672000002E-2</v>
      </c>
    </row>
    <row r="19" spans="1:10">
      <c r="A19" s="665" t="s">
        <v>595</v>
      </c>
      <c r="B19" s="657" t="s">
        <v>584</v>
      </c>
      <c r="C19" s="688">
        <v>2.4812460000000001E-2</v>
      </c>
      <c r="D19" s="689">
        <v>0.27778000000000003</v>
      </c>
      <c r="E19" s="681">
        <f t="shared" si="0"/>
        <v>6.8924051388000009E-3</v>
      </c>
    </row>
    <row r="20" spans="1:10">
      <c r="A20" s="665" t="s">
        <v>595</v>
      </c>
      <c r="B20" s="657" t="s">
        <v>585</v>
      </c>
      <c r="C20" s="688">
        <v>4.5948999999999997E-2</v>
      </c>
      <c r="D20" s="689">
        <v>0.27778000000000003</v>
      </c>
      <c r="E20" s="681">
        <f t="shared" si="0"/>
        <v>1.276371322E-2</v>
      </c>
    </row>
    <row r="21" spans="1:10">
      <c r="A21" s="665" t="s">
        <v>595</v>
      </c>
      <c r="B21" s="657" t="s">
        <v>586</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590</v>
      </c>
      <c r="B24" s="659"/>
      <c r="C24" s="659"/>
      <c r="D24" s="659"/>
      <c r="E24" s="660"/>
    </row>
    <row r="25" spans="1:10">
      <c r="A25" s="685" t="s">
        <v>394</v>
      </c>
      <c r="B25" s="663" t="s">
        <v>651</v>
      </c>
      <c r="C25" s="663"/>
      <c r="D25" s="663"/>
      <c r="E25" s="664"/>
    </row>
    <row r="26" spans="1:10">
      <c r="A26" s="44"/>
      <c r="B26" s="43"/>
      <c r="C26" s="43"/>
      <c r="D26" s="43"/>
      <c r="E26" s="96"/>
    </row>
    <row r="27" spans="1:10" s="334" customFormat="1">
      <c r="A27" s="662" t="s">
        <v>593</v>
      </c>
      <c r="B27" s="670" t="s">
        <v>582</v>
      </c>
      <c r="C27" s="678"/>
      <c r="D27" s="677"/>
      <c r="E27" s="693" t="s">
        <v>597</v>
      </c>
    </row>
    <row r="28" spans="1:10">
      <c r="A28" s="665" t="s">
        <v>202</v>
      </c>
      <c r="B28" s="657" t="s">
        <v>584</v>
      </c>
      <c r="C28" s="679"/>
      <c r="D28" s="680"/>
      <c r="E28" s="687">
        <f>E29*0.853</f>
        <v>1.0116343055555555E-2</v>
      </c>
      <c r="G28" s="661"/>
      <c r="H28" s="797"/>
      <c r="I28" s="797"/>
      <c r="J28" s="797"/>
    </row>
    <row r="29" spans="1:10">
      <c r="A29" s="665" t="s">
        <v>202</v>
      </c>
      <c r="B29" s="657" t="s">
        <v>585</v>
      </c>
      <c r="C29" s="679"/>
      <c r="D29" s="680"/>
      <c r="E29" s="687">
        <f>0.042695/3.6</f>
        <v>1.1859722222222221E-2</v>
      </c>
      <c r="F29" s="914"/>
      <c r="G29" s="661"/>
      <c r="H29" s="797"/>
      <c r="I29" s="797"/>
      <c r="J29" s="797"/>
    </row>
    <row r="30" spans="1:10">
      <c r="A30" s="665" t="s">
        <v>120</v>
      </c>
      <c r="B30" s="657" t="s">
        <v>584</v>
      </c>
      <c r="C30" s="679"/>
      <c r="D30" s="680"/>
      <c r="E30" s="687">
        <f>E31*0.755</f>
        <v>9.1803805555555566E-3</v>
      </c>
      <c r="H30" s="797"/>
      <c r="I30" s="797"/>
      <c r="J30" s="797"/>
    </row>
    <row r="31" spans="1:10">
      <c r="A31" s="665" t="s">
        <v>120</v>
      </c>
      <c r="B31" s="657" t="s">
        <v>585</v>
      </c>
      <c r="C31" s="679"/>
      <c r="D31" s="680"/>
      <c r="E31" s="687">
        <f>0.043774/3.6</f>
        <v>1.2159444444444445E-2</v>
      </c>
      <c r="H31" s="797"/>
      <c r="I31" s="797"/>
      <c r="J31" s="797"/>
    </row>
    <row r="32" spans="1:10">
      <c r="A32" s="665" t="s">
        <v>595</v>
      </c>
      <c r="B32" s="657" t="s">
        <v>584</v>
      </c>
      <c r="C32" s="679"/>
      <c r="D32" s="680"/>
      <c r="E32" s="687">
        <f>E33*0.55</f>
        <v>7.1139444444444453E-3</v>
      </c>
      <c r="H32" s="797"/>
    </row>
    <row r="33" spans="1:8">
      <c r="A33" s="665" t="s">
        <v>595</v>
      </c>
      <c r="B33" s="657" t="s">
        <v>585</v>
      </c>
      <c r="C33" s="679"/>
      <c r="D33" s="680"/>
      <c r="E33" s="687">
        <f>0.046564/3.6</f>
        <v>1.2934444444444445E-2</v>
      </c>
      <c r="H33" s="797"/>
    </row>
    <row r="34" spans="1:8">
      <c r="A34" s="665" t="s">
        <v>596</v>
      </c>
      <c r="B34" s="657" t="s">
        <v>584</v>
      </c>
      <c r="C34" s="679"/>
      <c r="D34" s="680"/>
      <c r="E34" s="687">
        <f>E35*0.0007</f>
        <v>9.3333333333333326E-6</v>
      </c>
      <c r="H34" s="797"/>
    </row>
    <row r="35" spans="1:8">
      <c r="A35" s="665" t="s">
        <v>596</v>
      </c>
      <c r="B35" s="657" t="s">
        <v>585</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72040</v>
      </c>
      <c r="B1" s="332"/>
      <c r="C1" s="332"/>
      <c r="D1" s="332"/>
      <c r="E1" s="332"/>
      <c r="F1" s="333"/>
    </row>
    <row r="3" spans="1:6" ht="19.5">
      <c r="A3" s="335" t="s">
        <v>0</v>
      </c>
    </row>
    <row r="4" spans="1:6" ht="22.5">
      <c r="A4" s="1293" t="s">
        <v>873</v>
      </c>
    </row>
    <row r="5" spans="1:6" ht="22.5">
      <c r="A5" s="1293" t="s">
        <v>874</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5156</v>
      </c>
      <c r="C9" s="342">
        <v>5045</v>
      </c>
      <c r="D9" s="342"/>
      <c r="E9" s="342"/>
      <c r="F9" s="342"/>
    </row>
    <row r="10" spans="1:6">
      <c r="A10" s="343"/>
    </row>
    <row r="11" spans="1:6" ht="15.75" thickBot="1">
      <c r="A11" s="343"/>
    </row>
    <row r="12" spans="1:6" ht="20.25" thickBot="1">
      <c r="A12" s="336" t="s">
        <v>3</v>
      </c>
      <c r="B12" s="337" t="s">
        <v>394</v>
      </c>
      <c r="C12" s="337" t="s">
        <v>792</v>
      </c>
      <c r="D12" s="337"/>
      <c r="E12" s="337"/>
      <c r="F12" s="344"/>
    </row>
    <row r="13" spans="1:6" ht="16.5" thickTop="1" thickBot="1">
      <c r="A13" s="345" t="s">
        <v>4</v>
      </c>
      <c r="B13" s="346" t="s">
        <v>5</v>
      </c>
      <c r="C13" s="346"/>
      <c r="D13" s="346"/>
      <c r="E13" s="346"/>
      <c r="F13" s="347"/>
    </row>
    <row r="14" spans="1:6">
      <c r="A14" s="348" t="s">
        <v>676</v>
      </c>
      <c r="B14" s="334">
        <v>4700.1499999999996</v>
      </c>
    </row>
    <row r="15" spans="1:6">
      <c r="A15" s="348" t="s">
        <v>184</v>
      </c>
      <c r="B15" s="334">
        <v>2237</v>
      </c>
    </row>
    <row r="16" spans="1:6">
      <c r="A16" s="348" t="s">
        <v>6</v>
      </c>
      <c r="B16" s="334">
        <v>1643</v>
      </c>
    </row>
    <row r="17" spans="1:6">
      <c r="A17" s="348" t="s">
        <v>7</v>
      </c>
      <c r="B17" s="334">
        <v>547</v>
      </c>
    </row>
    <row r="18" spans="1:6">
      <c r="A18" s="348" t="s">
        <v>8</v>
      </c>
      <c r="B18" s="334">
        <v>1509</v>
      </c>
    </row>
    <row r="19" spans="1:6">
      <c r="A19" s="348" t="s">
        <v>9</v>
      </c>
      <c r="B19" s="334">
        <v>1313</v>
      </c>
    </row>
    <row r="20" spans="1:6">
      <c r="A20" s="348" t="s">
        <v>10</v>
      </c>
      <c r="B20" s="334">
        <v>841</v>
      </c>
    </row>
    <row r="21" spans="1:6">
      <c r="A21" s="348" t="s">
        <v>11</v>
      </c>
      <c r="B21" s="334">
        <v>7077</v>
      </c>
    </row>
    <row r="22" spans="1:6">
      <c r="A22" s="348" t="s">
        <v>12</v>
      </c>
      <c r="B22" s="334">
        <v>17713</v>
      </c>
    </row>
    <row r="23" spans="1:6">
      <c r="A23" s="348" t="s">
        <v>13</v>
      </c>
      <c r="B23" s="334">
        <v>150</v>
      </c>
    </row>
    <row r="24" spans="1:6">
      <c r="A24" s="348" t="s">
        <v>14</v>
      </c>
      <c r="B24" s="334">
        <v>12</v>
      </c>
    </row>
    <row r="25" spans="1:6">
      <c r="A25" s="348" t="s">
        <v>15</v>
      </c>
      <c r="B25" s="334">
        <v>1174</v>
      </c>
    </row>
    <row r="26" spans="1:6">
      <c r="A26" s="348" t="s">
        <v>16</v>
      </c>
      <c r="B26" s="334">
        <v>178</v>
      </c>
    </row>
    <row r="27" spans="1:6">
      <c r="A27" s="348" t="s">
        <v>17</v>
      </c>
      <c r="B27" s="334">
        <v>0</v>
      </c>
    </row>
    <row r="28" spans="1:6" s="356" customFormat="1">
      <c r="A28" s="355" t="s">
        <v>18</v>
      </c>
      <c r="B28" s="355">
        <v>112186</v>
      </c>
    </row>
    <row r="29" spans="1:6">
      <c r="A29" s="355" t="s">
        <v>744</v>
      </c>
      <c r="B29" s="355">
        <v>461</v>
      </c>
      <c r="C29" s="356"/>
      <c r="D29" s="356"/>
      <c r="E29" s="356"/>
      <c r="F29" s="356"/>
    </row>
    <row r="30" spans="1:6">
      <c r="A30" s="341" t="s">
        <v>745</v>
      </c>
      <c r="B30" s="341">
        <v>46</v>
      </c>
      <c r="C30" s="342"/>
      <c r="D30" s="342"/>
      <c r="E30" s="342"/>
      <c r="F30" s="342"/>
    </row>
    <row r="31" spans="1:6" ht="15.75" thickBot="1">
      <c r="A31" s="343"/>
    </row>
    <row r="32" spans="1:6" ht="20.25" thickBot="1">
      <c r="A32" s="336" t="s">
        <v>19</v>
      </c>
      <c r="B32" s="337" t="s">
        <v>394</v>
      </c>
      <c r="C32" s="337" t="s">
        <v>875</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16</v>
      </c>
      <c r="F36" s="334">
        <v>16172</v>
      </c>
    </row>
    <row r="37" spans="1:6">
      <c r="A37" s="348" t="s">
        <v>25</v>
      </c>
      <c r="B37" s="348" t="s">
        <v>28</v>
      </c>
      <c r="C37" s="334">
        <v>0</v>
      </c>
      <c r="D37" s="334">
        <v>0</v>
      </c>
      <c r="E37" s="334">
        <v>0</v>
      </c>
      <c r="F37" s="334">
        <v>0</v>
      </c>
    </row>
    <row r="38" spans="1:6">
      <c r="A38" s="348" t="s">
        <v>25</v>
      </c>
      <c r="B38" s="348" t="s">
        <v>29</v>
      </c>
      <c r="C38" s="334">
        <v>0</v>
      </c>
      <c r="D38" s="334">
        <v>0</v>
      </c>
      <c r="E38" s="334">
        <v>0</v>
      </c>
      <c r="F38" s="334">
        <v>0</v>
      </c>
    </row>
    <row r="39" spans="1:6">
      <c r="A39" s="348" t="s">
        <v>30</v>
      </c>
      <c r="B39" s="348" t="s">
        <v>31</v>
      </c>
      <c r="C39" s="334">
        <v>1865</v>
      </c>
      <c r="D39" s="334">
        <v>27445997.649999999</v>
      </c>
      <c r="E39" s="334">
        <v>4985</v>
      </c>
      <c r="F39" s="334">
        <v>16559484.300000001</v>
      </c>
    </row>
    <row r="40" spans="1:6">
      <c r="A40" s="348" t="s">
        <v>30</v>
      </c>
      <c r="B40" s="348" t="s">
        <v>29</v>
      </c>
      <c r="C40" s="334">
        <v>0</v>
      </c>
      <c r="D40" s="334">
        <v>0</v>
      </c>
      <c r="E40" s="334">
        <v>0</v>
      </c>
      <c r="F40" s="334">
        <v>0</v>
      </c>
    </row>
    <row r="41" spans="1:6">
      <c r="A41" s="348" t="s">
        <v>32</v>
      </c>
      <c r="B41" s="348" t="s">
        <v>33</v>
      </c>
      <c r="C41" s="334">
        <v>39</v>
      </c>
      <c r="D41" s="334">
        <v>1926973</v>
      </c>
      <c r="E41" s="334">
        <v>161</v>
      </c>
      <c r="F41" s="334">
        <v>2540451.0649999999</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11</v>
      </c>
      <c r="D44" s="334">
        <v>263797.59999999998</v>
      </c>
      <c r="E44" s="334">
        <v>37</v>
      </c>
      <c r="F44" s="334">
        <v>3575412.9989999998</v>
      </c>
    </row>
    <row r="45" spans="1:6">
      <c r="A45" s="348" t="s">
        <v>32</v>
      </c>
      <c r="B45" s="348" t="s">
        <v>37</v>
      </c>
      <c r="C45" s="334">
        <v>0</v>
      </c>
      <c r="D45" s="334">
        <v>0</v>
      </c>
      <c r="E45" s="334">
        <v>4</v>
      </c>
      <c r="F45" s="334">
        <v>38084</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3</v>
      </c>
      <c r="D48" s="334">
        <v>19612</v>
      </c>
      <c r="E48" s="334">
        <v>3</v>
      </c>
      <c r="F48" s="334">
        <v>7089</v>
      </c>
    </row>
    <row r="49" spans="1:6">
      <c r="A49" s="348" t="s">
        <v>32</v>
      </c>
      <c r="B49" s="348" t="s">
        <v>40</v>
      </c>
      <c r="C49" s="334">
        <v>0</v>
      </c>
      <c r="D49" s="334">
        <v>0</v>
      </c>
      <c r="E49" s="334">
        <v>6</v>
      </c>
      <c r="F49" s="334">
        <v>36066</v>
      </c>
    </row>
    <row r="50" spans="1:6">
      <c r="A50" s="348" t="s">
        <v>32</v>
      </c>
      <c r="B50" s="348" t="s">
        <v>41</v>
      </c>
      <c r="C50" s="334">
        <v>0</v>
      </c>
      <c r="D50" s="334">
        <v>0</v>
      </c>
      <c r="E50" s="334">
        <v>7</v>
      </c>
      <c r="F50" s="334">
        <v>796988.21600000001</v>
      </c>
    </row>
    <row r="51" spans="1:6">
      <c r="A51" s="348" t="s">
        <v>42</v>
      </c>
      <c r="B51" s="348" t="s">
        <v>43</v>
      </c>
      <c r="C51" s="334">
        <v>3</v>
      </c>
      <c r="D51" s="334">
        <v>15505</v>
      </c>
      <c r="E51" s="334">
        <v>125</v>
      </c>
      <c r="F51" s="334">
        <v>2519535.2620000001</v>
      </c>
    </row>
    <row r="52" spans="1:6">
      <c r="A52" s="348" t="s">
        <v>42</v>
      </c>
      <c r="B52" s="348" t="s">
        <v>29</v>
      </c>
      <c r="C52" s="334">
        <v>0</v>
      </c>
      <c r="D52" s="334">
        <v>0</v>
      </c>
      <c r="E52" s="334">
        <v>0</v>
      </c>
      <c r="F52" s="334">
        <v>0</v>
      </c>
    </row>
    <row r="53" spans="1:6">
      <c r="A53" s="348" t="s">
        <v>44</v>
      </c>
      <c r="B53" s="348" t="s">
        <v>45</v>
      </c>
      <c r="C53" s="334">
        <v>30</v>
      </c>
      <c r="D53" s="334">
        <v>660044.80000000005</v>
      </c>
      <c r="E53" s="334">
        <v>88</v>
      </c>
      <c r="F53" s="334">
        <v>406180.05</v>
      </c>
    </row>
    <row r="54" spans="1:6">
      <c r="A54" s="348" t="s">
        <v>46</v>
      </c>
      <c r="B54" s="348" t="s">
        <v>47</v>
      </c>
      <c r="C54" s="334">
        <v>0</v>
      </c>
      <c r="D54" s="334">
        <v>0</v>
      </c>
      <c r="E54" s="334">
        <v>3</v>
      </c>
      <c r="F54" s="334">
        <v>773595</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17</v>
      </c>
      <c r="D57" s="334">
        <v>592102</v>
      </c>
      <c r="E57" s="334">
        <v>59</v>
      </c>
      <c r="F57" s="334">
        <v>742869.48300000001</v>
      </c>
    </row>
    <row r="58" spans="1:6">
      <c r="A58" s="348" t="s">
        <v>49</v>
      </c>
      <c r="B58" s="348" t="s">
        <v>51</v>
      </c>
      <c r="C58" s="334">
        <v>11</v>
      </c>
      <c r="D58" s="334">
        <v>1549770</v>
      </c>
      <c r="E58" s="334">
        <v>23</v>
      </c>
      <c r="F58" s="334">
        <v>791791.7</v>
      </c>
    </row>
    <row r="59" spans="1:6">
      <c r="A59" s="348" t="s">
        <v>49</v>
      </c>
      <c r="B59" s="348" t="s">
        <v>52</v>
      </c>
      <c r="C59" s="334">
        <v>56</v>
      </c>
      <c r="D59" s="334">
        <v>1920231</v>
      </c>
      <c r="E59" s="334">
        <v>165</v>
      </c>
      <c r="F59" s="334">
        <v>3075893.0290000001</v>
      </c>
    </row>
    <row r="60" spans="1:6">
      <c r="A60" s="348" t="s">
        <v>49</v>
      </c>
      <c r="B60" s="348" t="s">
        <v>53</v>
      </c>
      <c r="C60" s="334">
        <v>25</v>
      </c>
      <c r="D60" s="334">
        <v>1036826</v>
      </c>
      <c r="E60" s="334">
        <v>56</v>
      </c>
      <c r="F60" s="334">
        <v>1222618.2579999999</v>
      </c>
    </row>
    <row r="61" spans="1:6">
      <c r="A61" s="348" t="s">
        <v>49</v>
      </c>
      <c r="B61" s="348" t="s">
        <v>54</v>
      </c>
      <c r="C61" s="334">
        <v>67</v>
      </c>
      <c r="D61" s="334">
        <v>1883091.2</v>
      </c>
      <c r="E61" s="334">
        <v>150</v>
      </c>
      <c r="F61" s="334">
        <v>1565952.642</v>
      </c>
    </row>
    <row r="62" spans="1:6">
      <c r="A62" s="348" t="s">
        <v>49</v>
      </c>
      <c r="B62" s="348" t="s">
        <v>55</v>
      </c>
      <c r="C62" s="334">
        <v>5</v>
      </c>
      <c r="D62" s="334">
        <v>326315</v>
      </c>
      <c r="E62" s="334">
        <v>22</v>
      </c>
      <c r="F62" s="334">
        <v>325827.96500000003</v>
      </c>
    </row>
    <row r="63" spans="1:6">
      <c r="A63" s="348" t="s">
        <v>49</v>
      </c>
      <c r="B63" s="348" t="s">
        <v>29</v>
      </c>
      <c r="C63" s="334">
        <v>0</v>
      </c>
      <c r="D63" s="334">
        <v>0</v>
      </c>
      <c r="E63" s="334">
        <v>0</v>
      </c>
      <c r="F63" s="334">
        <v>0</v>
      </c>
    </row>
    <row r="64" spans="1:6">
      <c r="A64" s="348" t="s">
        <v>56</v>
      </c>
      <c r="B64" s="348" t="s">
        <v>57</v>
      </c>
      <c r="C64" s="334">
        <v>0</v>
      </c>
      <c r="D64" s="334">
        <v>0</v>
      </c>
      <c r="E64" s="334">
        <v>0</v>
      </c>
      <c r="F64" s="334">
        <v>0</v>
      </c>
    </row>
    <row r="65" spans="1:6">
      <c r="A65" s="348" t="s">
        <v>56</v>
      </c>
      <c r="B65" s="348" t="s">
        <v>29</v>
      </c>
      <c r="C65" s="334">
        <v>0</v>
      </c>
      <c r="D65" s="334">
        <v>0</v>
      </c>
      <c r="E65" s="334">
        <v>0</v>
      </c>
      <c r="F65" s="334">
        <v>0</v>
      </c>
    </row>
    <row r="66" spans="1:6">
      <c r="A66" s="348" t="s">
        <v>56</v>
      </c>
      <c r="B66" s="348" t="s">
        <v>58</v>
      </c>
      <c r="C66" s="334">
        <v>0</v>
      </c>
      <c r="D66" s="334">
        <v>0</v>
      </c>
      <c r="E66" s="334">
        <v>14</v>
      </c>
      <c r="F66" s="334">
        <v>151905</v>
      </c>
    </row>
    <row r="67" spans="1:6">
      <c r="A67" s="355" t="s">
        <v>56</v>
      </c>
      <c r="B67" s="355" t="s">
        <v>59</v>
      </c>
      <c r="C67" s="334">
        <v>0</v>
      </c>
      <c r="D67" s="334">
        <v>0</v>
      </c>
      <c r="E67" s="334">
        <v>0</v>
      </c>
      <c r="F67" s="334">
        <v>0</v>
      </c>
    </row>
    <row r="68" spans="1:6">
      <c r="A68" s="341" t="s">
        <v>56</v>
      </c>
      <c r="B68" s="341" t="s">
        <v>60</v>
      </c>
      <c r="C68" s="334">
        <v>3</v>
      </c>
      <c r="D68" s="334">
        <v>32361</v>
      </c>
      <c r="E68" s="334">
        <v>7</v>
      </c>
      <c r="F68" s="334">
        <v>29147</v>
      </c>
    </row>
    <row r="69" spans="1:6" ht="15.75" thickBot="1">
      <c r="A69" s="343"/>
    </row>
    <row r="70" spans="1:6" ht="19.5">
      <c r="A70" s="336" t="s">
        <v>61</v>
      </c>
      <c r="B70" s="337"/>
      <c r="C70" s="337" t="s">
        <v>404</v>
      </c>
      <c r="D70" s="337" t="s">
        <v>876</v>
      </c>
      <c r="E70" s="337"/>
      <c r="F70" s="344"/>
    </row>
    <row r="71" spans="1:6" ht="20.25" thickBot="1">
      <c r="A71" s="357"/>
      <c r="B71" s="358"/>
      <c r="C71" s="358"/>
      <c r="D71" s="359" t="s">
        <v>442</v>
      </c>
      <c r="E71" s="358"/>
      <c r="F71" s="360"/>
    </row>
    <row r="72" spans="1:6" ht="16.5" thickTop="1" thickBot="1">
      <c r="A72" s="345" t="s">
        <v>62</v>
      </c>
      <c r="B72" s="346" t="s">
        <v>63</v>
      </c>
      <c r="C72" s="1294" t="s">
        <v>674</v>
      </c>
      <c r="D72" s="361">
        <v>2016</v>
      </c>
      <c r="E72" s="361">
        <v>2020</v>
      </c>
      <c r="F72" s="347"/>
    </row>
    <row r="73" spans="1:6">
      <c r="A73" s="348" t="s">
        <v>64</v>
      </c>
      <c r="B73" s="348" t="s">
        <v>656</v>
      </c>
      <c r="C73" s="1295" t="s">
        <v>658</v>
      </c>
      <c r="D73" s="475">
        <v>88023141</v>
      </c>
      <c r="E73" s="475">
        <v>89293371.992151275</v>
      </c>
    </row>
    <row r="74" spans="1:6">
      <c r="A74" s="348" t="s">
        <v>64</v>
      </c>
      <c r="B74" s="348" t="s">
        <v>657</v>
      </c>
      <c r="C74" s="1295" t="s">
        <v>659</v>
      </c>
      <c r="D74" s="475">
        <v>8230419</v>
      </c>
      <c r="E74" s="475">
        <v>8420638.8313384764</v>
      </c>
    </row>
    <row r="75" spans="1:6">
      <c r="A75" s="348" t="s">
        <v>65</v>
      </c>
      <c r="B75" s="348" t="s">
        <v>656</v>
      </c>
      <c r="C75" s="1295" t="s">
        <v>660</v>
      </c>
      <c r="D75" s="475">
        <v>28257816</v>
      </c>
      <c r="E75" s="475">
        <v>28688130.910375301</v>
      </c>
    </row>
    <row r="76" spans="1:6">
      <c r="A76" s="348" t="s">
        <v>65</v>
      </c>
      <c r="B76" s="348" t="s">
        <v>657</v>
      </c>
      <c r="C76" s="1295" t="s">
        <v>661</v>
      </c>
      <c r="D76" s="475">
        <v>532166</v>
      </c>
      <c r="E76" s="475">
        <v>548855.50198795914</v>
      </c>
    </row>
    <row r="77" spans="1:6">
      <c r="A77" s="348" t="s">
        <v>66</v>
      </c>
      <c r="B77" s="348" t="s">
        <v>656</v>
      </c>
      <c r="C77" s="1295" t="s">
        <v>662</v>
      </c>
      <c r="D77" s="475">
        <v>0</v>
      </c>
      <c r="E77" s="475">
        <v>0</v>
      </c>
    </row>
    <row r="78" spans="1:6">
      <c r="A78" s="341" t="s">
        <v>66</v>
      </c>
      <c r="B78" s="341" t="s">
        <v>657</v>
      </c>
      <c r="C78" s="341" t="s">
        <v>663</v>
      </c>
      <c r="D78" s="1296">
        <v>0</v>
      </c>
      <c r="E78" s="1296">
        <v>0</v>
      </c>
      <c r="F78" s="342"/>
    </row>
    <row r="79" spans="1:6">
      <c r="A79" s="362"/>
      <c r="B79" s="362"/>
    </row>
    <row r="80" spans="1:6" ht="15.75" thickBot="1">
      <c r="A80" s="362"/>
      <c r="B80" s="362"/>
    </row>
    <row r="81" spans="1:6" ht="20.25" thickBot="1">
      <c r="A81" s="336" t="s">
        <v>334</v>
      </c>
      <c r="B81" s="363" t="s">
        <v>394</v>
      </c>
      <c r="C81" s="337" t="s">
        <v>877</v>
      </c>
      <c r="D81" s="337"/>
      <c r="E81" s="337"/>
      <c r="F81" s="344"/>
    </row>
    <row r="82" spans="1:6" ht="16.5" thickTop="1" thickBot="1">
      <c r="A82" s="345" t="s">
        <v>335</v>
      </c>
      <c r="B82" s="361">
        <v>2016</v>
      </c>
      <c r="C82" s="361">
        <v>2020</v>
      </c>
      <c r="D82" s="346"/>
      <c r="E82" s="346"/>
      <c r="F82" s="347"/>
    </row>
    <row r="83" spans="1:6">
      <c r="A83" s="348" t="s">
        <v>336</v>
      </c>
      <c r="B83" s="475">
        <v>499210</v>
      </c>
      <c r="C83" s="475">
        <v>510466.7578821858</v>
      </c>
    </row>
    <row r="84" spans="1:6">
      <c r="A84" s="341" t="s">
        <v>337</v>
      </c>
      <c r="B84" s="1296">
        <v>0</v>
      </c>
      <c r="C84" s="1296">
        <v>0</v>
      </c>
      <c r="D84" s="342"/>
      <c r="E84" s="342"/>
      <c r="F84" s="342"/>
    </row>
    <row r="85" spans="1:6">
      <c r="A85" s="362"/>
      <c r="B85" s="364"/>
    </row>
    <row r="86" spans="1:6" ht="15.75" thickBot="1">
      <c r="A86" s="343"/>
    </row>
    <row r="87" spans="1:6" ht="20.25" thickBot="1">
      <c r="A87" s="336" t="s">
        <v>67</v>
      </c>
      <c r="B87" s="337" t="s">
        <v>394</v>
      </c>
      <c r="C87" s="337" t="s">
        <v>878</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97">
        <v>0</v>
      </c>
    </row>
    <row r="91" spans="1:6">
      <c r="A91" s="348" t="s">
        <v>68</v>
      </c>
      <c r="B91" s="334">
        <v>5585.7982103910135</v>
      </c>
    </row>
    <row r="92" spans="1:6">
      <c r="A92" s="341" t="s">
        <v>69</v>
      </c>
      <c r="B92" s="342">
        <v>1411.9470106706874</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252</v>
      </c>
    </row>
    <row r="98" spans="1:6">
      <c r="A98" s="348" t="s">
        <v>72</v>
      </c>
      <c r="B98" s="334">
        <v>2</v>
      </c>
    </row>
    <row r="99" spans="1:6">
      <c r="A99" s="348" t="s">
        <v>73</v>
      </c>
      <c r="B99" s="334">
        <v>29</v>
      </c>
    </row>
    <row r="100" spans="1:6">
      <c r="A100" s="348" t="s">
        <v>74</v>
      </c>
      <c r="B100" s="334">
        <v>157</v>
      </c>
    </row>
    <row r="101" spans="1:6">
      <c r="A101" s="348" t="s">
        <v>75</v>
      </c>
      <c r="B101" s="334">
        <v>59</v>
      </c>
    </row>
    <row r="102" spans="1:6">
      <c r="A102" s="348" t="s">
        <v>76</v>
      </c>
      <c r="B102" s="334">
        <v>51</v>
      </c>
    </row>
    <row r="103" spans="1:6">
      <c r="A103" s="348" t="s">
        <v>77</v>
      </c>
      <c r="B103" s="334">
        <v>84</v>
      </c>
    </row>
    <row r="104" spans="1:6">
      <c r="A104" s="348" t="s">
        <v>78</v>
      </c>
      <c r="B104" s="334">
        <v>3633</v>
      </c>
    </row>
    <row r="105" spans="1:6">
      <c r="A105" s="341" t="s">
        <v>79</v>
      </c>
      <c r="B105" s="341">
        <v>1</v>
      </c>
      <c r="C105" s="342"/>
      <c r="D105" s="342"/>
      <c r="E105" s="342"/>
      <c r="F105" s="342"/>
    </row>
    <row r="106" spans="1:6">
      <c r="A106" s="343"/>
    </row>
    <row r="107" spans="1:6" ht="15.75" thickBot="1">
      <c r="A107" s="343"/>
    </row>
    <row r="108" spans="1:6" ht="20.25" thickBot="1">
      <c r="A108" s="336" t="s">
        <v>645</v>
      </c>
      <c r="B108" s="337" t="s">
        <v>394</v>
      </c>
      <c r="C108" s="337" t="s">
        <v>879</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98" t="s">
        <v>647</v>
      </c>
      <c r="B111" s="1299">
        <v>0</v>
      </c>
      <c r="C111" s="1299"/>
      <c r="D111" s="1299"/>
      <c r="E111" s="1299"/>
      <c r="F111" s="1299"/>
    </row>
    <row r="112" spans="1:6">
      <c r="A112" s="348"/>
    </row>
    <row r="113" spans="1:6" ht="15.75" thickBot="1">
      <c r="A113" s="341"/>
      <c r="B113" s="342"/>
      <c r="C113" s="342"/>
      <c r="D113" s="342"/>
      <c r="E113" s="342"/>
      <c r="F113" s="342"/>
    </row>
    <row r="114" spans="1:6" ht="20.25" thickBot="1">
      <c r="A114" s="336" t="s">
        <v>80</v>
      </c>
      <c r="B114" s="337" t="s">
        <v>394</v>
      </c>
      <c r="C114" s="337" t="s">
        <v>880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1</v>
      </c>
      <c r="C121" s="334">
        <v>0</v>
      </c>
    </row>
    <row r="122" spans="1:6">
      <c r="A122" s="348" t="s">
        <v>87</v>
      </c>
      <c r="B122" s="334">
        <v>0</v>
      </c>
      <c r="C122" s="334">
        <v>0</v>
      </c>
    </row>
    <row r="123" spans="1:6">
      <c r="A123" s="348" t="s">
        <v>88</v>
      </c>
      <c r="B123" s="334">
        <v>16</v>
      </c>
      <c r="C123" s="334">
        <v>46</v>
      </c>
    </row>
    <row r="124" spans="1:6">
      <c r="A124" s="341" t="s">
        <v>89</v>
      </c>
      <c r="B124" s="334">
        <v>1</v>
      </c>
      <c r="C124" s="334">
        <v>2</v>
      </c>
      <c r="D124" s="342"/>
      <c r="E124" s="342"/>
      <c r="F124" s="342"/>
    </row>
    <row r="125" spans="1:6">
      <c r="A125" s="362"/>
    </row>
    <row r="126" spans="1:6" ht="15.75" thickBot="1">
      <c r="A126" s="362"/>
    </row>
    <row r="127" spans="1:6" ht="20.25" thickBot="1">
      <c r="A127" s="336" t="s">
        <v>293</v>
      </c>
      <c r="B127" s="337" t="s">
        <v>394</v>
      </c>
      <c r="C127" s="337" t="s">
        <v>879</v>
      </c>
      <c r="D127" s="337"/>
      <c r="E127" s="337"/>
      <c r="F127" s="344"/>
    </row>
    <row r="128" spans="1:6" ht="16.5" thickTop="1" thickBot="1">
      <c r="A128" s="345" t="s">
        <v>4</v>
      </c>
      <c r="B128" s="346" t="s">
        <v>5</v>
      </c>
      <c r="C128" s="346"/>
      <c r="D128" s="346"/>
      <c r="E128" s="346"/>
      <c r="F128" s="347"/>
    </row>
    <row r="129" spans="1:6">
      <c r="A129" s="348" t="s">
        <v>294</v>
      </c>
      <c r="B129" s="334">
        <v>263</v>
      </c>
    </row>
    <row r="130" spans="1:6">
      <c r="A130" s="348" t="s">
        <v>295</v>
      </c>
      <c r="B130" s="334">
        <v>1</v>
      </c>
    </row>
    <row r="131" spans="1:6">
      <c r="A131" s="348" t="s">
        <v>296</v>
      </c>
      <c r="B131" s="334">
        <v>1</v>
      </c>
    </row>
    <row r="132" spans="1:6">
      <c r="A132" s="341" t="s">
        <v>297</v>
      </c>
      <c r="B132" s="342">
        <v>29</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735</v>
      </c>
      <c r="B2" s="532"/>
      <c r="E2" s="661"/>
      <c r="F2" s="661"/>
    </row>
    <row r="3" spans="1:12">
      <c r="A3" s="44"/>
      <c r="B3" s="532"/>
      <c r="E3" s="661"/>
      <c r="F3" s="661"/>
    </row>
    <row r="4" spans="1:12" ht="18">
      <c r="A4" s="137" t="s">
        <v>181</v>
      </c>
      <c r="B4" s="533" t="s">
        <v>388</v>
      </c>
      <c r="E4" s="661"/>
      <c r="F4" s="661"/>
    </row>
    <row r="5" spans="1:12" ht="21">
      <c r="A5" s="116" t="s">
        <v>183</v>
      </c>
      <c r="B5" s="534"/>
      <c r="E5" s="907"/>
      <c r="F5" s="908"/>
      <c r="G5" s="919"/>
      <c r="H5" s="919"/>
      <c r="I5" s="9"/>
      <c r="J5" s="9"/>
    </row>
    <row r="6" spans="1:12">
      <c r="A6" s="117" t="s">
        <v>184</v>
      </c>
      <c r="B6" s="535">
        <v>4.0513950503279288</v>
      </c>
      <c r="E6" s="909"/>
      <c r="F6" s="909"/>
      <c r="G6" s="920"/>
      <c r="H6" s="920"/>
      <c r="I6" s="10"/>
      <c r="J6" s="10"/>
      <c r="K6" s="10"/>
      <c r="L6" s="10"/>
    </row>
    <row r="7" spans="1:12">
      <c r="A7" s="117" t="s">
        <v>6</v>
      </c>
      <c r="B7" s="535">
        <v>148.75315600062214</v>
      </c>
      <c r="E7" s="661"/>
      <c r="F7" s="661"/>
      <c r="G7" s="921"/>
      <c r="H7" s="921"/>
      <c r="K7" s="10"/>
      <c r="L7" s="10"/>
    </row>
    <row r="8" spans="1:12">
      <c r="A8" s="117" t="s">
        <v>7</v>
      </c>
      <c r="B8" s="535">
        <v>93.652016709315419</v>
      </c>
      <c r="E8" s="661"/>
      <c r="F8" s="661"/>
      <c r="G8" s="921"/>
      <c r="H8" s="921"/>
      <c r="K8" s="10"/>
      <c r="L8" s="10"/>
    </row>
    <row r="9" spans="1:12">
      <c r="A9" s="117" t="s">
        <v>8</v>
      </c>
      <c r="B9" s="535">
        <v>31.990818879394283</v>
      </c>
      <c r="E9" s="909"/>
      <c r="F9" s="909"/>
      <c r="G9" s="920"/>
      <c r="H9" s="920"/>
      <c r="I9" s="10"/>
      <c r="J9" s="10"/>
      <c r="K9" s="10"/>
      <c r="L9" s="10"/>
    </row>
    <row r="10" spans="1:12">
      <c r="A10" s="117" t="s">
        <v>9</v>
      </c>
      <c r="B10" s="535">
        <v>48.052888540099751</v>
      </c>
      <c r="E10" s="910"/>
      <c r="F10" s="910"/>
      <c r="G10" s="922"/>
      <c r="H10" s="922"/>
      <c r="I10" s="11"/>
      <c r="J10" s="11"/>
      <c r="K10" s="10"/>
      <c r="L10" s="10"/>
    </row>
    <row r="11" spans="1:12">
      <c r="A11" s="117" t="s">
        <v>10</v>
      </c>
      <c r="B11" s="535">
        <v>48.479822138264574</v>
      </c>
      <c r="E11" s="661"/>
      <c r="F11" s="910"/>
      <c r="G11" s="922"/>
      <c r="H11" s="922"/>
      <c r="I11" s="11"/>
      <c r="J11" s="11"/>
      <c r="K11" s="10"/>
      <c r="L11" s="10"/>
    </row>
    <row r="12" spans="1:12">
      <c r="A12" s="118" t="s">
        <v>16</v>
      </c>
      <c r="B12" s="535">
        <v>8</v>
      </c>
      <c r="E12" s="910"/>
      <c r="F12" s="909"/>
      <c r="G12" s="920"/>
      <c r="H12" s="920"/>
      <c r="I12" s="10"/>
      <c r="J12" s="10"/>
      <c r="K12" s="10"/>
      <c r="L12" s="10"/>
    </row>
    <row r="13" spans="1:12">
      <c r="A13" s="118" t="s">
        <v>17</v>
      </c>
      <c r="B13" s="535">
        <v>5</v>
      </c>
      <c r="E13" s="909"/>
      <c r="F13" s="909"/>
      <c r="G13" s="920"/>
      <c r="H13" s="920"/>
      <c r="I13" s="10"/>
      <c r="J13" s="10"/>
      <c r="K13" s="10"/>
      <c r="L13" s="10"/>
    </row>
    <row r="14" spans="1:12">
      <c r="A14" s="118" t="s">
        <v>185</v>
      </c>
      <c r="B14" s="535">
        <v>1.5</v>
      </c>
      <c r="E14" s="909"/>
      <c r="F14" s="909"/>
      <c r="G14" s="920"/>
      <c r="H14" s="920"/>
      <c r="I14" s="10"/>
      <c r="J14" s="10"/>
      <c r="K14" s="10"/>
      <c r="L14" s="10"/>
    </row>
    <row r="15" spans="1:12">
      <c r="A15" s="118" t="s">
        <v>186</v>
      </c>
      <c r="B15" s="535">
        <v>18</v>
      </c>
      <c r="E15" s="909"/>
      <c r="F15" s="909"/>
      <c r="G15" s="920"/>
      <c r="H15" s="920"/>
      <c r="I15" s="10"/>
      <c r="J15" s="10"/>
      <c r="K15" s="10"/>
      <c r="L15" s="10"/>
    </row>
    <row r="16" spans="1:12">
      <c r="A16" s="118" t="s">
        <v>187</v>
      </c>
      <c r="B16" s="536">
        <v>10</v>
      </c>
      <c r="E16" s="909"/>
      <c r="F16" s="909"/>
      <c r="G16" s="920"/>
      <c r="H16" s="920"/>
      <c r="I16" s="10"/>
      <c r="J16" s="10"/>
      <c r="K16" s="10"/>
      <c r="L16" s="10"/>
    </row>
    <row r="17" spans="1:12" s="43" customFormat="1" ht="15.75" thickBot="1">
      <c r="A17" s="119"/>
      <c r="B17" s="537"/>
      <c r="E17" s="911"/>
      <c r="F17" s="911"/>
      <c r="G17" s="154"/>
      <c r="H17" s="154"/>
      <c r="I17" s="154"/>
      <c r="J17" s="154"/>
      <c r="K17" s="154"/>
      <c r="L17" s="154"/>
    </row>
    <row r="18" spans="1:12" s="43" customFormat="1" ht="15.75" thickBot="1">
      <c r="A18" s="195"/>
      <c r="B18" s="538"/>
      <c r="E18" s="911"/>
      <c r="F18" s="911"/>
      <c r="G18" s="154"/>
      <c r="H18" s="154"/>
      <c r="I18" s="154"/>
      <c r="J18" s="154"/>
      <c r="K18" s="154"/>
      <c r="L18" s="154"/>
    </row>
    <row r="19" spans="1:12" ht="18.75" thickBot="1">
      <c r="A19" s="121" t="s">
        <v>188</v>
      </c>
      <c r="B19" s="531"/>
      <c r="E19" s="909"/>
      <c r="F19" s="909"/>
      <c r="G19" s="10"/>
      <c r="H19" s="10"/>
      <c r="I19" s="10"/>
      <c r="J19" s="10"/>
      <c r="K19" s="10"/>
      <c r="L19" s="10"/>
    </row>
    <row r="20" spans="1:12">
      <c r="A20" s="44" t="s">
        <v>735</v>
      </c>
      <c r="B20" s="532"/>
      <c r="E20" s="909"/>
      <c r="F20" s="909"/>
      <c r="G20" s="10"/>
      <c r="H20" s="10"/>
      <c r="I20" s="10"/>
      <c r="J20" s="10"/>
      <c r="K20" s="10"/>
      <c r="L20" s="10"/>
    </row>
    <row r="21" spans="1:12">
      <c r="A21" s="44"/>
      <c r="B21" s="532"/>
      <c r="E21" s="909"/>
      <c r="F21" s="909"/>
      <c r="G21" s="10"/>
      <c r="H21" s="10"/>
      <c r="I21" s="10"/>
      <c r="J21" s="10"/>
      <c r="K21" s="10"/>
      <c r="L21" s="10"/>
    </row>
    <row r="22" spans="1:12" ht="18">
      <c r="A22" s="138" t="s">
        <v>181</v>
      </c>
      <c r="B22" s="539" t="s">
        <v>388</v>
      </c>
      <c r="E22" s="909"/>
      <c r="F22" s="909"/>
      <c r="G22" s="10"/>
      <c r="H22" s="10"/>
      <c r="I22" s="10"/>
      <c r="J22" s="10"/>
      <c r="K22" s="10"/>
      <c r="L22" s="10"/>
    </row>
    <row r="23" spans="1:12" s="72" customFormat="1">
      <c r="A23" s="118" t="s">
        <v>183</v>
      </c>
      <c r="B23" s="535">
        <v>10.670218364787743</v>
      </c>
      <c r="E23" s="912"/>
      <c r="F23" s="912"/>
      <c r="G23" s="923"/>
      <c r="H23" s="923"/>
    </row>
    <row r="24" spans="1:12">
      <c r="A24" s="117" t="s">
        <v>184</v>
      </c>
      <c r="B24" s="535">
        <v>4.2231090152811745</v>
      </c>
      <c r="E24" s="909"/>
      <c r="F24" s="909"/>
      <c r="G24" s="920"/>
      <c r="H24" s="920"/>
      <c r="I24" s="10"/>
      <c r="J24" s="10"/>
      <c r="K24" s="10"/>
      <c r="L24" s="10"/>
    </row>
    <row r="25" spans="1:12">
      <c r="A25" s="117" t="s">
        <v>6</v>
      </c>
      <c r="B25" s="535">
        <v>36.989208093097943</v>
      </c>
      <c r="E25" s="909"/>
      <c r="F25" s="909"/>
      <c r="G25" s="920"/>
      <c r="H25" s="920"/>
      <c r="I25" s="10"/>
      <c r="J25" s="10"/>
      <c r="K25" s="10"/>
      <c r="L25" s="10"/>
    </row>
    <row r="26" spans="1:12">
      <c r="A26" s="117" t="s">
        <v>7</v>
      </c>
      <c r="B26" s="535">
        <v>2.6373179855588216</v>
      </c>
      <c r="E26" s="909"/>
      <c r="F26" s="909"/>
      <c r="G26" s="920"/>
      <c r="H26" s="920"/>
      <c r="I26" s="10"/>
      <c r="J26" s="10"/>
      <c r="K26" s="10"/>
      <c r="L26" s="10"/>
    </row>
    <row r="27" spans="1:12">
      <c r="A27" s="117" t="s">
        <v>8</v>
      </c>
      <c r="B27" s="535">
        <v>1.2024103334607736</v>
      </c>
      <c r="E27" s="909"/>
      <c r="F27" s="909"/>
      <c r="G27" s="920"/>
      <c r="H27" s="920"/>
      <c r="I27" s="10"/>
      <c r="J27" s="10"/>
      <c r="K27" s="10"/>
      <c r="L27" s="10"/>
    </row>
    <row r="28" spans="1:12">
      <c r="A28" s="117" t="s">
        <v>9</v>
      </c>
      <c r="B28" s="535">
        <v>5.0815988132881253</v>
      </c>
      <c r="E28" s="909"/>
      <c r="F28" s="909"/>
      <c r="G28" s="920"/>
      <c r="H28" s="920"/>
      <c r="I28" s="10"/>
      <c r="J28" s="10"/>
      <c r="K28" s="10"/>
      <c r="L28" s="10"/>
    </row>
    <row r="29" spans="1:12">
      <c r="A29" s="117" t="s">
        <v>10</v>
      </c>
      <c r="B29" s="535">
        <v>3.8951527391088074</v>
      </c>
      <c r="E29" s="909"/>
      <c r="F29" s="909"/>
      <c r="G29" s="920"/>
      <c r="H29" s="920"/>
      <c r="I29" s="10"/>
      <c r="J29" s="10"/>
      <c r="K29" s="10"/>
      <c r="L29" s="10"/>
    </row>
    <row r="30" spans="1:12">
      <c r="A30" s="118" t="s">
        <v>185</v>
      </c>
      <c r="B30" s="535">
        <v>4.4617753102649891</v>
      </c>
      <c r="E30" s="909"/>
      <c r="F30" s="909"/>
      <c r="G30" s="920"/>
      <c r="H30" s="920"/>
      <c r="I30" s="10"/>
      <c r="J30" s="10"/>
      <c r="K30" s="10"/>
      <c r="L30" s="10"/>
    </row>
    <row r="31" spans="1:12">
      <c r="A31" s="117" t="s">
        <v>11</v>
      </c>
      <c r="B31" s="535">
        <v>1.6075002802320004</v>
      </c>
      <c r="E31" s="909"/>
      <c r="F31" s="909"/>
      <c r="G31" s="920"/>
      <c r="H31" s="920"/>
      <c r="I31" s="10"/>
      <c r="J31" s="10"/>
      <c r="K31" s="10"/>
      <c r="L31" s="10"/>
    </row>
    <row r="32" spans="1:12">
      <c r="A32" s="117" t="s">
        <v>12</v>
      </c>
      <c r="B32" s="535">
        <v>4.8225008406960006</v>
      </c>
      <c r="E32" s="909"/>
      <c r="F32" s="909"/>
      <c r="G32" s="920"/>
      <c r="H32" s="920"/>
      <c r="I32" s="10"/>
      <c r="J32" s="10"/>
      <c r="K32" s="10"/>
      <c r="L32" s="10"/>
    </row>
    <row r="33" spans="1:14">
      <c r="A33" s="117" t="s">
        <v>13</v>
      </c>
      <c r="B33" s="535">
        <v>6.3685027042560023</v>
      </c>
      <c r="E33" s="909"/>
      <c r="F33" s="909"/>
      <c r="G33" s="920"/>
      <c r="H33" s="920"/>
      <c r="I33" s="10"/>
      <c r="J33" s="10"/>
      <c r="K33" s="10"/>
      <c r="L33" s="10"/>
    </row>
    <row r="34" spans="1:14">
      <c r="A34" s="117" t="s">
        <v>14</v>
      </c>
      <c r="B34" s="535">
        <v>4.6362973013280016</v>
      </c>
      <c r="E34" s="909"/>
      <c r="F34" s="909"/>
      <c r="G34" s="920"/>
      <c r="H34" s="920"/>
      <c r="I34" s="10"/>
      <c r="J34" s="10"/>
      <c r="K34" s="10"/>
      <c r="L34" s="10"/>
    </row>
    <row r="35" spans="1:14">
      <c r="A35" s="117" t="s">
        <v>15</v>
      </c>
      <c r="B35" s="535">
        <v>12.338973989496003</v>
      </c>
      <c r="E35" s="909"/>
      <c r="F35" s="909"/>
      <c r="G35" s="920"/>
      <c r="H35" s="920"/>
      <c r="I35" s="10"/>
      <c r="J35" s="10"/>
      <c r="K35" s="10"/>
      <c r="L35" s="10"/>
    </row>
    <row r="36" spans="1:14">
      <c r="A36" s="118" t="s">
        <v>16</v>
      </c>
      <c r="B36" s="535">
        <v>0.19</v>
      </c>
      <c r="E36" s="909"/>
      <c r="F36" s="909"/>
      <c r="G36" s="920"/>
      <c r="H36" s="920"/>
      <c r="I36" s="10"/>
      <c r="J36" s="10"/>
      <c r="K36" s="10"/>
      <c r="L36" s="10"/>
    </row>
    <row r="37" spans="1:14">
      <c r="A37" s="118" t="s">
        <v>17</v>
      </c>
      <c r="B37" s="535">
        <v>0.13</v>
      </c>
      <c r="E37" s="661"/>
      <c r="F37" s="661"/>
      <c r="G37" s="921"/>
      <c r="H37" s="921"/>
    </row>
    <row r="38" spans="1:14">
      <c r="A38" s="118" t="s">
        <v>186</v>
      </c>
      <c r="B38" s="535">
        <v>1.5600000000000003</v>
      </c>
      <c r="E38" s="661"/>
      <c r="F38" s="661"/>
      <c r="G38" s="921"/>
      <c r="H38" s="921"/>
    </row>
    <row r="39" spans="1:14">
      <c r="A39" s="118" t="s">
        <v>187</v>
      </c>
      <c r="B39" s="535">
        <v>0.76</v>
      </c>
      <c r="E39" s="661"/>
      <c r="F39" s="661"/>
      <c r="G39" s="921"/>
      <c r="H39" s="921"/>
    </row>
    <row r="40" spans="1:14">
      <c r="A40" s="118" t="s">
        <v>18</v>
      </c>
      <c r="B40" s="536">
        <v>2.3666410874874599E-2</v>
      </c>
      <c r="E40" s="661"/>
      <c r="F40" s="661"/>
      <c r="G40" s="921"/>
      <c r="H40" s="921"/>
    </row>
    <row r="41" spans="1:14" ht="15.75" thickBot="1">
      <c r="A41" s="119"/>
      <c r="B41" s="540"/>
      <c r="E41" s="661"/>
      <c r="F41" s="661"/>
    </row>
    <row r="42" spans="1:14" s="43" customFormat="1" ht="15.75" thickBot="1">
      <c r="A42" s="196"/>
      <c r="B42" s="538"/>
      <c r="E42" s="913"/>
      <c r="F42" s="913"/>
      <c r="G42" s="197"/>
      <c r="H42" s="197"/>
      <c r="I42" s="197"/>
      <c r="J42" s="197"/>
      <c r="K42" s="197"/>
      <c r="L42" s="197"/>
      <c r="M42" s="197"/>
      <c r="N42" s="197"/>
    </row>
    <row r="43" spans="1:14" ht="15.75" thickBot="1">
      <c r="A43" s="121" t="s">
        <v>189</v>
      </c>
      <c r="B43" s="541"/>
      <c r="E43" s="661"/>
      <c r="F43" s="661"/>
    </row>
    <row r="44" spans="1:14">
      <c r="A44" s="44" t="s">
        <v>736</v>
      </c>
      <c r="B44" s="532"/>
      <c r="E44" s="661"/>
      <c r="F44" s="661"/>
    </row>
    <row r="45" spans="1:14">
      <c r="A45" s="44"/>
      <c r="B45" s="532"/>
      <c r="E45" s="661"/>
      <c r="F45" s="661"/>
    </row>
    <row r="46" spans="1:14" ht="18">
      <c r="A46" s="137" t="s">
        <v>190</v>
      </c>
      <c r="B46" s="533" t="s">
        <v>575</v>
      </c>
      <c r="E46" s="661"/>
      <c r="F46" s="661"/>
    </row>
    <row r="47" spans="1:14">
      <c r="A47" s="116" t="s">
        <v>191</v>
      </c>
      <c r="B47" s="542">
        <v>0.88440394630149</v>
      </c>
      <c r="E47" s="661"/>
      <c r="F47" s="661"/>
    </row>
    <row r="48" spans="1:14">
      <c r="A48" s="118" t="s">
        <v>192</v>
      </c>
      <c r="B48" s="535">
        <v>0.93363536228846</v>
      </c>
      <c r="E48" s="661"/>
      <c r="F48" s="661"/>
    </row>
    <row r="49" spans="1:12">
      <c r="A49" s="118" t="s">
        <v>185</v>
      </c>
      <c r="B49" s="535">
        <v>3.072006360583E-2</v>
      </c>
      <c r="E49" s="661"/>
      <c r="F49" s="661"/>
    </row>
    <row r="50" spans="1:12">
      <c r="A50" s="118" t="s">
        <v>18</v>
      </c>
      <c r="B50" s="535">
        <v>9.5463603863000005E-4</v>
      </c>
      <c r="E50" s="909"/>
      <c r="F50" s="909"/>
      <c r="G50" s="10"/>
      <c r="H50" s="10"/>
      <c r="I50" s="10"/>
      <c r="J50" s="10"/>
      <c r="K50" s="10"/>
      <c r="L50" s="10"/>
    </row>
    <row r="51" spans="1:12">
      <c r="A51" s="118" t="s">
        <v>16</v>
      </c>
      <c r="B51" s="535">
        <v>6.4623044697499996E-3</v>
      </c>
      <c r="E51" s="909"/>
      <c r="F51" s="909"/>
      <c r="G51" s="10"/>
      <c r="H51" s="10"/>
      <c r="I51" s="10"/>
      <c r="J51" s="10"/>
      <c r="K51" s="10"/>
      <c r="L51" s="10"/>
    </row>
    <row r="52" spans="1:12" ht="15.75" thickBot="1">
      <c r="A52" s="119" t="s">
        <v>127</v>
      </c>
      <c r="B52" s="543">
        <v>9.7955177276942237E-2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75" customWidth="1"/>
    <col min="3" max="3" width="70.28515625" style="548" customWidth="1"/>
  </cols>
  <sheetData>
    <row r="1" spans="1:3" s="334" customFormat="1" ht="15.75" thickBot="1">
      <c r="A1" s="391" t="s">
        <v>626</v>
      </c>
      <c r="B1" s="546"/>
      <c r="C1" s="547"/>
    </row>
    <row r="2" spans="1:3" s="334" customFormat="1">
      <c r="A2" s="395"/>
      <c r="B2" s="512"/>
      <c r="C2" s="549"/>
    </row>
    <row r="3" spans="1:3" s="334" customFormat="1">
      <c r="A3" s="393"/>
      <c r="B3" s="550">
        <v>2016</v>
      </c>
      <c r="C3" s="396" t="s">
        <v>182</v>
      </c>
    </row>
    <row r="4" spans="1:3">
      <c r="A4" s="120" t="s">
        <v>301</v>
      </c>
      <c r="B4" s="551">
        <v>4382.187123964326</v>
      </c>
      <c r="C4" s="139" t="s">
        <v>737</v>
      </c>
    </row>
    <row r="5" spans="1:3" ht="15.75" thickBot="1">
      <c r="A5" s="933" t="s">
        <v>625</v>
      </c>
      <c r="B5" s="942">
        <v>673536</v>
      </c>
      <c r="C5" s="943" t="s">
        <v>675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2">
        <v>310</v>
      </c>
    </row>
    <row r="5" spans="1:2" ht="18.75" thickBot="1">
      <c r="A5" s="115" t="s">
        <v>445</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5" t="s">
        <v>655</v>
      </c>
      <c r="B6" s="439" t="s">
        <v>732</v>
      </c>
      <c r="C6" s="440" t="s">
        <v>358</v>
      </c>
    </row>
    <row r="7" spans="1:3" s="334" customFormat="1">
      <c r="A7" s="925" t="s">
        <v>731</v>
      </c>
      <c r="B7" s="441" t="s">
        <v>602</v>
      </c>
      <c r="C7" s="442" t="s">
        <v>601</v>
      </c>
    </row>
    <row r="8" spans="1:3" s="334" customFormat="1">
      <c r="A8" s="470"/>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template'!C27),0,'SEAP template'!C27)</f>
        <v>40609.382493168363</v>
      </c>
      <c r="C3" s="43" t="s">
        <v>170</v>
      </c>
      <c r="D3" s="43"/>
      <c r="E3" s="154"/>
      <c r="F3" s="43"/>
      <c r="G3" s="43"/>
      <c r="H3" s="43"/>
      <c r="I3" s="43"/>
      <c r="J3" s="43"/>
      <c r="K3" s="96"/>
    </row>
    <row r="4" spans="1:11">
      <c r="A4" s="383" t="s">
        <v>171</v>
      </c>
      <c r="B4" s="49">
        <f>IF(ISERROR('SEAP template'!B78+'SEAP template'!C78),0,'SEAP template'!B78+'SEAP template'!C78)</f>
        <v>7041.3952210617008</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0">
        <v>0.221</v>
      </c>
      <c r="F6" s="43" t="s">
        <v>723</v>
      </c>
      <c r="G6" s="43" t="s">
        <v>728</v>
      </c>
      <c r="H6" s="43"/>
      <c r="I6" s="43"/>
      <c r="J6" s="43"/>
      <c r="K6" s="96"/>
    </row>
    <row r="7" spans="1:11">
      <c r="A7" s="383"/>
      <c r="B7" s="477"/>
      <c r="C7" s="43"/>
      <c r="D7" s="43"/>
      <c r="E7" s="43"/>
      <c r="F7" s="48"/>
      <c r="G7" s="43"/>
      <c r="H7" s="43"/>
      <c r="I7" s="43"/>
      <c r="J7" s="43"/>
      <c r="K7" s="96"/>
    </row>
    <row r="8" spans="1:11">
      <c r="A8" s="383"/>
      <c r="B8" s="477"/>
      <c r="C8" s="43"/>
      <c r="D8" s="43"/>
      <c r="E8" s="43"/>
      <c r="F8" s="48"/>
      <c r="G8" s="43"/>
      <c r="H8" s="939"/>
      <c r="I8" s="155"/>
      <c r="J8" s="43"/>
      <c r="K8" s="96"/>
    </row>
    <row r="9" spans="1:11">
      <c r="A9" s="383" t="s">
        <v>175</v>
      </c>
      <c r="B9" s="49">
        <f>IF(ISERROR('SEAP template'!Q78),0,'SEAP template'!Q78)</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0.18268007863413283</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0</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504</v>
      </c>
      <c r="B20" s="49">
        <f ca="1">IF(ISERROR('SEAP template'!D27),0,('SEAP template'!D27))</f>
        <v>62.357142857142847</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674</v>
      </c>
      <c r="B1" s="889" t="s">
        <v>308</v>
      </c>
      <c r="C1" s="889" t="s">
        <v>312</v>
      </c>
      <c r="D1" s="889" t="s">
        <v>313</v>
      </c>
      <c r="E1" s="889" t="s">
        <v>314</v>
      </c>
      <c r="F1" s="889" t="s">
        <v>315</v>
      </c>
      <c r="H1" s="93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1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93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93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936">
        <v>6.5355741912209441E-9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2">
        <v>2016</v>
      </c>
      <c r="B1" s="1203"/>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4"/>
      <c r="B2" s="1205"/>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4"/>
      <c r="B3" s="1205"/>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0.98187544873812849</v>
      </c>
      <c r="E7" s="861">
        <v>0</v>
      </c>
      <c r="F7" s="862">
        <v>0.98187544873812849</v>
      </c>
      <c r="G7" s="861">
        <v>0</v>
      </c>
      <c r="H7" s="861">
        <v>0</v>
      </c>
      <c r="I7" s="861">
        <v>1.3897268344938405</v>
      </c>
      <c r="J7" s="861">
        <v>0.64811057430018204</v>
      </c>
      <c r="K7" s="861">
        <v>0</v>
      </c>
      <c r="L7" s="861">
        <v>55.66086993434908</v>
      </c>
      <c r="M7" s="861">
        <v>0</v>
      </c>
      <c r="N7" s="861">
        <v>0</v>
      </c>
      <c r="O7" s="861">
        <v>0</v>
      </c>
      <c r="P7" s="861">
        <v>0</v>
      </c>
      <c r="Q7" s="861">
        <v>0</v>
      </c>
      <c r="R7" s="862">
        <v>57.698707343143099</v>
      </c>
      <c r="S7" s="861">
        <v>90.945255291241054</v>
      </c>
      <c r="T7" s="861">
        <v>0</v>
      </c>
      <c r="U7" s="861">
        <v>0</v>
      </c>
      <c r="V7" s="862">
        <v>90.945255291241054</v>
      </c>
      <c r="W7" s="862">
        <v>149.62583808312229</v>
      </c>
      <c r="X7" s="861">
        <v>0</v>
      </c>
      <c r="Y7" s="861">
        <v>14.218075100461599</v>
      </c>
      <c r="Z7" s="861">
        <v>38.960158529600896</v>
      </c>
      <c r="AA7" s="863">
        <v>0</v>
      </c>
      <c r="AB7" s="863">
        <v>0</v>
      </c>
      <c r="AC7" s="862">
        <v>202.80407171318478</v>
      </c>
    </row>
    <row r="8" spans="1:29">
      <c r="A8" s="216" t="s">
        <v>156</v>
      </c>
      <c r="B8" s="217"/>
      <c r="C8" s="864">
        <v>0</v>
      </c>
      <c r="D8" s="864">
        <v>1.0594042609570003E-4</v>
      </c>
      <c r="E8" s="864">
        <v>0</v>
      </c>
      <c r="F8" s="865">
        <v>1.0594042609570003E-4</v>
      </c>
      <c r="G8" s="864">
        <v>0</v>
      </c>
      <c r="H8" s="864">
        <v>0</v>
      </c>
      <c r="I8" s="864">
        <v>0.54328004638050609</v>
      </c>
      <c r="J8" s="864">
        <v>2.654358493393255E-3</v>
      </c>
      <c r="K8" s="864">
        <v>0</v>
      </c>
      <c r="L8" s="864">
        <v>7.476801588293716</v>
      </c>
      <c r="M8" s="864">
        <v>0</v>
      </c>
      <c r="N8" s="864">
        <v>8.8560868381251198E-2</v>
      </c>
      <c r="O8" s="864">
        <v>0</v>
      </c>
      <c r="P8" s="864">
        <v>0</v>
      </c>
      <c r="Q8" s="864">
        <v>0</v>
      </c>
      <c r="R8" s="865">
        <v>8.1112968615488654</v>
      </c>
      <c r="S8" s="864">
        <v>49.135395431894047</v>
      </c>
      <c r="T8" s="864">
        <v>0</v>
      </c>
      <c r="U8" s="864">
        <v>0</v>
      </c>
      <c r="V8" s="865">
        <v>49.135395431894047</v>
      </c>
      <c r="W8" s="865">
        <v>57.246798233869008</v>
      </c>
      <c r="X8" s="864">
        <v>1.7511545615999999</v>
      </c>
      <c r="Y8" s="864">
        <v>4.2362890351008868</v>
      </c>
      <c r="Z8" s="864">
        <v>43.749461908573714</v>
      </c>
      <c r="AA8" s="866">
        <v>0</v>
      </c>
      <c r="AB8" s="866">
        <v>0</v>
      </c>
      <c r="AC8" s="865">
        <v>106.98319884994361</v>
      </c>
    </row>
    <row r="9" spans="1:29">
      <c r="A9" s="3"/>
      <c r="B9" s="6" t="s">
        <v>157</v>
      </c>
      <c r="C9" s="867">
        <v>0</v>
      </c>
      <c r="D9" s="867">
        <v>0</v>
      </c>
      <c r="E9" s="867">
        <v>0</v>
      </c>
      <c r="F9" s="868">
        <v>0</v>
      </c>
      <c r="G9" s="867">
        <v>0</v>
      </c>
      <c r="H9" s="867">
        <v>0</v>
      </c>
      <c r="I9" s="867">
        <v>6.5395971200937972E-2</v>
      </c>
      <c r="J9" s="867">
        <v>0</v>
      </c>
      <c r="K9" s="867">
        <v>0</v>
      </c>
      <c r="L9" s="867">
        <v>0.57830887738361236</v>
      </c>
      <c r="M9" s="867">
        <v>0</v>
      </c>
      <c r="N9" s="867">
        <v>0</v>
      </c>
      <c r="O9" s="867">
        <v>0</v>
      </c>
      <c r="P9" s="867">
        <v>0</v>
      </c>
      <c r="Q9" s="867">
        <v>0</v>
      </c>
      <c r="R9" s="868">
        <v>0.64370484858455035</v>
      </c>
      <c r="S9" s="867">
        <v>6.1435060825930661</v>
      </c>
      <c r="T9" s="867">
        <v>0</v>
      </c>
      <c r="U9" s="867">
        <v>0</v>
      </c>
      <c r="V9" s="868">
        <v>6.1435060825930661</v>
      </c>
      <c r="W9" s="868">
        <v>6.7872109311776168</v>
      </c>
      <c r="X9" s="867">
        <v>0</v>
      </c>
      <c r="Y9" s="867">
        <v>1.312857440166E-3</v>
      </c>
      <c r="Z9" s="867">
        <v>4.5668108859230552</v>
      </c>
      <c r="AA9" s="869">
        <v>0</v>
      </c>
      <c r="AB9" s="869">
        <v>0</v>
      </c>
      <c r="AC9" s="868">
        <v>11.355334674540838</v>
      </c>
    </row>
    <row r="10" spans="1:29">
      <c r="A10" s="3"/>
      <c r="B10" s="6" t="s">
        <v>158</v>
      </c>
      <c r="C10" s="867">
        <v>0</v>
      </c>
      <c r="D10" s="867">
        <v>0</v>
      </c>
      <c r="E10" s="867">
        <v>0</v>
      </c>
      <c r="F10" s="868">
        <v>0</v>
      </c>
      <c r="G10" s="867">
        <v>0</v>
      </c>
      <c r="H10" s="867">
        <v>0</v>
      </c>
      <c r="I10" s="867">
        <v>2.1401747481641751E-4</v>
      </c>
      <c r="J10" s="867">
        <v>0</v>
      </c>
      <c r="K10" s="867">
        <v>0</v>
      </c>
      <c r="L10" s="867">
        <v>0.50779447189257843</v>
      </c>
      <c r="M10" s="867">
        <v>0</v>
      </c>
      <c r="N10" s="867">
        <v>0</v>
      </c>
      <c r="O10" s="867">
        <v>0</v>
      </c>
      <c r="P10" s="867">
        <v>0</v>
      </c>
      <c r="Q10" s="867">
        <v>0</v>
      </c>
      <c r="R10" s="868">
        <v>0.50800848936739484</v>
      </c>
      <c r="S10" s="867">
        <v>5.9106708296719477</v>
      </c>
      <c r="T10" s="867">
        <v>0</v>
      </c>
      <c r="U10" s="867">
        <v>0</v>
      </c>
      <c r="V10" s="868">
        <v>5.9106708296719477</v>
      </c>
      <c r="W10" s="868">
        <v>6.4186793190393425</v>
      </c>
      <c r="X10" s="867">
        <v>0</v>
      </c>
      <c r="Y10" s="867">
        <v>5.2874136000000002E-2</v>
      </c>
      <c r="Z10" s="867">
        <v>3.4182703752975905</v>
      </c>
      <c r="AA10" s="869">
        <v>0</v>
      </c>
      <c r="AB10" s="869">
        <v>0</v>
      </c>
      <c r="AC10" s="868">
        <v>9.8898238303369332</v>
      </c>
    </row>
    <row r="11" spans="1:29">
      <c r="A11" s="3"/>
      <c r="B11" s="6" t="s">
        <v>159</v>
      </c>
      <c r="C11" s="867">
        <v>0</v>
      </c>
      <c r="D11" s="867">
        <v>0</v>
      </c>
      <c r="E11" s="867">
        <v>0</v>
      </c>
      <c r="F11" s="868">
        <v>0</v>
      </c>
      <c r="G11" s="867">
        <v>0</v>
      </c>
      <c r="H11" s="867">
        <v>0</v>
      </c>
      <c r="I11" s="867">
        <v>2.1871911494933231E-2</v>
      </c>
      <c r="J11" s="867">
        <v>0</v>
      </c>
      <c r="K11" s="867">
        <v>0</v>
      </c>
      <c r="L11" s="867">
        <v>0.25399054995191478</v>
      </c>
      <c r="M11" s="867">
        <v>0</v>
      </c>
      <c r="N11" s="867">
        <v>0</v>
      </c>
      <c r="O11" s="867">
        <v>0</v>
      </c>
      <c r="P11" s="867">
        <v>0</v>
      </c>
      <c r="Q11" s="867">
        <v>0</v>
      </c>
      <c r="R11" s="868">
        <v>0.27586246144684801</v>
      </c>
      <c r="S11" s="867">
        <v>3.8531677873338341</v>
      </c>
      <c r="T11" s="867">
        <v>0</v>
      </c>
      <c r="U11" s="867">
        <v>0</v>
      </c>
      <c r="V11" s="868">
        <v>3.8531677873338341</v>
      </c>
      <c r="W11" s="868">
        <v>4.1290302487806825</v>
      </c>
      <c r="X11" s="867">
        <v>0</v>
      </c>
      <c r="Y11" s="867">
        <v>4.0792440000000001E-3</v>
      </c>
      <c r="Z11" s="867">
        <v>1.4495855715380828</v>
      </c>
      <c r="AA11" s="869">
        <v>0</v>
      </c>
      <c r="AB11" s="869">
        <v>0</v>
      </c>
      <c r="AC11" s="868">
        <v>5.5826950643187647</v>
      </c>
    </row>
    <row r="12" spans="1:29">
      <c r="A12" s="3"/>
      <c r="B12" s="6" t="s">
        <v>160</v>
      </c>
      <c r="C12" s="867">
        <v>0</v>
      </c>
      <c r="D12" s="867">
        <v>0</v>
      </c>
      <c r="E12" s="867">
        <v>0</v>
      </c>
      <c r="F12" s="868">
        <v>0</v>
      </c>
      <c r="G12" s="867">
        <v>0</v>
      </c>
      <c r="H12" s="867">
        <v>0</v>
      </c>
      <c r="I12" s="867">
        <v>1.0674216457535526E-4</v>
      </c>
      <c r="J12" s="867">
        <v>2.654358493393255E-3</v>
      </c>
      <c r="K12" s="867">
        <v>0</v>
      </c>
      <c r="L12" s="867">
        <v>2.5592239725093093</v>
      </c>
      <c r="M12" s="867">
        <v>0</v>
      </c>
      <c r="N12" s="867">
        <v>0</v>
      </c>
      <c r="O12" s="867">
        <v>0</v>
      </c>
      <c r="P12" s="867">
        <v>0</v>
      </c>
      <c r="Q12" s="867">
        <v>0</v>
      </c>
      <c r="R12" s="868">
        <v>2.561985073167278</v>
      </c>
      <c r="S12" s="867">
        <v>18.282089254691357</v>
      </c>
      <c r="T12" s="867">
        <v>0</v>
      </c>
      <c r="U12" s="867">
        <v>0</v>
      </c>
      <c r="V12" s="868">
        <v>18.282089254691357</v>
      </c>
      <c r="W12" s="868">
        <v>20.844074327858635</v>
      </c>
      <c r="X12" s="867">
        <v>1.076724E-4</v>
      </c>
      <c r="Y12" s="867">
        <v>1.6287248118609998E-2</v>
      </c>
      <c r="Z12" s="867">
        <v>17.030604477610947</v>
      </c>
      <c r="AA12" s="869">
        <v>0</v>
      </c>
      <c r="AB12" s="869">
        <v>0</v>
      </c>
      <c r="AC12" s="868">
        <v>37.891073725988193</v>
      </c>
    </row>
    <row r="13" spans="1:29">
      <c r="A13" s="3"/>
      <c r="B13" s="6" t="s">
        <v>161</v>
      </c>
      <c r="C13" s="867">
        <v>0</v>
      </c>
      <c r="D13" s="867">
        <v>0</v>
      </c>
      <c r="E13" s="867">
        <v>0</v>
      </c>
      <c r="F13" s="868">
        <v>0</v>
      </c>
      <c r="G13" s="867">
        <v>0</v>
      </c>
      <c r="H13" s="867">
        <v>0</v>
      </c>
      <c r="I13" s="867">
        <v>0.449873808164032</v>
      </c>
      <c r="J13" s="867">
        <v>0</v>
      </c>
      <c r="K13" s="867">
        <v>0</v>
      </c>
      <c r="L13" s="867">
        <v>2.3815947942702982</v>
      </c>
      <c r="M13" s="867">
        <v>0</v>
      </c>
      <c r="N13" s="867">
        <v>7.4469845482352847E-3</v>
      </c>
      <c r="O13" s="867">
        <v>0</v>
      </c>
      <c r="P13" s="867">
        <v>0</v>
      </c>
      <c r="Q13" s="867">
        <v>0</v>
      </c>
      <c r="R13" s="868">
        <v>2.8389155869825653</v>
      </c>
      <c r="S13" s="867">
        <v>9.7227153551491661</v>
      </c>
      <c r="T13" s="867">
        <v>0</v>
      </c>
      <c r="U13" s="867">
        <v>0</v>
      </c>
      <c r="V13" s="868">
        <v>9.7227153551491661</v>
      </c>
      <c r="W13" s="868">
        <v>12.561630942131732</v>
      </c>
      <c r="X13" s="867">
        <v>0</v>
      </c>
      <c r="Y13" s="867">
        <v>1.7181716416000001E-2</v>
      </c>
      <c r="Z13" s="867">
        <v>12.403510827032306</v>
      </c>
      <c r="AA13" s="869">
        <v>0</v>
      </c>
      <c r="AB13" s="869">
        <v>0</v>
      </c>
      <c r="AC13" s="868">
        <v>24.982323485580039</v>
      </c>
    </row>
    <row r="14" spans="1:29">
      <c r="A14" s="218"/>
      <c r="B14" s="219" t="s">
        <v>162</v>
      </c>
      <c r="C14" s="870">
        <v>0</v>
      </c>
      <c r="D14" s="870">
        <v>1.0594042609570003E-4</v>
      </c>
      <c r="E14" s="870">
        <v>0</v>
      </c>
      <c r="F14" s="871">
        <v>1.0594042609570003E-4</v>
      </c>
      <c r="G14" s="867">
        <v>0</v>
      </c>
      <c r="H14" s="867">
        <v>0</v>
      </c>
      <c r="I14" s="867">
        <v>5.8175958812111224E-3</v>
      </c>
      <c r="J14" s="867">
        <v>0</v>
      </c>
      <c r="K14" s="867">
        <v>0</v>
      </c>
      <c r="L14" s="867">
        <v>1.195888922286003</v>
      </c>
      <c r="M14" s="867">
        <v>0</v>
      </c>
      <c r="N14" s="867">
        <v>8.1113883833015918E-2</v>
      </c>
      <c r="O14" s="867">
        <v>0</v>
      </c>
      <c r="P14" s="867">
        <v>0</v>
      </c>
      <c r="Q14" s="867">
        <v>0</v>
      </c>
      <c r="R14" s="871">
        <v>1.2828204020002301</v>
      </c>
      <c r="S14" s="867">
        <v>5.2232461224546736</v>
      </c>
      <c r="T14" s="870">
        <v>0</v>
      </c>
      <c r="U14" s="870">
        <v>0</v>
      </c>
      <c r="V14" s="871">
        <v>5.2232461224546736</v>
      </c>
      <c r="W14" s="871">
        <v>6.5061724648809989</v>
      </c>
      <c r="X14" s="867">
        <v>1.7505419999999998</v>
      </c>
      <c r="Y14" s="867">
        <v>4.1445538331261105</v>
      </c>
      <c r="Z14" s="867">
        <v>4.8806797711717316</v>
      </c>
      <c r="AA14" s="872">
        <v>0</v>
      </c>
      <c r="AB14" s="872">
        <v>0</v>
      </c>
      <c r="AC14" s="871">
        <v>17.281948069178839</v>
      </c>
    </row>
    <row r="15" spans="1:29">
      <c r="A15" s="216" t="s">
        <v>163</v>
      </c>
      <c r="B15" s="220"/>
      <c r="C15" s="873">
        <v>0</v>
      </c>
      <c r="D15" s="873">
        <v>3.5985444000000699E-3</v>
      </c>
      <c r="E15" s="873">
        <v>0.15900000000000003</v>
      </c>
      <c r="F15" s="873">
        <v>0.1625985444000001</v>
      </c>
      <c r="G15" s="873">
        <v>0</v>
      </c>
      <c r="H15" s="873">
        <v>0</v>
      </c>
      <c r="I15" s="873">
        <v>2.50784339815073</v>
      </c>
      <c r="J15" s="873">
        <v>0.19436988224110799</v>
      </c>
      <c r="K15" s="873">
        <v>0</v>
      </c>
      <c r="L15" s="873">
        <v>8.460723701334329</v>
      </c>
      <c r="M15" s="873">
        <v>0</v>
      </c>
      <c r="N15" s="873">
        <v>0.53538692849483105</v>
      </c>
      <c r="O15" s="873">
        <v>0</v>
      </c>
      <c r="P15" s="873">
        <v>9.8910000000000005E-3</v>
      </c>
      <c r="Q15" s="873">
        <v>0</v>
      </c>
      <c r="R15" s="873">
        <v>11.708214910220999</v>
      </c>
      <c r="S15" s="873">
        <v>30.58754292438466</v>
      </c>
      <c r="T15" s="873">
        <v>0</v>
      </c>
      <c r="U15" s="873">
        <v>0</v>
      </c>
      <c r="V15" s="873">
        <v>30.58754292438466</v>
      </c>
      <c r="W15" s="873">
        <v>42.458356379005664</v>
      </c>
      <c r="X15" s="873">
        <v>0</v>
      </c>
      <c r="Y15" s="873">
        <v>10.188156281075617</v>
      </c>
      <c r="Z15" s="873">
        <v>45.418829069147264</v>
      </c>
      <c r="AA15" s="875">
        <v>3.2790688000002177E-2</v>
      </c>
      <c r="AB15" s="875">
        <v>0</v>
      </c>
      <c r="AC15" s="874">
        <f>SUM(W15,X15,Y15,Z15)</f>
        <v>98.06534172922855</v>
      </c>
    </row>
    <row r="16" spans="1:29">
      <c r="A16" s="5"/>
      <c r="B16" s="6" t="s">
        <v>35</v>
      </c>
      <c r="C16" s="876">
        <v>0</v>
      </c>
      <c r="D16" s="876">
        <v>0</v>
      </c>
      <c r="E16" s="876">
        <v>0</v>
      </c>
      <c r="F16" s="868">
        <v>0</v>
      </c>
      <c r="G16" s="876">
        <v>0</v>
      </c>
      <c r="H16" s="876">
        <v>0</v>
      </c>
      <c r="I16" s="876">
        <v>1.3535999999999999E-3</v>
      </c>
      <c r="J16" s="876">
        <v>0</v>
      </c>
      <c r="K16" s="876">
        <v>0</v>
      </c>
      <c r="L16" s="876">
        <v>1.0006115081399994E-2</v>
      </c>
      <c r="M16" s="876">
        <v>0</v>
      </c>
      <c r="N16" s="876">
        <v>2.4071050720001624E-5</v>
      </c>
      <c r="O16" s="876">
        <v>0</v>
      </c>
      <c r="P16" s="876">
        <v>0</v>
      </c>
      <c r="Q16" s="876">
        <v>0</v>
      </c>
      <c r="R16" s="868">
        <v>1.1383786132119995E-2</v>
      </c>
      <c r="S16" s="876">
        <v>0.29381143171143886</v>
      </c>
      <c r="T16" s="876">
        <v>0</v>
      </c>
      <c r="U16" s="876">
        <v>0</v>
      </c>
      <c r="V16" s="877">
        <v>0.29381143171143886</v>
      </c>
      <c r="W16" s="868">
        <v>0.30519521784355885</v>
      </c>
      <c r="X16" s="876">
        <v>0</v>
      </c>
      <c r="Y16" s="876">
        <v>0</v>
      </c>
      <c r="Z16" s="876">
        <v>0.600956769599998</v>
      </c>
      <c r="AA16" s="869">
        <v>0</v>
      </c>
      <c r="AB16" s="869">
        <v>0</v>
      </c>
      <c r="AC16" s="868">
        <v>0.90615198744355685</v>
      </c>
    </row>
    <row r="17" spans="1:31">
      <c r="A17" s="5"/>
      <c r="B17" s="6" t="s">
        <v>38</v>
      </c>
      <c r="C17" s="876">
        <v>0</v>
      </c>
      <c r="D17" s="876">
        <v>0</v>
      </c>
      <c r="E17" s="876">
        <v>0.15900000000000003</v>
      </c>
      <c r="F17" s="868">
        <v>0.15900000000000003</v>
      </c>
      <c r="G17" s="876">
        <v>0</v>
      </c>
      <c r="H17" s="876">
        <v>0</v>
      </c>
      <c r="I17" s="876">
        <v>5.1431962030000005E-3</v>
      </c>
      <c r="J17" s="876">
        <v>0</v>
      </c>
      <c r="K17" s="876">
        <v>0</v>
      </c>
      <c r="L17" s="876">
        <v>0.12139422893560999</v>
      </c>
      <c r="M17" s="876">
        <v>0</v>
      </c>
      <c r="N17" s="876">
        <v>8.6258319999999999E-3</v>
      </c>
      <c r="O17" s="876">
        <v>0</v>
      </c>
      <c r="P17" s="876">
        <v>9.8910000000000005E-3</v>
      </c>
      <c r="Q17" s="876">
        <v>0</v>
      </c>
      <c r="R17" s="868">
        <v>0.14505425713861</v>
      </c>
      <c r="S17" s="876">
        <v>0.79432374113939996</v>
      </c>
      <c r="T17" s="876">
        <v>0</v>
      </c>
      <c r="U17" s="876">
        <v>0</v>
      </c>
      <c r="V17" s="877">
        <v>0.79432374113939996</v>
      </c>
      <c r="W17" s="868">
        <v>1.09837799827801</v>
      </c>
      <c r="X17" s="876">
        <v>0</v>
      </c>
      <c r="Y17" s="876">
        <v>0</v>
      </c>
      <c r="Z17" s="876">
        <v>0.55534467960000011</v>
      </c>
      <c r="AA17" s="869">
        <v>0</v>
      </c>
      <c r="AB17" s="869">
        <v>0</v>
      </c>
      <c r="AC17" s="868">
        <v>1.6537226778780101</v>
      </c>
    </row>
    <row r="18" spans="1:31">
      <c r="A18" s="5"/>
      <c r="B18" s="6" t="s">
        <v>36</v>
      </c>
      <c r="C18" s="876">
        <v>0</v>
      </c>
      <c r="D18" s="876">
        <v>0</v>
      </c>
      <c r="E18" s="876">
        <v>0</v>
      </c>
      <c r="F18" s="868">
        <v>0</v>
      </c>
      <c r="G18" s="876">
        <v>0</v>
      </c>
      <c r="H18" s="876">
        <v>0</v>
      </c>
      <c r="I18" s="876">
        <v>5.8403080172951496E-2</v>
      </c>
      <c r="J18" s="876">
        <v>5.3904584999999996E-3</v>
      </c>
      <c r="K18" s="876">
        <v>0</v>
      </c>
      <c r="L18" s="876">
        <v>0.5956323819559034</v>
      </c>
      <c r="M18" s="876">
        <v>0</v>
      </c>
      <c r="N18" s="876">
        <v>0</v>
      </c>
      <c r="O18" s="876">
        <v>0</v>
      </c>
      <c r="P18" s="876">
        <v>0</v>
      </c>
      <c r="Q18" s="876">
        <v>0</v>
      </c>
      <c r="R18" s="868">
        <v>0.65942592062885486</v>
      </c>
      <c r="S18" s="876">
        <v>4.0803776941623893</v>
      </c>
      <c r="T18" s="876">
        <v>0</v>
      </c>
      <c r="U18" s="876">
        <v>0</v>
      </c>
      <c r="V18" s="877">
        <v>4.0803776941623893</v>
      </c>
      <c r="W18" s="868">
        <v>4.7398036147912439</v>
      </c>
      <c r="X18" s="876">
        <v>0</v>
      </c>
      <c r="Y18" s="876">
        <v>9.0625772814057995E-2</v>
      </c>
      <c r="Z18" s="876">
        <v>6.3522800721468258</v>
      </c>
      <c r="AA18" s="869">
        <v>0</v>
      </c>
      <c r="AB18" s="869">
        <v>0</v>
      </c>
      <c r="AC18" s="868">
        <v>10.76634531061778</v>
      </c>
    </row>
    <row r="19" spans="1:31">
      <c r="A19" s="5"/>
      <c r="B19" s="6" t="s">
        <v>33</v>
      </c>
      <c r="C19" s="876">
        <v>0</v>
      </c>
      <c r="D19" s="876">
        <v>0</v>
      </c>
      <c r="E19" s="876">
        <v>0</v>
      </c>
      <c r="F19" s="868">
        <v>0</v>
      </c>
      <c r="G19" s="876">
        <v>0</v>
      </c>
      <c r="H19" s="876">
        <v>0</v>
      </c>
      <c r="I19" s="876">
        <v>2.3202087644292839</v>
      </c>
      <c r="J19" s="876">
        <v>0.18897942374110799</v>
      </c>
      <c r="K19" s="876">
        <v>0</v>
      </c>
      <c r="L19" s="876">
        <v>6.0416147580072259</v>
      </c>
      <c r="M19" s="876">
        <v>0</v>
      </c>
      <c r="N19" s="876">
        <v>0.3365556065279332</v>
      </c>
      <c r="O19" s="876">
        <v>0</v>
      </c>
      <c r="P19" s="876">
        <v>0</v>
      </c>
      <c r="Q19" s="876">
        <v>0</v>
      </c>
      <c r="R19" s="868">
        <v>8.8873585527055514</v>
      </c>
      <c r="S19" s="876">
        <v>4.4547518589542587</v>
      </c>
      <c r="T19" s="876">
        <v>0</v>
      </c>
      <c r="U19" s="876">
        <v>0</v>
      </c>
      <c r="V19" s="877">
        <v>4.4547518589542587</v>
      </c>
      <c r="W19" s="868">
        <v>13.34211041165981</v>
      </c>
      <c r="X19" s="876">
        <v>0</v>
      </c>
      <c r="Y19" s="876">
        <v>2.6225860551679996</v>
      </c>
      <c r="Z19" s="876">
        <v>7.9372365537430181</v>
      </c>
      <c r="AA19" s="869">
        <v>0</v>
      </c>
      <c r="AB19" s="869">
        <v>0</v>
      </c>
      <c r="AC19" s="868">
        <v>21.026062724349352</v>
      </c>
    </row>
    <row r="20" spans="1:31">
      <c r="A20" s="5"/>
      <c r="B20" s="6" t="s">
        <v>41</v>
      </c>
      <c r="C20" s="876">
        <v>0</v>
      </c>
      <c r="D20" s="876">
        <v>0</v>
      </c>
      <c r="E20" s="876">
        <v>0</v>
      </c>
      <c r="F20" s="868">
        <v>0</v>
      </c>
      <c r="G20" s="876">
        <v>0</v>
      </c>
      <c r="H20" s="876">
        <v>0</v>
      </c>
      <c r="I20" s="876">
        <v>2.4619263493260032E-2</v>
      </c>
      <c r="J20" s="876">
        <v>0</v>
      </c>
      <c r="K20" s="876">
        <v>0</v>
      </c>
      <c r="L20" s="876">
        <v>0.71110278165547258</v>
      </c>
      <c r="M20" s="876">
        <v>0</v>
      </c>
      <c r="N20" s="876">
        <v>2.8819907119999998E-2</v>
      </c>
      <c r="O20" s="876">
        <v>0</v>
      </c>
      <c r="P20" s="876">
        <v>0</v>
      </c>
      <c r="Q20" s="876">
        <v>0</v>
      </c>
      <c r="R20" s="868">
        <v>0.76454195226873267</v>
      </c>
      <c r="S20" s="876">
        <v>11.117820279523219</v>
      </c>
      <c r="T20" s="876">
        <v>0</v>
      </c>
      <c r="U20" s="876">
        <v>0</v>
      </c>
      <c r="V20" s="877">
        <v>11.117820279523219</v>
      </c>
      <c r="W20" s="868">
        <v>11.882362231791952</v>
      </c>
      <c r="X20" s="876">
        <v>0</v>
      </c>
      <c r="Y20" s="876">
        <v>0.80310076938715902</v>
      </c>
      <c r="Z20" s="876">
        <v>11.637477216751909</v>
      </c>
      <c r="AA20" s="869">
        <v>0</v>
      </c>
      <c r="AB20" s="869">
        <v>0</v>
      </c>
      <c r="AC20" s="868">
        <v>23.860391304415693</v>
      </c>
    </row>
    <row r="21" spans="1:31">
      <c r="A21" s="5"/>
      <c r="B21" s="6" t="s">
        <v>40</v>
      </c>
      <c r="C21" s="876">
        <v>0</v>
      </c>
      <c r="D21" s="876">
        <v>0</v>
      </c>
      <c r="E21" s="876">
        <v>0</v>
      </c>
      <c r="F21" s="868">
        <v>0</v>
      </c>
      <c r="G21" s="876">
        <v>0</v>
      </c>
      <c r="H21" s="876">
        <v>0</v>
      </c>
      <c r="I21" s="876">
        <v>8.1998474538251126E-3</v>
      </c>
      <c r="J21" s="876">
        <v>0</v>
      </c>
      <c r="K21" s="876">
        <v>0</v>
      </c>
      <c r="L21" s="876">
        <v>0.11757241451095309</v>
      </c>
      <c r="M21" s="876">
        <v>0</v>
      </c>
      <c r="N21" s="876">
        <v>0.16136151179617783</v>
      </c>
      <c r="O21" s="876">
        <v>0</v>
      </c>
      <c r="P21" s="876">
        <v>0</v>
      </c>
      <c r="Q21" s="876">
        <v>0</v>
      </c>
      <c r="R21" s="868">
        <v>0.28713377376095606</v>
      </c>
      <c r="S21" s="876">
        <v>2.0681907814821785</v>
      </c>
      <c r="T21" s="876">
        <v>0</v>
      </c>
      <c r="U21" s="876">
        <v>0</v>
      </c>
      <c r="V21" s="877">
        <v>2.0681907814821785</v>
      </c>
      <c r="W21" s="868">
        <v>2.3553245552431346</v>
      </c>
      <c r="X21" s="876">
        <v>0</v>
      </c>
      <c r="Y21" s="876">
        <v>0.152276392069154</v>
      </c>
      <c r="Z21" s="876">
        <v>2.7609715472505716</v>
      </c>
      <c r="AA21" s="869">
        <v>0</v>
      </c>
      <c r="AB21" s="869">
        <v>0</v>
      </c>
      <c r="AC21" s="868">
        <v>5.269605728432337</v>
      </c>
    </row>
    <row r="22" spans="1:31">
      <c r="A22" s="5"/>
      <c r="B22" s="6" t="s">
        <v>37</v>
      </c>
      <c r="C22" s="876">
        <v>0</v>
      </c>
      <c r="D22" s="876">
        <v>3.2889999999999864E-3</v>
      </c>
      <c r="E22" s="876">
        <v>0</v>
      </c>
      <c r="F22" s="868">
        <v>3.2889999999999864E-3</v>
      </c>
      <c r="G22" s="876">
        <v>0</v>
      </c>
      <c r="H22" s="876">
        <v>0</v>
      </c>
      <c r="I22" s="876">
        <v>5.8014050352629305E-2</v>
      </c>
      <c r="J22" s="876">
        <v>0</v>
      </c>
      <c r="K22" s="876">
        <v>0</v>
      </c>
      <c r="L22" s="876">
        <v>0.68812416518821862</v>
      </c>
      <c r="M22" s="876">
        <v>0</v>
      </c>
      <c r="N22" s="876">
        <v>0</v>
      </c>
      <c r="O22" s="876">
        <v>0</v>
      </c>
      <c r="P22" s="876">
        <v>0</v>
      </c>
      <c r="Q22" s="876">
        <v>0</v>
      </c>
      <c r="R22" s="868">
        <v>0.74613821554084792</v>
      </c>
      <c r="S22" s="876">
        <v>1.5144535513815125</v>
      </c>
      <c r="T22" s="876">
        <v>0</v>
      </c>
      <c r="U22" s="876">
        <v>0</v>
      </c>
      <c r="V22" s="877">
        <v>1.5144535513815125</v>
      </c>
      <c r="W22" s="868">
        <v>2.2638807669223606</v>
      </c>
      <c r="X22" s="876">
        <v>0</v>
      </c>
      <c r="Y22" s="876">
        <v>0.43815223000000003</v>
      </c>
      <c r="Z22" s="876">
        <v>2.0014588371125428</v>
      </c>
      <c r="AA22" s="869">
        <v>0</v>
      </c>
      <c r="AB22" s="869">
        <v>0</v>
      </c>
      <c r="AC22" s="868">
        <v>4.7049696202590408</v>
      </c>
    </row>
    <row r="23" spans="1:31">
      <c r="A23" s="5"/>
      <c r="B23" s="6" t="s">
        <v>39</v>
      </c>
      <c r="C23" s="876">
        <v>0</v>
      </c>
      <c r="D23" s="876">
        <v>3.0954440000008354E-4</v>
      </c>
      <c r="E23" s="876">
        <v>0</v>
      </c>
      <c r="F23" s="868">
        <v>3.0954440000008354E-4</v>
      </c>
      <c r="G23" s="876">
        <v>0</v>
      </c>
      <c r="H23" s="876">
        <v>0</v>
      </c>
      <c r="I23" s="876">
        <v>2.8396123597800001E-3</v>
      </c>
      <c r="J23" s="876">
        <v>0</v>
      </c>
      <c r="K23" s="876">
        <v>0</v>
      </c>
      <c r="L23" s="876">
        <v>4.8863136184377216E-2</v>
      </c>
      <c r="M23" s="876">
        <v>0</v>
      </c>
      <c r="N23" s="876">
        <v>0</v>
      </c>
      <c r="O23" s="876">
        <v>0</v>
      </c>
      <c r="P23" s="876">
        <v>0</v>
      </c>
      <c r="Q23" s="876">
        <v>0</v>
      </c>
      <c r="R23" s="868">
        <v>5.1702748544157219E-2</v>
      </c>
      <c r="S23" s="876">
        <v>0.51412921448486371</v>
      </c>
      <c r="T23" s="876">
        <v>0</v>
      </c>
      <c r="U23" s="876">
        <v>0</v>
      </c>
      <c r="V23" s="877">
        <v>0.51412921448486371</v>
      </c>
      <c r="W23" s="868">
        <v>0.56614150742902103</v>
      </c>
      <c r="X23" s="876">
        <v>0</v>
      </c>
      <c r="Y23" s="876">
        <v>5.8177670616372472</v>
      </c>
      <c r="Z23" s="876">
        <v>1.7675119185423926</v>
      </c>
      <c r="AA23" s="869">
        <v>0</v>
      </c>
      <c r="AB23" s="869">
        <v>0</v>
      </c>
      <c r="AC23" s="868">
        <v>2.2355830043707825</v>
      </c>
    </row>
    <row r="24" spans="1:31">
      <c r="A24" s="221"/>
      <c r="B24" s="219" t="s">
        <v>34</v>
      </c>
      <c r="C24" s="876">
        <v>0</v>
      </c>
      <c r="D24" s="876">
        <v>0</v>
      </c>
      <c r="E24" s="876">
        <v>0</v>
      </c>
      <c r="F24" s="868">
        <v>0</v>
      </c>
      <c r="G24" s="876">
        <v>0</v>
      </c>
      <c r="H24" s="876">
        <v>0</v>
      </c>
      <c r="I24" s="876">
        <v>2.9061983685999999E-2</v>
      </c>
      <c r="J24" s="876">
        <v>0</v>
      </c>
      <c r="K24" s="876">
        <v>0</v>
      </c>
      <c r="L24" s="876">
        <v>0.12641371981517002</v>
      </c>
      <c r="M24" s="876">
        <v>0</v>
      </c>
      <c r="N24" s="876">
        <v>0</v>
      </c>
      <c r="O24" s="876">
        <v>0</v>
      </c>
      <c r="P24" s="876">
        <v>0</v>
      </c>
      <c r="Q24" s="876">
        <v>0</v>
      </c>
      <c r="R24" s="868">
        <v>0.15547570350117002</v>
      </c>
      <c r="S24" s="876">
        <v>5.7496843715453991</v>
      </c>
      <c r="T24" s="876">
        <v>0</v>
      </c>
      <c r="U24" s="876">
        <v>0</v>
      </c>
      <c r="V24" s="877">
        <v>5.7496843715453991</v>
      </c>
      <c r="W24" s="868">
        <v>5.9051600750465694</v>
      </c>
      <c r="X24" s="876">
        <v>0</v>
      </c>
      <c r="Y24" s="876">
        <v>0.26364799999999999</v>
      </c>
      <c r="Z24" s="876">
        <v>11.805591474400011</v>
      </c>
      <c r="AA24" s="869">
        <v>0</v>
      </c>
      <c r="AB24" s="869">
        <v>0</v>
      </c>
      <c r="AC24" s="868">
        <v>17.610199827046582</v>
      </c>
    </row>
    <row r="25" spans="1:31">
      <c r="A25" s="5" t="s">
        <v>654</v>
      </c>
      <c r="B25" s="128"/>
      <c r="C25" s="873">
        <v>0</v>
      </c>
      <c r="D25" s="873">
        <v>0.36754838452159333</v>
      </c>
      <c r="E25" s="873">
        <v>0</v>
      </c>
      <c r="F25" s="874">
        <v>0.36754838452159333</v>
      </c>
      <c r="G25" s="864">
        <v>0</v>
      </c>
      <c r="H25" s="864">
        <v>0</v>
      </c>
      <c r="I25" s="864">
        <v>7.4568468044256264E-2</v>
      </c>
      <c r="J25" s="864">
        <v>9.9144618080804617E-2</v>
      </c>
      <c r="K25" s="864">
        <v>0</v>
      </c>
      <c r="L25" s="864">
        <v>10.348984814948775</v>
      </c>
      <c r="M25" s="864">
        <v>0</v>
      </c>
      <c r="N25" s="864">
        <v>0.21977761028155415</v>
      </c>
      <c r="O25" s="864">
        <v>0</v>
      </c>
      <c r="P25" s="864">
        <v>0</v>
      </c>
      <c r="Q25" s="864">
        <v>0</v>
      </c>
      <c r="R25" s="874">
        <v>10.742475511355387</v>
      </c>
      <c r="S25" s="864">
        <v>16.57987935056093</v>
      </c>
      <c r="T25" s="873">
        <v>0</v>
      </c>
      <c r="U25" s="873">
        <v>0</v>
      </c>
      <c r="V25" s="874">
        <v>16.57987935056093</v>
      </c>
      <c r="W25" s="874">
        <v>27.689903246437908</v>
      </c>
      <c r="X25" s="873">
        <v>0</v>
      </c>
      <c r="Y25" s="864">
        <v>3.4138509894022291</v>
      </c>
      <c r="Z25" s="866">
        <v>-2.1740717738267645</v>
      </c>
      <c r="AA25" s="875">
        <v>0</v>
      </c>
      <c r="AB25" s="875">
        <v>0</v>
      </c>
      <c r="AC25" s="865">
        <v>28.929682462013371</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2.5369417941357169</v>
      </c>
      <c r="AA26" s="883"/>
      <c r="AB26" s="880"/>
      <c r="AC26" s="881"/>
      <c r="AE26" s="38"/>
    </row>
    <row r="27" spans="1:31">
      <c r="A27" s="3"/>
      <c r="B27" s="6" t="s">
        <v>164</v>
      </c>
      <c r="C27" s="867">
        <v>0</v>
      </c>
      <c r="D27" s="867">
        <v>0</v>
      </c>
      <c r="E27" s="867">
        <v>0</v>
      </c>
      <c r="F27" s="868">
        <v>0</v>
      </c>
      <c r="G27" s="867">
        <v>0</v>
      </c>
      <c r="H27" s="867">
        <v>0</v>
      </c>
      <c r="I27" s="867">
        <v>5.0448573311158512E-2</v>
      </c>
      <c r="J27" s="867">
        <v>2.6399782938679585E-3</v>
      </c>
      <c r="K27" s="867">
        <v>0</v>
      </c>
      <c r="L27" s="867">
        <v>6.2987540192606879</v>
      </c>
      <c r="M27" s="867">
        <v>0</v>
      </c>
      <c r="N27" s="867">
        <v>0</v>
      </c>
      <c r="O27" s="867">
        <v>0</v>
      </c>
      <c r="P27" s="867">
        <v>0</v>
      </c>
      <c r="Q27" s="867">
        <v>0</v>
      </c>
      <c r="R27" s="868">
        <v>6.3518425708657142</v>
      </c>
      <c r="S27" s="867">
        <v>0.25658747889480005</v>
      </c>
      <c r="T27" s="867">
        <v>0</v>
      </c>
      <c r="U27" s="867">
        <v>0</v>
      </c>
      <c r="V27" s="868">
        <v>0.25658747889480005</v>
      </c>
      <c r="W27" s="868">
        <v>6.6084300497605142</v>
      </c>
      <c r="X27" s="867">
        <v>0</v>
      </c>
      <c r="Y27" s="867">
        <v>1.1060116525533616</v>
      </c>
      <c r="Z27" s="867">
        <v>2.6338573235349951</v>
      </c>
      <c r="AA27" s="869">
        <v>0</v>
      </c>
      <c r="AB27" s="869">
        <v>0</v>
      </c>
      <c r="AC27" s="868">
        <v>10.348299025848871</v>
      </c>
    </row>
    <row r="28" spans="1:31">
      <c r="A28" s="3"/>
      <c r="B28" s="6" t="s">
        <v>165</v>
      </c>
      <c r="C28" s="867">
        <v>0</v>
      </c>
      <c r="D28" s="867">
        <v>2.8369394181579696E-4</v>
      </c>
      <c r="E28" s="867">
        <v>0</v>
      </c>
      <c r="F28" s="868">
        <v>2.8369394181579696E-4</v>
      </c>
      <c r="G28" s="867">
        <v>0</v>
      </c>
      <c r="H28" s="867">
        <v>0</v>
      </c>
      <c r="I28" s="867">
        <v>1.83367934006439E-3</v>
      </c>
      <c r="J28" s="867">
        <v>1.8104660716979195E-3</v>
      </c>
      <c r="K28" s="867">
        <v>0</v>
      </c>
      <c r="L28" s="867">
        <v>2.2607863785539695</v>
      </c>
      <c r="M28" s="867">
        <v>0</v>
      </c>
      <c r="N28" s="867">
        <v>0</v>
      </c>
      <c r="O28" s="867">
        <v>0</v>
      </c>
      <c r="P28" s="867">
        <v>0</v>
      </c>
      <c r="Q28" s="867">
        <v>0</v>
      </c>
      <c r="R28" s="868">
        <v>2.2644305239657316</v>
      </c>
      <c r="S28" s="867">
        <v>0.26214912360000003</v>
      </c>
      <c r="T28" s="867">
        <v>0</v>
      </c>
      <c r="U28" s="867">
        <v>0</v>
      </c>
      <c r="V28" s="868">
        <v>0.26214912360000003</v>
      </c>
      <c r="W28" s="868">
        <v>2.5268633415075472</v>
      </c>
      <c r="X28" s="867">
        <v>0</v>
      </c>
      <c r="Y28" s="867">
        <v>1.9699718320673718</v>
      </c>
      <c r="Z28" s="867">
        <v>7.0818027383623985E-2</v>
      </c>
      <c r="AA28" s="869">
        <v>0</v>
      </c>
      <c r="AB28" s="869">
        <v>0</v>
      </c>
      <c r="AC28" s="868">
        <v>4.5676532009585431</v>
      </c>
    </row>
    <row r="29" spans="1:31">
      <c r="A29" s="3"/>
      <c r="B29" s="6" t="s">
        <v>166</v>
      </c>
      <c r="C29" s="867">
        <v>0</v>
      </c>
      <c r="D29" s="867">
        <v>0.30278826556692501</v>
      </c>
      <c r="E29" s="867">
        <v>0</v>
      </c>
      <c r="F29" s="868">
        <v>0.30278826556692501</v>
      </c>
      <c r="G29" s="867">
        <v>0</v>
      </c>
      <c r="H29" s="867">
        <v>0</v>
      </c>
      <c r="I29" s="867">
        <v>1.2884164822413334E-2</v>
      </c>
      <c r="J29" s="867">
        <v>4.6287167069412665E-3</v>
      </c>
      <c r="K29" s="867">
        <v>0</v>
      </c>
      <c r="L29" s="867">
        <v>0.69240907665939688</v>
      </c>
      <c r="M29" s="867">
        <v>0</v>
      </c>
      <c r="N29" s="867">
        <v>0.2136937414122671</v>
      </c>
      <c r="O29" s="867">
        <v>0</v>
      </c>
      <c r="P29" s="867">
        <v>0</v>
      </c>
      <c r="Q29" s="867">
        <v>0</v>
      </c>
      <c r="R29" s="868">
        <v>0.92361569960101852</v>
      </c>
      <c r="S29" s="867">
        <v>16.061142748066128</v>
      </c>
      <c r="T29" s="867">
        <v>0</v>
      </c>
      <c r="U29" s="867">
        <v>0</v>
      </c>
      <c r="V29" s="868">
        <v>16.061142748066128</v>
      </c>
      <c r="W29" s="868">
        <v>17.287546713234072</v>
      </c>
      <c r="X29" s="867">
        <v>0</v>
      </c>
      <c r="Y29" s="867">
        <v>0.31361387278149505</v>
      </c>
      <c r="Z29" s="867">
        <v>-5.9841676506367794</v>
      </c>
      <c r="AA29" s="869">
        <v>0</v>
      </c>
      <c r="AB29" s="869">
        <v>0</v>
      </c>
      <c r="AC29" s="868">
        <v>11.616992935378788</v>
      </c>
    </row>
    <row r="30" spans="1:31">
      <c r="A30" s="3"/>
      <c r="B30" s="6" t="s">
        <v>167</v>
      </c>
      <c r="C30" s="867">
        <v>0</v>
      </c>
      <c r="D30" s="867">
        <v>6.4476425012852515E-2</v>
      </c>
      <c r="E30" s="867">
        <v>0</v>
      </c>
      <c r="F30" s="868">
        <v>6.4476425012852515E-2</v>
      </c>
      <c r="G30" s="867">
        <v>0</v>
      </c>
      <c r="H30" s="867">
        <v>0</v>
      </c>
      <c r="I30" s="867">
        <v>9.4002928835230336E-3</v>
      </c>
      <c r="J30" s="867">
        <v>2.5737429842359497E-2</v>
      </c>
      <c r="K30" s="867">
        <v>0</v>
      </c>
      <c r="L30" s="867">
        <v>1.0868051507429195</v>
      </c>
      <c r="M30" s="867">
        <v>0</v>
      </c>
      <c r="N30" s="867">
        <v>6.0838688692870383E-3</v>
      </c>
      <c r="O30" s="867">
        <v>0</v>
      </c>
      <c r="P30" s="867">
        <v>0</v>
      </c>
      <c r="Q30" s="867">
        <v>0</v>
      </c>
      <c r="R30" s="868">
        <v>1.128026742338089</v>
      </c>
      <c r="S30" s="867">
        <v>0</v>
      </c>
      <c r="T30" s="867">
        <v>0</v>
      </c>
      <c r="U30" s="867">
        <v>0</v>
      </c>
      <c r="V30" s="868">
        <v>0</v>
      </c>
      <c r="W30" s="868">
        <v>1.1925031673509414</v>
      </c>
      <c r="X30" s="867">
        <v>0</v>
      </c>
      <c r="Y30" s="867">
        <v>2.4253632000000004E-2</v>
      </c>
      <c r="Z30" s="867">
        <v>1.1053708294753957</v>
      </c>
      <c r="AA30" s="869">
        <v>0</v>
      </c>
      <c r="AB30" s="869">
        <v>0</v>
      </c>
      <c r="AC30" s="868">
        <v>2.3221276288263368</v>
      </c>
    </row>
    <row r="31" spans="1:31">
      <c r="A31" s="3"/>
      <c r="B31" s="6" t="s">
        <v>168</v>
      </c>
      <c r="C31" s="867">
        <v>0</v>
      </c>
      <c r="D31" s="867">
        <v>0</v>
      </c>
      <c r="E31" s="867">
        <v>0</v>
      </c>
      <c r="F31" s="868">
        <v>0</v>
      </c>
      <c r="G31" s="867">
        <v>0</v>
      </c>
      <c r="H31" s="867">
        <v>0</v>
      </c>
      <c r="I31" s="867">
        <v>1.7576870969999998E-6</v>
      </c>
      <c r="J31" s="867">
        <v>6.1365464808798141E-2</v>
      </c>
      <c r="K31" s="867">
        <v>0</v>
      </c>
      <c r="L31" s="867">
        <v>6.8157765275399856E-3</v>
      </c>
      <c r="M31" s="867">
        <v>0</v>
      </c>
      <c r="N31" s="867">
        <v>0</v>
      </c>
      <c r="O31" s="867">
        <v>0</v>
      </c>
      <c r="P31" s="867">
        <v>0</v>
      </c>
      <c r="Q31" s="867">
        <v>0</v>
      </c>
      <c r="R31" s="868">
        <v>6.8182999023435123E-2</v>
      </c>
      <c r="S31" s="867">
        <v>0</v>
      </c>
      <c r="T31" s="867">
        <v>0</v>
      </c>
      <c r="U31" s="867">
        <v>0</v>
      </c>
      <c r="V31" s="868">
        <v>0</v>
      </c>
      <c r="W31" s="868">
        <v>6.8182999023435123E-2</v>
      </c>
      <c r="X31" s="867">
        <v>0</v>
      </c>
      <c r="Y31" s="867">
        <v>0</v>
      </c>
      <c r="Z31" s="867">
        <v>0</v>
      </c>
      <c r="AA31" s="869">
        <v>0</v>
      </c>
      <c r="AB31" s="869">
        <v>0</v>
      </c>
      <c r="AC31" s="868">
        <v>6.8182999023435123E-2</v>
      </c>
    </row>
    <row r="32" spans="1:31">
      <c r="A32" s="4"/>
      <c r="B32" s="127" t="s">
        <v>169</v>
      </c>
      <c r="C32" s="885">
        <v>0</v>
      </c>
      <c r="D32" s="885">
        <v>0</v>
      </c>
      <c r="E32" s="885">
        <v>0</v>
      </c>
      <c r="F32" s="884">
        <v>0</v>
      </c>
      <c r="G32" s="885">
        <v>0</v>
      </c>
      <c r="H32" s="885">
        <v>0</v>
      </c>
      <c r="I32" s="885">
        <v>0</v>
      </c>
      <c r="J32" s="885">
        <v>2.9625623571398396E-3</v>
      </c>
      <c r="K32" s="885">
        <v>0</v>
      </c>
      <c r="L32" s="885">
        <v>3.4144132042593003E-3</v>
      </c>
      <c r="M32" s="885">
        <v>0</v>
      </c>
      <c r="N32" s="885">
        <v>0</v>
      </c>
      <c r="O32" s="885">
        <v>0</v>
      </c>
      <c r="P32" s="885">
        <v>0</v>
      </c>
      <c r="Q32" s="885">
        <v>0</v>
      </c>
      <c r="R32" s="884">
        <v>6.3769755613991399E-3</v>
      </c>
      <c r="S32" s="885">
        <v>0</v>
      </c>
      <c r="T32" s="885">
        <v>0</v>
      </c>
      <c r="U32" s="885">
        <v>0</v>
      </c>
      <c r="V32" s="884">
        <v>0</v>
      </c>
      <c r="W32" s="884">
        <v>6.3769755613991399E-3</v>
      </c>
      <c r="X32" s="885">
        <v>0</v>
      </c>
      <c r="Y32" s="885">
        <v>0</v>
      </c>
      <c r="Z32" s="885">
        <v>4.9696416000000005E-5</v>
      </c>
      <c r="AA32" s="886">
        <v>0</v>
      </c>
      <c r="AB32" s="886">
        <v>0</v>
      </c>
      <c r="AC32" s="884">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471</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10" t="s">
        <v>194</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773.59500000000003</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773.59500000000003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0.18268007863413283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141.32039543097198</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10" t="s">
        <v>155</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16559.4843</v>
      </c>
      <c r="C5" s="17">
        <f>IF(ISERROR('Eigen informatie GS &amp; warmtenet'!B57),0,'Eigen informatie GS &amp; warmtenet'!B57)</f>
        <v>0</v>
      </c>
      <c r="D5" s="30">
        <f>(SUM(HH_hh_gas_kWh,HH_rest_gas_kWh)/1000)*0.902</f>
        <v>24756.289880299999</v>
      </c>
      <c r="E5" s="17">
        <f>B46*B57</f>
        <v>2665.8909496741658</v>
      </c>
      <c r="F5" s="17">
        <f>B51*B62</f>
        <v>56470.119651090303</v>
      </c>
      <c r="G5" s="18"/>
      <c r="H5" s="17"/>
      <c r="I5" s="17"/>
      <c r="J5" s="17">
        <f>B50*B61+C50*C61</f>
        <v>0</v>
      </c>
      <c r="K5" s="17"/>
      <c r="L5" s="17"/>
      <c r="M5" s="17"/>
      <c r="N5" s="17">
        <f>B48*B59+C48*C59</f>
        <v>18483.706428375226</v>
      </c>
      <c r="O5" s="17">
        <f>B69*B70*B71</f>
        <v>486.19666666666672</v>
      </c>
      <c r="P5" s="17">
        <f>B77*B78*B79/1000-B77*B78*B79/1000/B80</f>
        <v>877.06666666666661</v>
      </c>
    </row>
    <row r="6" spans="1:16">
      <c r="A6" s="16" t="s">
        <v>621</v>
      </c>
      <c r="B6" s="788">
        <f>kWh_PV_kleiner_dan_10kW</f>
        <v>5585.7982103910135</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22145.282510391015</v>
      </c>
      <c r="C8" s="21">
        <f>C5</f>
        <v>0</v>
      </c>
      <c r="D8" s="21">
        <f>D5</f>
        <v>24756.289880299999</v>
      </c>
      <c r="E8" s="21">
        <f>E5</f>
        <v>2665.8909496741658</v>
      </c>
      <c r="F8" s="21">
        <f>F5</f>
        <v>56470.119651090303</v>
      </c>
      <c r="G8" s="21"/>
      <c r="H8" s="21"/>
      <c r="I8" s="21"/>
      <c r="J8" s="21">
        <f>J5</f>
        <v>0</v>
      </c>
      <c r="K8" s="21"/>
      <c r="L8" s="21">
        <f>L5</f>
        <v>0</v>
      </c>
      <c r="M8" s="21">
        <f>M5</f>
        <v>0</v>
      </c>
      <c r="N8" s="21">
        <f>N5</f>
        <v>18483.706428375226</v>
      </c>
      <c r="O8" s="21">
        <f>O5</f>
        <v>486.19666666666672</v>
      </c>
      <c r="P8" s="21">
        <f>P5</f>
        <v>877.06666666666661</v>
      </c>
    </row>
    <row r="9" spans="1:16">
      <c r="B9" s="19"/>
      <c r="C9" s="19"/>
      <c r="D9" s="258"/>
      <c r="E9" s="19"/>
      <c r="F9" s="19"/>
      <c r="G9" s="19"/>
      <c r="H9" s="19"/>
      <c r="I9" s="19"/>
      <c r="J9" s="19"/>
      <c r="K9" s="19"/>
      <c r="L9" s="19"/>
      <c r="M9" s="19"/>
      <c r="N9" s="19"/>
      <c r="O9" s="19"/>
      <c r="P9" s="19"/>
    </row>
    <row r="10" spans="1:16">
      <c r="A10" s="24" t="s">
        <v>214</v>
      </c>
      <c r="B10" s="25">
        <f ca="1">'EF ele_warmte'!B12</f>
        <v>0.18268007863413283</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4045.501950373317</v>
      </c>
      <c r="C12" s="23">
        <f ca="1">C10*C8</f>
        <v>0</v>
      </c>
      <c r="D12" s="23">
        <f>D8*D10</f>
        <v>5000.7705558205998</v>
      </c>
      <c r="E12" s="23">
        <f>E10*E8</f>
        <v>605.15724557603562</v>
      </c>
      <c r="F12" s="23">
        <f>F10*F8</f>
        <v>15077.521946841112</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252</v>
      </c>
      <c r="C18" s="166" t="s">
        <v>111</v>
      </c>
      <c r="D18" s="228"/>
      <c r="E18" s="15"/>
    </row>
    <row r="19" spans="1:7">
      <c r="A19" s="171" t="s">
        <v>72</v>
      </c>
      <c r="B19" s="37">
        <f>aantalw2001_ander</f>
        <v>2</v>
      </c>
      <c r="C19" s="166" t="s">
        <v>111</v>
      </c>
      <c r="D19" s="229"/>
      <c r="E19" s="15"/>
    </row>
    <row r="20" spans="1:7">
      <c r="A20" s="171" t="s">
        <v>73</v>
      </c>
      <c r="B20" s="37">
        <f>aantalw2001_propaan</f>
        <v>29</v>
      </c>
      <c r="C20" s="167">
        <f>IF(ISERROR(B20/SUM($B$20,$B$21,$B$22)*100),0,B20/SUM($B$20,$B$21,$B$22)*100)</f>
        <v>11.836734693877551</v>
      </c>
      <c r="D20" s="229"/>
      <c r="E20" s="15"/>
    </row>
    <row r="21" spans="1:7">
      <c r="A21" s="171" t="s">
        <v>74</v>
      </c>
      <c r="B21" s="37">
        <f>aantalw2001_elektriciteit</f>
        <v>157</v>
      </c>
      <c r="C21" s="167">
        <f>IF(ISERROR(B21/SUM($B$20,$B$21,$B$22)*100),0,B21/SUM($B$20,$B$21,$B$22)*100)</f>
        <v>64.08163265306122</v>
      </c>
      <c r="D21" s="229"/>
      <c r="E21" s="15"/>
    </row>
    <row r="22" spans="1:7">
      <c r="A22" s="171" t="s">
        <v>75</v>
      </c>
      <c r="B22" s="37">
        <f>aantalw2001_hout</f>
        <v>59</v>
      </c>
      <c r="C22" s="167">
        <f>IF(ISERROR(B22/SUM($B$20,$B$21,$B$22)*100),0,B22/SUM($B$20,$B$21,$B$22)*100)</f>
        <v>24.081632653061224</v>
      </c>
      <c r="D22" s="229"/>
      <c r="E22" s="15"/>
    </row>
    <row r="23" spans="1:7">
      <c r="A23" s="171" t="s">
        <v>76</v>
      </c>
      <c r="B23" s="37">
        <f>aantalw2001_niet_gespec</f>
        <v>51</v>
      </c>
      <c r="C23" s="166" t="s">
        <v>111</v>
      </c>
      <c r="D23" s="228"/>
      <c r="E23" s="15"/>
    </row>
    <row r="24" spans="1:7">
      <c r="A24" s="171" t="s">
        <v>77</v>
      </c>
      <c r="B24" s="37">
        <f>aantalw2001_steenkool</f>
        <v>84</v>
      </c>
      <c r="C24" s="166" t="s">
        <v>111</v>
      </c>
      <c r="D24" s="229"/>
      <c r="E24" s="15"/>
    </row>
    <row r="25" spans="1:7">
      <c r="A25" s="171" t="s">
        <v>78</v>
      </c>
      <c r="B25" s="37">
        <f>aantalw2001_stookolie</f>
        <v>3633</v>
      </c>
      <c r="C25" s="166" t="s">
        <v>111</v>
      </c>
      <c r="D25" s="228"/>
      <c r="E25" s="52"/>
    </row>
    <row r="26" spans="1:7">
      <c r="A26" s="171" t="s">
        <v>79</v>
      </c>
      <c r="B26" s="37">
        <f>aantalw2001_WP</f>
        <v>1</v>
      </c>
      <c r="C26" s="166" t="s">
        <v>111</v>
      </c>
      <c r="D26" s="228"/>
      <c r="E26" s="15"/>
    </row>
    <row r="27" spans="1:7" s="15" customFormat="1">
      <c r="A27" s="171"/>
      <c r="B27" s="29"/>
      <c r="C27" s="36"/>
      <c r="D27" s="228"/>
    </row>
    <row r="28" spans="1:7" s="15" customFormat="1">
      <c r="A28" s="230" t="s">
        <v>793</v>
      </c>
      <c r="B28" s="37">
        <f>aantalHuishoudens2011</f>
        <v>5156</v>
      </c>
      <c r="C28" s="36"/>
      <c r="D28" s="228"/>
    </row>
    <row r="29" spans="1:7" s="15" customFormat="1">
      <c r="A29" s="230" t="s">
        <v>794</v>
      </c>
      <c r="B29" s="37">
        <f>SUM(HH_hh_gas_aantal,HH_rest_gas_aantal)</f>
        <v>1865</v>
      </c>
      <c r="C29" s="36"/>
      <c r="D29" s="228"/>
    </row>
    <row r="30" spans="1:7" s="15" customFormat="1">
      <c r="A30" s="231"/>
      <c r="B30" s="29"/>
      <c r="C30" s="36"/>
      <c r="D30" s="232"/>
    </row>
    <row r="31" spans="1:7">
      <c r="A31" s="172" t="s">
        <v>795</v>
      </c>
      <c r="B31" s="168" t="s">
        <v>216</v>
      </c>
      <c r="C31" s="165" t="s">
        <v>217</v>
      </c>
      <c r="D31" s="174"/>
      <c r="G31" s="15"/>
    </row>
    <row r="32" spans="1:7">
      <c r="A32" s="171" t="s">
        <v>71</v>
      </c>
      <c r="B32" s="37">
        <f>B29</f>
        <v>1865</v>
      </c>
      <c r="C32" s="167">
        <f>IF(ISERROR(B32/SUM($B$32,$B$34,$B$35,$B$36,$B$38,$B$39)*100),0,B32/SUM($B$32,$B$34,$B$35,$B$36,$B$38,$B$39)*100)</f>
        <v>36.49706457925636</v>
      </c>
      <c r="D32" s="233"/>
      <c r="G32" s="15"/>
    </row>
    <row r="33" spans="1:7">
      <c r="A33" s="171" t="s">
        <v>72</v>
      </c>
      <c r="B33" s="34" t="s">
        <v>111</v>
      </c>
      <c r="C33" s="167"/>
      <c r="D33" s="233"/>
      <c r="G33" s="15"/>
    </row>
    <row r="34" spans="1:7">
      <c r="A34" s="171" t="s">
        <v>73</v>
      </c>
      <c r="B34" s="33">
        <f>IF((($B$28-$B$32-$B$39-$B$77-$B$38)*C20/100)&lt;0,0,($B$28-$B$32-$B$39-$B$77-$B$38)*C20/100)</f>
        <v>125.90734693877548</v>
      </c>
      <c r="C34" s="167">
        <f>IF(ISERROR(B34/SUM($B$32,$B$34,$B$35,$B$36,$B$38,$B$39)*100),0,B34/SUM($B$32,$B$34,$B$35,$B$36,$B$38,$B$39)*100)</f>
        <v>2.4639402532049997</v>
      </c>
      <c r="D34" s="233"/>
      <c r="G34" s="15"/>
    </row>
    <row r="35" spans="1:7">
      <c r="A35" s="171" t="s">
        <v>74</v>
      </c>
      <c r="B35" s="33">
        <f>IF((($B$28-$B$32-$B$39-$B$77-$B$38)*C21/100)&lt;0,0,($B$28-$B$32-$B$39-$B$77-$B$38)*C21/100)</f>
        <v>681.63632653061211</v>
      </c>
      <c r="C35" s="167">
        <f>IF(ISERROR(B35/SUM($B$32,$B$34,$B$35,$B$36,$B$38,$B$39)*100),0,B35/SUM($B$32,$B$34,$B$35,$B$36,$B$38,$B$39)*100)</f>
        <v>13.339262750109826</v>
      </c>
      <c r="D35" s="233"/>
      <c r="G35" s="15"/>
    </row>
    <row r="36" spans="1:7">
      <c r="A36" s="171" t="s">
        <v>75</v>
      </c>
      <c r="B36" s="33">
        <f>IF((($B$28-$B$32-$B$39-$B$77-$B$38)*C22/100)&lt;0,0,($B$28-$B$32-$B$39-$B$77-$B$38)*C22/100)</f>
        <v>256.1563265306122</v>
      </c>
      <c r="C36" s="167">
        <f>IF(ISERROR(B36/SUM($B$32,$B$34,$B$35,$B$36,$B$38,$B$39)*100),0,B36/SUM($B$32,$B$34,$B$35,$B$36,$B$38,$B$39)*100)</f>
        <v>5.0128439634170689</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2181.3000000000002</v>
      </c>
      <c r="C39" s="167">
        <f>IF(ISERROR(B39/SUM($B$32,$B$34,$B$35,$B$36,$B$38,$B$39)*100),0,B39/SUM($B$32,$B$34,$B$35,$B$36,$B$38,$B$39)*100)</f>
        <v>42.686888454011743</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790</v>
      </c>
      <c r="C43" s="169" t="s">
        <v>791</v>
      </c>
      <c r="D43" s="174"/>
    </row>
    <row r="44" spans="1:7">
      <c r="A44" s="171" t="s">
        <v>71</v>
      </c>
      <c r="B44" s="33">
        <f t="shared" ref="B44:B52" si="0">B32</f>
        <v>1865</v>
      </c>
      <c r="C44" s="34" t="s">
        <v>111</v>
      </c>
      <c r="D44" s="174"/>
    </row>
    <row r="45" spans="1:7">
      <c r="A45" s="171" t="s">
        <v>72</v>
      </c>
      <c r="B45" s="33" t="str">
        <f t="shared" si="0"/>
        <v>-</v>
      </c>
      <c r="C45" s="34" t="s">
        <v>111</v>
      </c>
      <c r="D45" s="174"/>
    </row>
    <row r="46" spans="1:7">
      <c r="A46" s="171" t="s">
        <v>73</v>
      </c>
      <c r="B46" s="33">
        <f t="shared" si="0"/>
        <v>125.90734693877548</v>
      </c>
      <c r="C46" s="34" t="s">
        <v>111</v>
      </c>
      <c r="D46" s="174"/>
    </row>
    <row r="47" spans="1:7">
      <c r="A47" s="171" t="s">
        <v>74</v>
      </c>
      <c r="B47" s="33">
        <f t="shared" si="0"/>
        <v>681.63632653061211</v>
      </c>
      <c r="C47" s="34" t="s">
        <v>111</v>
      </c>
      <c r="D47" s="174"/>
    </row>
    <row r="48" spans="1:7">
      <c r="A48" s="171" t="s">
        <v>75</v>
      </c>
      <c r="B48" s="33">
        <f t="shared" si="0"/>
        <v>256.1563265306122</v>
      </c>
      <c r="C48" s="33">
        <f>B48*10</f>
        <v>2561.563265306122</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2181.3000000000002</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311</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46</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3" sqref="P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156</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7724.9530770000001</v>
      </c>
      <c r="C5" s="17">
        <f>IF(ISERROR('Eigen informatie GS &amp; warmtenet'!B58),0,'Eigen informatie GS &amp; warmtenet'!B58)</f>
        <v>0</v>
      </c>
      <c r="D5" s="30">
        <f>SUM(D6:D12)</f>
        <v>6592.1183504000001</v>
      </c>
      <c r="E5" s="17">
        <f>SUM(E6:E12)</f>
        <v>134.9310325872884</v>
      </c>
      <c r="F5" s="17">
        <f>SUM(F6:F12)</f>
        <v>1351.6718776232797</v>
      </c>
      <c r="G5" s="18"/>
      <c r="H5" s="17"/>
      <c r="I5" s="17"/>
      <c r="J5" s="17">
        <f>SUM(J6:J12)</f>
        <v>1.6124784507961783E-2</v>
      </c>
      <c r="K5" s="17"/>
      <c r="L5" s="17"/>
      <c r="M5" s="17"/>
      <c r="N5" s="17">
        <f>SUM(N6:N12)</f>
        <v>650.10089917754169</v>
      </c>
      <c r="O5" s="17">
        <f>B38*B39*B40</f>
        <v>1.5633333333333335</v>
      </c>
      <c r="P5" s="17">
        <f>B46*B47*B48/1000-B46*B47*B48/1000/B49</f>
        <v>38.133333333333333</v>
      </c>
      <c r="R5" s="32"/>
    </row>
    <row r="6" spans="1:18">
      <c r="A6" s="32" t="s">
        <v>54</v>
      </c>
      <c r="B6" s="37">
        <f>B26</f>
        <v>1565.952642</v>
      </c>
      <c r="C6" s="33"/>
      <c r="D6" s="37">
        <f>IF(ISERROR(TER_kantoor_gas_kWh/1000),0,TER_kantoor_gas_kWh/1000)*0.902</f>
        <v>1698.5482623999999</v>
      </c>
      <c r="E6" s="33">
        <f>$C$26*'E Balans VL '!I12/100/3.6*1000000</f>
        <v>9.8148703323667694E-3</v>
      </c>
      <c r="F6" s="33">
        <f>$C$26*('E Balans VL '!L12+'E Balans VL '!N12)/100/3.6*1000000</f>
        <v>235.31892520252325</v>
      </c>
      <c r="G6" s="34"/>
      <c r="H6" s="33"/>
      <c r="I6" s="33"/>
      <c r="J6" s="33">
        <f>$C$26*('E Balans VL '!D12+'E Balans VL '!E12)/100/3.6*1000000</f>
        <v>0</v>
      </c>
      <c r="K6" s="33"/>
      <c r="L6" s="33"/>
      <c r="M6" s="33"/>
      <c r="N6" s="33">
        <f>$C$26*'E Balans VL '!Y12/100/3.6*1000000</f>
        <v>1.4976015241136467</v>
      </c>
      <c r="O6" s="33"/>
      <c r="P6" s="33"/>
      <c r="R6" s="32"/>
    </row>
    <row r="7" spans="1:18">
      <c r="A7" s="32" t="s">
        <v>53</v>
      </c>
      <c r="B7" s="37">
        <f t="shared" ref="B7:B12" si="0">B27</f>
        <v>1222.618258</v>
      </c>
      <c r="C7" s="33"/>
      <c r="D7" s="37">
        <f>IF(ISERROR(TER_horeca_gas_kWh/1000),0,TER_horeca_gas_kWh/1000)*0.902</f>
        <v>935.21705200000008</v>
      </c>
      <c r="E7" s="33">
        <f>$C$27*'E Balans VL '!I9/100/3.6*1000000</f>
        <v>17.507689805234484</v>
      </c>
      <c r="F7" s="33">
        <f>$C$27*('E Balans VL '!L9+'E Balans VL '!N9)/100/3.6*1000000</f>
        <v>154.82379496644666</v>
      </c>
      <c r="G7" s="34"/>
      <c r="H7" s="33"/>
      <c r="I7" s="33"/>
      <c r="J7" s="33">
        <f>$C$27*('E Balans VL '!D9+'E Balans VL '!E9)/100/3.6*1000000</f>
        <v>0</v>
      </c>
      <c r="K7" s="33"/>
      <c r="L7" s="33"/>
      <c r="M7" s="33"/>
      <c r="N7" s="33">
        <f>$C$27*'E Balans VL '!Y9/100/3.6*1000000</f>
        <v>0.35147579275634105</v>
      </c>
      <c r="O7" s="33"/>
      <c r="P7" s="33"/>
      <c r="R7" s="32"/>
    </row>
    <row r="8" spans="1:18">
      <c r="A8" s="6" t="s">
        <v>52</v>
      </c>
      <c r="B8" s="37">
        <f t="shared" si="0"/>
        <v>3075.8930290000003</v>
      </c>
      <c r="C8" s="33"/>
      <c r="D8" s="37">
        <f>IF(ISERROR(TER_handel_gas_kWh/1000),0,TER_handel_gas_kWh/1000)*0.902</f>
        <v>1732.048362</v>
      </c>
      <c r="E8" s="33">
        <f>$C$28*'E Balans VL '!I13/100/3.6*1000000</f>
        <v>111.56226085969502</v>
      </c>
      <c r="F8" s="33">
        <f>$C$28*('E Balans VL '!L13+'E Balans VL '!N13)/100/3.6*1000000</f>
        <v>592.44814278248123</v>
      </c>
      <c r="G8" s="34"/>
      <c r="H8" s="33"/>
      <c r="I8" s="33"/>
      <c r="J8" s="33">
        <f>$C$28*('E Balans VL '!D13+'E Balans VL '!E13)/100/3.6*1000000</f>
        <v>0</v>
      </c>
      <c r="K8" s="33"/>
      <c r="L8" s="33"/>
      <c r="M8" s="33"/>
      <c r="N8" s="33">
        <f>$C$28*'E Balans VL '!Y13/100/3.6*1000000</f>
        <v>4.2608195765870969</v>
      </c>
      <c r="O8" s="33"/>
      <c r="P8" s="33"/>
      <c r="R8" s="32"/>
    </row>
    <row r="9" spans="1:18">
      <c r="A9" s="32" t="s">
        <v>51</v>
      </c>
      <c r="B9" s="37">
        <f t="shared" si="0"/>
        <v>791.79169999999999</v>
      </c>
      <c r="C9" s="33"/>
      <c r="D9" s="37">
        <f>IF(ISERROR(TER_gezond_gas_kWh/1000),0,TER_gezond_gas_kWh/1000)*0.902</f>
        <v>1397.8925400000001</v>
      </c>
      <c r="E9" s="33">
        <f>$C$29*'E Balans VL '!I10/100/3.6*1000000</f>
        <v>4.9573977950718912E-2</v>
      </c>
      <c r="F9" s="33">
        <f>$C$29*('E Balans VL '!L10+'E Balans VL '!N10)/100/3.6*1000000</f>
        <v>117.62306781113631</v>
      </c>
      <c r="G9" s="34"/>
      <c r="H9" s="33"/>
      <c r="I9" s="33"/>
      <c r="J9" s="33">
        <f>$C$29*('E Balans VL '!D10+'E Balans VL '!E10)/100/3.6*1000000</f>
        <v>0</v>
      </c>
      <c r="K9" s="33"/>
      <c r="L9" s="33"/>
      <c r="M9" s="33"/>
      <c r="N9" s="33">
        <f>$C$29*'E Balans VL '!Y10/100/3.6*1000000</f>
        <v>12.247510416968248</v>
      </c>
      <c r="O9" s="33"/>
      <c r="P9" s="33"/>
      <c r="R9" s="32"/>
    </row>
    <row r="10" spans="1:18">
      <c r="A10" s="32" t="s">
        <v>50</v>
      </c>
      <c r="B10" s="37">
        <f t="shared" si="0"/>
        <v>742.86948300000006</v>
      </c>
      <c r="C10" s="33"/>
      <c r="D10" s="37">
        <f>IF(ISERROR(TER_ander_gas_kWh/1000),0,TER_ander_gas_kWh/1000)*0.902</f>
        <v>534.07600400000001</v>
      </c>
      <c r="E10" s="33">
        <f>$C$30*'E Balans VL '!I14/100/3.6*1000000</f>
        <v>0.88547387806610767</v>
      </c>
      <c r="F10" s="33">
        <f>$C$30*('E Balans VL '!L14+'E Balans VL '!N14)/100/3.6*1000000</f>
        <v>194.36768213609682</v>
      </c>
      <c r="G10" s="34"/>
      <c r="H10" s="33"/>
      <c r="I10" s="33"/>
      <c r="J10" s="33">
        <f>$C$30*('E Balans VL '!D14+'E Balans VL '!E14)/100/3.6*1000000</f>
        <v>1.6124784507961783E-2</v>
      </c>
      <c r="K10" s="33"/>
      <c r="L10" s="33"/>
      <c r="M10" s="33"/>
      <c r="N10" s="33">
        <f>$C$30*'E Balans VL '!Y14/100/3.6*1000000</f>
        <v>630.82658720322115</v>
      </c>
      <c r="O10" s="33"/>
      <c r="P10" s="33"/>
      <c r="R10" s="32"/>
    </row>
    <row r="11" spans="1:18">
      <c r="A11" s="32" t="s">
        <v>55</v>
      </c>
      <c r="B11" s="37">
        <f t="shared" si="0"/>
        <v>325.82796500000001</v>
      </c>
      <c r="C11" s="33"/>
      <c r="D11" s="37">
        <f>IF(ISERROR(TER_onderwijs_gas_kWh/1000),0,TER_onderwijs_gas_kWh/1000)*0.902</f>
        <v>294.33613000000003</v>
      </c>
      <c r="E11" s="33">
        <f>$C$31*'E Balans VL '!I11/100/3.6*1000000</f>
        <v>4.9162191960096928</v>
      </c>
      <c r="F11" s="33">
        <f>$C$31*('E Balans VL '!L11+'E Balans VL '!N11)/100/3.6*1000000</f>
        <v>57.090264724595528</v>
      </c>
      <c r="G11" s="34"/>
      <c r="H11" s="33"/>
      <c r="I11" s="33"/>
      <c r="J11" s="33">
        <f>$C$31*('E Balans VL '!D11+'E Balans VL '!E11)/100/3.6*1000000</f>
        <v>0</v>
      </c>
      <c r="K11" s="33"/>
      <c r="L11" s="33"/>
      <c r="M11" s="33"/>
      <c r="N11" s="33">
        <f>$C$31*'E Balans VL '!Y11/100/3.6*1000000</f>
        <v>0.9169046638952022</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488</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7724.9530770000001</v>
      </c>
      <c r="C16" s="21">
        <f t="shared" ca="1" si="1"/>
        <v>0</v>
      </c>
      <c r="D16" s="21">
        <f t="shared" ca="1" si="1"/>
        <v>6592.1183504000001</v>
      </c>
      <c r="E16" s="21">
        <f t="shared" si="1"/>
        <v>134.9310325872884</v>
      </c>
      <c r="F16" s="21">
        <f t="shared" ca="1" si="1"/>
        <v>1351.6718776232797</v>
      </c>
      <c r="G16" s="21">
        <f t="shared" si="1"/>
        <v>0</v>
      </c>
      <c r="H16" s="21">
        <f t="shared" si="1"/>
        <v>0</v>
      </c>
      <c r="I16" s="21">
        <f t="shared" si="1"/>
        <v>0</v>
      </c>
      <c r="J16" s="21">
        <f t="shared" si="1"/>
        <v>1.6124784507961783E-2</v>
      </c>
      <c r="K16" s="21">
        <f t="shared" si="1"/>
        <v>0</v>
      </c>
      <c r="L16" s="21">
        <f t="shared" ca="1" si="1"/>
        <v>0</v>
      </c>
      <c r="M16" s="21">
        <f t="shared" si="1"/>
        <v>0</v>
      </c>
      <c r="N16" s="21">
        <f t="shared" ca="1" si="1"/>
        <v>650.10089917754169</v>
      </c>
      <c r="O16" s="21">
        <f>O5</f>
        <v>1.5633333333333335</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0.18268007863413283</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1411.1950355513463</v>
      </c>
      <c r="C20" s="23">
        <f t="shared" ref="C20:P20" ca="1" si="2">C16*C18</f>
        <v>0</v>
      </c>
      <c r="D20" s="23">
        <f t="shared" ca="1" si="2"/>
        <v>1331.6079067808</v>
      </c>
      <c r="E20" s="23">
        <f t="shared" si="2"/>
        <v>30.629344397314469</v>
      </c>
      <c r="F20" s="23">
        <f t="shared" ca="1" si="2"/>
        <v>360.89639132541572</v>
      </c>
      <c r="G20" s="23">
        <f t="shared" si="2"/>
        <v>0</v>
      </c>
      <c r="H20" s="23">
        <f t="shared" si="2"/>
        <v>0</v>
      </c>
      <c r="I20" s="23">
        <f t="shared" si="2"/>
        <v>0</v>
      </c>
      <c r="J20" s="23">
        <f t="shared" si="2"/>
        <v>5.7081737158184709E-3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1565.952642</v>
      </c>
      <c r="C26" s="39">
        <f>IF(ISERROR(B26*3.6/1000000/'E Balans VL '!Z12*100),0,B26*3.6/1000000/'E Balans VL '!Z12*100)</f>
        <v>3.3101758182518828E-2</v>
      </c>
      <c r="D26" s="237" t="s">
        <v>754</v>
      </c>
      <c r="F26" s="6"/>
    </row>
    <row r="27" spans="1:18">
      <c r="A27" s="231" t="s">
        <v>53</v>
      </c>
      <c r="B27" s="33">
        <f>IF(ISERROR(TER_horeca_ele_kWh/1000),0,TER_horeca_ele_kWh/1000)</f>
        <v>1222.618258</v>
      </c>
      <c r="C27" s="39">
        <f>IF(ISERROR(B27*3.6/1000000/'E Balans VL '!Z9*100),0,B27*3.6/1000000/'E Balans VL '!Z9*100)</f>
        <v>9.6378541585051269E-2</v>
      </c>
      <c r="D27" s="237" t="s">
        <v>754</v>
      </c>
      <c r="F27" s="6"/>
    </row>
    <row r="28" spans="1:18">
      <c r="A28" s="171" t="s">
        <v>52</v>
      </c>
      <c r="B28" s="33">
        <f>IF(ISERROR(TER_handel_ele_kWh/1000),0,TER_handel_ele_kWh/1000)</f>
        <v>3075.8930290000003</v>
      </c>
      <c r="C28" s="39">
        <f>IF(ISERROR(B28*3.6/1000000/'E Balans VL '!Z13*100),0,B28*3.6/1000000/'E Balans VL '!Z13*100)</f>
        <v>8.9274843702050494E-2</v>
      </c>
      <c r="D28" s="237" t="s">
        <v>754</v>
      </c>
      <c r="F28" s="6"/>
    </row>
    <row r="29" spans="1:18">
      <c r="A29" s="231" t="s">
        <v>51</v>
      </c>
      <c r="B29" s="33">
        <f>IF(ISERROR(TER_gezond_ele_kWh/1000),0,TER_gezond_ele_kWh/1000)</f>
        <v>791.79169999999999</v>
      </c>
      <c r="C29" s="39">
        <f>IF(ISERROR(B29*3.6/1000000/'E Balans VL '!Z10*100),0,B29*3.6/1000000/'E Balans VL '!Z10*100)</f>
        <v>8.3388667572905001E-2</v>
      </c>
      <c r="D29" s="237" t="s">
        <v>754</v>
      </c>
      <c r="F29" s="6"/>
    </row>
    <row r="30" spans="1:18">
      <c r="A30" s="231" t="s">
        <v>50</v>
      </c>
      <c r="B30" s="33">
        <f>IF(ISERROR(TER_ander_ele_kWh/1000),0,TER_ander_ele_kWh/1000)</f>
        <v>742.86948300000006</v>
      </c>
      <c r="C30" s="39">
        <f>IF(ISERROR(B30*3.6/1000000/'E Balans VL '!Z14*100),0,B30*3.6/1000000/'E Balans VL '!Z14*100)</f>
        <v>5.4794214416529097E-2</v>
      </c>
      <c r="D30" s="237" t="s">
        <v>754</v>
      </c>
      <c r="F30" s="6"/>
    </row>
    <row r="31" spans="1:18">
      <c r="A31" s="231" t="s">
        <v>55</v>
      </c>
      <c r="B31" s="33">
        <f>IF(ISERROR(TER_onderwijs_ele_kWh/1000),0,TER_onderwijs_ele_kWh/1000)</f>
        <v>325.82796500000001</v>
      </c>
      <c r="C31" s="39">
        <f>IF(ISERROR(B31*3.6/1000000/'E Balans VL '!Z11*100),0,B31*3.6/1000000/'E Balans VL '!Z11*100)</f>
        <v>8.0918346390231322E-2</v>
      </c>
      <c r="D31" s="237" t="s">
        <v>754</v>
      </c>
    </row>
    <row r="32" spans="1:18">
      <c r="A32" s="231" t="s">
        <v>260</v>
      </c>
      <c r="B32" s="33">
        <f>IF(ISERROR(TER_rest_ele_kWh/1000),0,TER_rest_ele_kWh/1000)</f>
        <v>0</v>
      </c>
      <c r="C32" s="39">
        <f>IF(ISERROR(B32*3.6/1000000/'E Balans VL '!Z8*100),0,B32*3.6/1000000/'E Balans VL '!Z8*100)</f>
        <v>0</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2</v>
      </c>
      <c r="C46" s="32"/>
      <c r="D46" s="232"/>
    </row>
    <row r="47" spans="1:4">
      <c r="A47" s="171" t="s">
        <v>447</v>
      </c>
      <c r="B47" s="558">
        <v>13</v>
      </c>
      <c r="C47" s="32" t="s">
        <v>263</v>
      </c>
      <c r="D47" s="309" t="s">
        <v>507</v>
      </c>
    </row>
    <row r="48" spans="1:4">
      <c r="A48" s="171" t="s">
        <v>448</v>
      </c>
      <c r="B48" s="558">
        <v>2000</v>
      </c>
      <c r="C48" s="32" t="s">
        <v>265</v>
      </c>
      <c r="D48" s="309" t="s">
        <v>507</v>
      </c>
    </row>
    <row r="49" spans="1:4">
      <c r="A49" s="171" t="s">
        <v>410</v>
      </c>
      <c r="B49" s="558">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163</v>
      </c>
      <c r="B1" s="1211" t="s">
        <v>195</v>
      </c>
      <c r="C1" s="1212"/>
      <c r="D1" s="1212"/>
      <c r="E1" s="1212"/>
      <c r="F1" s="1212"/>
      <c r="G1" s="1212"/>
      <c r="H1" s="1212"/>
      <c r="I1" s="1212"/>
      <c r="J1" s="1212"/>
      <c r="K1" s="1212"/>
      <c r="L1" s="1212"/>
      <c r="M1" s="1212"/>
      <c r="N1" s="1212"/>
      <c r="O1" s="1212"/>
      <c r="P1" s="1212"/>
      <c r="R1" s="773"/>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c r="R2" s="773"/>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6994.0912799999987</v>
      </c>
      <c r="C5" s="17">
        <f>IF(ISERROR('Eigen informatie GS &amp; warmtenet'!B59),0,'Eigen informatie GS &amp; warmtenet'!B59)</f>
        <v>0</v>
      </c>
      <c r="D5" s="30">
        <f>SUM(D6:D15)</f>
        <v>1993.7651052000001</v>
      </c>
      <c r="E5" s="17">
        <f>SUM(E6:E15)</f>
        <v>778.78425039684419</v>
      </c>
      <c r="F5" s="17">
        <f>SUM(F6:F15)</f>
        <v>2445.5142362763395</v>
      </c>
      <c r="G5" s="18"/>
      <c r="H5" s="17"/>
      <c r="I5" s="17"/>
      <c r="J5" s="17">
        <f>SUM(J6:J15)</f>
        <v>8.796197364042857E-2</v>
      </c>
      <c r="K5" s="17"/>
      <c r="L5" s="17"/>
      <c r="M5" s="17"/>
      <c r="N5" s="17">
        <f>SUM(N6:N15)</f>
        <v>957.33020072200247</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3575.4129989999997</v>
      </c>
      <c r="C8" s="33"/>
      <c r="D8" s="37">
        <f>IF( ISERROR(IND_metaal_Gas_kWH/1000),0,IND_metaal_Gas_kWH/1000)*0.902</f>
        <v>237.94543519999999</v>
      </c>
      <c r="E8" s="33">
        <f>C30*'E Balans VL '!I18/100/3.6*1000000</f>
        <v>32.87246935909085</v>
      </c>
      <c r="F8" s="33">
        <f>C30*'E Balans VL '!L18/100/3.6*1000000+C30*'E Balans VL '!N18/100/3.6*1000000</f>
        <v>335.25470175793697</v>
      </c>
      <c r="G8" s="34"/>
      <c r="H8" s="33"/>
      <c r="I8" s="33"/>
      <c r="J8" s="40">
        <f>C30*'E Balans VL '!D18/100/3.6*1000000+C30*'E Balans VL '!E18/100/3.6*1000000</f>
        <v>0</v>
      </c>
      <c r="K8" s="33"/>
      <c r="L8" s="33"/>
      <c r="M8" s="33"/>
      <c r="N8" s="33">
        <f>C30*'E Balans VL '!Y18/100/3.6*1000000</f>
        <v>51.00917504953398</v>
      </c>
      <c r="O8" s="33"/>
      <c r="P8" s="33"/>
      <c r="R8" s="32"/>
    </row>
    <row r="9" spans="1:18">
      <c r="A9" s="6" t="s">
        <v>33</v>
      </c>
      <c r="B9" s="37">
        <f t="shared" si="0"/>
        <v>2540.4510649999997</v>
      </c>
      <c r="C9" s="33"/>
      <c r="D9" s="37">
        <f>IF( ISERROR(IND_andere_gas_kWh/1000),0,IND_andere_gas_kWh/1000)*0.902</f>
        <v>1738.1296460000001</v>
      </c>
      <c r="E9" s="33">
        <f>C31*'E Balans VL '!I19/100/3.6*1000000</f>
        <v>742.62330304834563</v>
      </c>
      <c r="F9" s="33">
        <f>C31*'E Balans VL '!L19/100/3.6*1000000+C31*'E Balans VL '!N19/100/3.6*1000000</f>
        <v>2041.4447252039649</v>
      </c>
      <c r="G9" s="34"/>
      <c r="H9" s="33"/>
      <c r="I9" s="33"/>
      <c r="J9" s="40">
        <f>C31*'E Balans VL '!D19/100/3.6*1000000+C31*'E Balans VL '!E19/100/3.6*1000000</f>
        <v>0</v>
      </c>
      <c r="K9" s="33"/>
      <c r="L9" s="33"/>
      <c r="M9" s="33"/>
      <c r="N9" s="33">
        <f>C31*'E Balans VL '!Y19/100/3.6*1000000</f>
        <v>839.404431478584</v>
      </c>
      <c r="O9" s="33"/>
      <c r="P9" s="33"/>
      <c r="R9" s="32"/>
    </row>
    <row r="10" spans="1:18">
      <c r="A10" s="6" t="s">
        <v>41</v>
      </c>
      <c r="B10" s="37">
        <f t="shared" si="0"/>
        <v>796.98821599999997</v>
      </c>
      <c r="C10" s="33"/>
      <c r="D10" s="37">
        <f>IF( ISERROR(IND_voed_gas_kWh/1000),0,IND_voed_gas_kWh/1000)*0.902</f>
        <v>0</v>
      </c>
      <c r="E10" s="33">
        <f>C32*'E Balans VL '!I20/100/3.6*1000000</f>
        <v>1.6860409283966489</v>
      </c>
      <c r="F10" s="33">
        <f>C32*'E Balans VL '!L20/100/3.6*1000000+C32*'E Balans VL '!N20/100/3.6*1000000</f>
        <v>50.673324872869543</v>
      </c>
      <c r="G10" s="34"/>
      <c r="H10" s="33"/>
      <c r="I10" s="33"/>
      <c r="J10" s="40">
        <f>C32*'E Balans VL '!D20/100/3.6*1000000+C32*'E Balans VL '!E20/100/3.6*1000000</f>
        <v>0</v>
      </c>
      <c r="K10" s="33"/>
      <c r="L10" s="33"/>
      <c r="M10" s="33"/>
      <c r="N10" s="33">
        <f>C32*'E Balans VL '!Y20/100/3.6*1000000</f>
        <v>55.000051775890341</v>
      </c>
      <c r="O10" s="33"/>
      <c r="P10" s="33"/>
      <c r="R10" s="32"/>
    </row>
    <row r="11" spans="1:18">
      <c r="A11" s="6" t="s">
        <v>40</v>
      </c>
      <c r="B11" s="37">
        <f t="shared" si="0"/>
        <v>36.066000000000003</v>
      </c>
      <c r="C11" s="33"/>
      <c r="D11" s="37">
        <f>IF( ISERROR(IND_textiel_gas_kWh/1000),0,IND_textiel_gas_kWh/1000)*0.902</f>
        <v>0</v>
      </c>
      <c r="E11" s="33">
        <f>C33*'E Balans VL '!I21/100/3.6*1000000</f>
        <v>0.10711291051302424</v>
      </c>
      <c r="F11" s="33">
        <f>C33*'E Balans VL '!L21/100/3.6*1000000+C33*'E Balans VL '!N21/100/3.6*1000000</f>
        <v>3.6436561601697619</v>
      </c>
      <c r="G11" s="34"/>
      <c r="H11" s="33"/>
      <c r="I11" s="33"/>
      <c r="J11" s="40">
        <f>C33*'E Balans VL '!D21/100/3.6*1000000+C33*'E Balans VL '!E21/100/3.6*1000000</f>
        <v>0</v>
      </c>
      <c r="K11" s="33"/>
      <c r="L11" s="33"/>
      <c r="M11" s="33"/>
      <c r="N11" s="33">
        <f>C33*'E Balans VL '!Y21/100/3.6*1000000</f>
        <v>1.9891549993824262</v>
      </c>
      <c r="O11" s="33"/>
      <c r="P11" s="33"/>
      <c r="R11" s="32"/>
    </row>
    <row r="12" spans="1:18">
      <c r="A12" s="6" t="s">
        <v>37</v>
      </c>
      <c r="B12" s="37">
        <f t="shared" si="0"/>
        <v>38.084000000000003</v>
      </c>
      <c r="C12" s="33"/>
      <c r="D12" s="37">
        <f>IF( ISERROR(IND_min_gas_kWh/1000),0,IND_min_gas_kWh/1000)*0.902</f>
        <v>0</v>
      </c>
      <c r="E12" s="33">
        <f>C34*'E Balans VL '!I22/100/3.6*1000000</f>
        <v>1.1038983428792339</v>
      </c>
      <c r="F12" s="33">
        <f>C34*'E Balans VL '!L22/100/3.6*1000000+C34*'E Balans VL '!N22/100/3.6*1000000</f>
        <v>13.093709558791449</v>
      </c>
      <c r="G12" s="34"/>
      <c r="H12" s="33"/>
      <c r="I12" s="33"/>
      <c r="J12" s="40">
        <f>C34*'E Balans VL '!D22/100/3.6*1000000+C34*'E Balans VL '!E22/100/3.6*1000000</f>
        <v>6.25834884422138E-2</v>
      </c>
      <c r="K12" s="33"/>
      <c r="L12" s="33"/>
      <c r="M12" s="33"/>
      <c r="N12" s="33">
        <f>C34*'E Balans VL '!Y22/100/3.6*1000000</f>
        <v>8.3372134454652844</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7.0890000000000004</v>
      </c>
      <c r="C15" s="33"/>
      <c r="D15" s="37">
        <f>IF( ISERROR(IND_rest_gas_kWh/1000),0,IND_rest_gas_kWh/1000)*0.902</f>
        <v>17.690023999999998</v>
      </c>
      <c r="E15" s="33">
        <f>C37*'E Balans VL '!I15/100/3.6*1000000</f>
        <v>0.3914258076187852</v>
      </c>
      <c r="F15" s="33">
        <f>C37*'E Balans VL '!L15/100/3.6*1000000+C37*'E Balans VL '!N15/100/3.6*1000000</f>
        <v>1.4041187226066081</v>
      </c>
      <c r="G15" s="34"/>
      <c r="H15" s="33"/>
      <c r="I15" s="33"/>
      <c r="J15" s="40">
        <f>C37*'E Balans VL '!D15/100/3.6*1000000+C37*'E Balans VL '!E15/100/3.6*1000000</f>
        <v>2.5378485198214777E-2</v>
      </c>
      <c r="K15" s="33"/>
      <c r="L15" s="33"/>
      <c r="M15" s="33"/>
      <c r="N15" s="33">
        <f>C37*'E Balans VL '!Y15/100/3.6*1000000</f>
        <v>1.5901739731464426</v>
      </c>
      <c r="O15" s="33"/>
      <c r="P15" s="33"/>
      <c r="R15" s="32"/>
    </row>
    <row r="16" spans="1:18">
      <c r="A16" s="16" t="s">
        <v>488</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6994.0912799999987</v>
      </c>
      <c r="C18" s="21">
        <f>C5+C16</f>
        <v>0</v>
      </c>
      <c r="D18" s="21">
        <f>MAX((D5+D16),0)</f>
        <v>1993.7651052000001</v>
      </c>
      <c r="E18" s="21">
        <f>MAX((E5+E16),0)</f>
        <v>778.78425039684419</v>
      </c>
      <c r="F18" s="21">
        <f>MAX((F5+F16),0)</f>
        <v>2445.5142362763395</v>
      </c>
      <c r="G18" s="21"/>
      <c r="H18" s="21"/>
      <c r="I18" s="21"/>
      <c r="J18" s="21">
        <f>MAX((J5+J16),0)</f>
        <v>8.796197364042857E-2</v>
      </c>
      <c r="K18" s="21"/>
      <c r="L18" s="21">
        <f>MAX((L5+L16),0)</f>
        <v>0</v>
      </c>
      <c r="M18" s="21"/>
      <c r="N18" s="21">
        <f>MAX((N5+N16),0)</f>
        <v>957.33020072200247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0.18268007863413283</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1277.6811450047026</v>
      </c>
      <c r="C22" s="23">
        <f ca="1">C18*C20</f>
        <v>0</v>
      </c>
      <c r="D22" s="23">
        <f>D18*D20</f>
        <v>402.74055125040007</v>
      </c>
      <c r="E22" s="23">
        <f>E18*E20</f>
        <v>176.78402484008365</v>
      </c>
      <c r="F22" s="23">
        <f>F18*F20</f>
        <v>652.95230108578266</v>
      </c>
      <c r="G22" s="23"/>
      <c r="H22" s="23"/>
      <c r="I22" s="23"/>
      <c r="J22" s="23">
        <f>J18*J20</f>
        <v>3.1138538668711711E-2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3575.4129989999997</v>
      </c>
      <c r="C30" s="39">
        <f>IF(ISERROR(B30*3.6/1000000/'E Balans VL '!Z18*100),0,B30*3.6/1000000/'E Balans VL '!Z18*100)</f>
        <v>0.2026278226118883</v>
      </c>
      <c r="D30" s="237" t="s">
        <v>754</v>
      </c>
    </row>
    <row r="31" spans="1:18">
      <c r="A31" s="6" t="s">
        <v>33</v>
      </c>
      <c r="B31" s="37">
        <f>IF( ISERROR(IND_ander_ele_kWh/1000),0,IND_ander_ele_kWh/1000)</f>
        <v>2540.4510649999997</v>
      </c>
      <c r="C31" s="39">
        <f>IF(ISERROR(B31*3.6/1000000/'E Balans VL '!Z19*100),0,B31*3.6/1000000/'E Balans VL '!Z19*100)</f>
        <v>0.11522428205427661</v>
      </c>
      <c r="D31" s="237" t="s">
        <v>754</v>
      </c>
    </row>
    <row r="32" spans="1:18">
      <c r="A32" s="171" t="s">
        <v>41</v>
      </c>
      <c r="B32" s="37">
        <f>IF( ISERROR(IND_voed_ele_kWh/1000),0,IND_voed_ele_kWh/1000)</f>
        <v>796.98821599999997</v>
      </c>
      <c r="C32" s="39">
        <f>IF(ISERROR(B32*3.6/1000000/'E Balans VL '!Z20*100),0,B32*3.6/1000000/'E Balans VL '!Z20*100)</f>
        <v>2.4654463541891249E-2</v>
      </c>
      <c r="D32" s="237" t="s">
        <v>754</v>
      </c>
    </row>
    <row r="33" spans="1:5">
      <c r="A33" s="171" t="s">
        <v>40</v>
      </c>
      <c r="B33" s="37">
        <f>IF( ISERROR(IND_textiel_ele_kWh/1000),0,IND_textiel_ele_kWh/1000)</f>
        <v>36.066000000000003</v>
      </c>
      <c r="C33" s="39">
        <f>IF(ISERROR(B33*3.6/1000000/'E Balans VL '!Z21*100),0,B33*3.6/1000000/'E Balans VL '!Z21*100)</f>
        <v>4.702605505996423E-3</v>
      </c>
      <c r="D33" s="237" t="s">
        <v>754</v>
      </c>
    </row>
    <row r="34" spans="1:5">
      <c r="A34" s="171" t="s">
        <v>37</v>
      </c>
      <c r="B34" s="37">
        <f>IF( ISERROR(IND_min_ele_kWh/1000),0,IND_min_ele_kWh/1000)</f>
        <v>38.084000000000003</v>
      </c>
      <c r="C34" s="39">
        <f>IF(ISERROR(B34*3.6/1000000/'E Balans VL '!Z22*100),0,B34*3.6/1000000/'E Balans VL '!Z22*100)</f>
        <v>6.8501233928844815E-3</v>
      </c>
      <c r="D34" s="237" t="s">
        <v>754</v>
      </c>
    </row>
    <row r="35" spans="1:5">
      <c r="A35" s="171" t="s">
        <v>39</v>
      </c>
      <c r="B35" s="37">
        <f>IF( ISERROR(IND_papier_ele_kWh/1000),0,IND_papier_ele_kWh/1000)</f>
        <v>0</v>
      </c>
      <c r="C35" s="39">
        <f>IF(ISERROR(B35*3.6/1000000/'E Balans VL '!Z22*100),0,B35*3.6/1000000/'E Balans VL '!Z22*100)</f>
        <v>0</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7.0890000000000004</v>
      </c>
      <c r="C37" s="39">
        <f>IF(ISERROR(B37*3.6/1000000/'E Balans VL '!Z15*100),0,B37*3.6/1000000/'E Balans VL '!Z15*100)</f>
        <v>5.6189031119993925E-5</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271</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2519.5352620000003</v>
      </c>
      <c r="C5" s="17">
        <f>'Eigen informatie GS &amp; warmtenet'!B60</f>
        <v>0</v>
      </c>
      <c r="D5" s="30">
        <f>IF(ISERROR(SUM(LB_lb_gas_kWh,LB_rest_gas_kWh)/1000),0,SUM(LB_lb_gas_kWh,LB_rest_gas_kWh)/1000)*0.902</f>
        <v>13.985510000000001</v>
      </c>
      <c r="E5" s="17">
        <f>B17*'E Balans VL '!I25/3.6*1000000/100</f>
        <v>74.056836899101953</v>
      </c>
      <c r="F5" s="17">
        <f>B17*('E Balans VL '!L25/3.6*1000000+'E Balans VL '!N25/3.6*1000000)/100</f>
        <v>10496.247752952562</v>
      </c>
      <c r="G5" s="18"/>
      <c r="H5" s="17"/>
      <c r="I5" s="17"/>
      <c r="J5" s="17">
        <f>('E Balans VL '!D25+'E Balans VL '!E25)/3.6*1000000*landbouw!B17/100</f>
        <v>365.02655182468459</v>
      </c>
      <c r="K5" s="17"/>
      <c r="L5" s="17">
        <f>L6*(-1)</f>
        <v>0</v>
      </c>
      <c r="M5" s="17"/>
      <c r="N5" s="17">
        <f>N6*(-1)</f>
        <v>124.71428571428569</v>
      </c>
      <c r="O5" s="17"/>
      <c r="P5" s="17"/>
      <c r="R5" s="32"/>
    </row>
    <row r="6" spans="1:18">
      <c r="A6" s="16" t="s">
        <v>488</v>
      </c>
      <c r="B6" s="17" t="s">
        <v>211</v>
      </c>
      <c r="C6" s="17">
        <f>'lokale energieproductie'!O92+'lokale energieproductie'!O61</f>
        <v>62.357142857142847</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-124.71428571428569</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2519.5352620000003</v>
      </c>
      <c r="C8" s="21">
        <f>C5+C6</f>
        <v>62.357142857142847</v>
      </c>
      <c r="D8" s="21">
        <f>MAX((D5+D6),0)</f>
        <v>13.985510000000001</v>
      </c>
      <c r="E8" s="21">
        <f>MAX((E5+E6),0)</f>
        <v>74.056836899101953</v>
      </c>
      <c r="F8" s="21">
        <f>MAX((F5+F6),0)</f>
        <v>10496.247752952562</v>
      </c>
      <c r="G8" s="21"/>
      <c r="H8" s="21"/>
      <c r="I8" s="21"/>
      <c r="J8" s="21">
        <f>MAX((J5+J6),0)</f>
        <v>365.02655182468459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0.18268007863413283</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460.2688997836305</v>
      </c>
      <c r="C12" s="23">
        <f ca="1">C8*C10</f>
        <v>0</v>
      </c>
      <c r="D12" s="23">
        <f>D8*D10</f>
        <v>2.8250730200000005</v>
      </c>
      <c r="E12" s="23">
        <f>E8*E10</f>
        <v>16.810901976096144</v>
      </c>
      <c r="F12" s="23">
        <f>F8*F10</f>
        <v>2802.4981500383342</v>
      </c>
      <c r="G12" s="23"/>
      <c r="H12" s="23"/>
      <c r="I12" s="23"/>
      <c r="J12" s="23">
        <f>J8*J10</f>
        <v>129.21939934593834</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0.35752995847861274</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218" t="s">
        <v>303</v>
      </c>
      <c r="B22" s="1221" t="s">
        <v>304</v>
      </c>
      <c r="C22" s="1221" t="s">
        <v>493</v>
      </c>
    </row>
    <row r="23" spans="1:4">
      <c r="A23" s="1219"/>
      <c r="B23" s="1222"/>
      <c r="C23" s="1222"/>
    </row>
    <row r="24" spans="1:4" ht="15.75" thickBot="1">
      <c r="A24" s="1220"/>
      <c r="B24" s="1223"/>
      <c r="C24" s="1223"/>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506.20217793703875</v>
      </c>
      <c r="C26" s="247">
        <f>B26*'GWP N2O_CH4'!B5</f>
        <v>10630.245736677814</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199.16245987265617</v>
      </c>
      <c r="C27" s="247">
        <f>B27*'GWP N2O_CH4'!B5</f>
        <v>4182.4116573257797</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8.1962178875163296</v>
      </c>
      <c r="C28" s="247">
        <f>B28*'GWP N2O_CH4'!B4</f>
        <v>2540.8275451300624</v>
      </c>
      <c r="D28" s="50"/>
    </row>
    <row r="29" spans="1:4">
      <c r="A29" s="41" t="s">
        <v>277</v>
      </c>
      <c r="B29" s="247">
        <f>B34*'ha_N2O bodem landbouw'!B4</f>
        <v>30.580305745648229</v>
      </c>
      <c r="C29" s="247">
        <f>B29*'GWP N2O_CH4'!B4</f>
        <v>9479.8947811509515</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6.9783203867350811E-3</v>
      </c>
      <c r="C34" s="944" t="s">
        <v>792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0" t="s">
        <v>497</v>
      </c>
      <c r="B1" s="1211" t="s">
        <v>546</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1.6468312959844924E-4</v>
      </c>
      <c r="C5" s="463" t="s">
        <v>211</v>
      </c>
      <c r="D5" s="448">
        <f>SUM(D6:D11)</f>
        <v>5.8734545878096653E-4</v>
      </c>
      <c r="E5" s="448">
        <f>SUM(E6:E11)</f>
        <v>7.8085490795967803E-4</v>
      </c>
      <c r="F5" s="461" t="s">
        <v>211</v>
      </c>
      <c r="G5" s="448">
        <f>SUM(G6:G11)</f>
        <v>0.2807763283914852</v>
      </c>
      <c r="H5" s="448">
        <f>SUM(H6:H11)</f>
        <v>6.6144147550958446E-2</v>
      </c>
      <c r="I5" s="463" t="s">
        <v>211</v>
      </c>
      <c r="J5" s="463" t="s">
        <v>211</v>
      </c>
      <c r="K5" s="463" t="s">
        <v>211</v>
      </c>
      <c r="L5" s="463" t="s">
        <v>211</v>
      </c>
      <c r="M5" s="448">
        <f>SUM(M6:M11)</f>
        <v>1.8355695190666033E-2</v>
      </c>
      <c r="N5" s="463" t="s">
        <v>211</v>
      </c>
      <c r="O5" s="463" t="s">
        <v>211</v>
      </c>
      <c r="P5" s="464" t="s">
        <v>211</v>
      </c>
    </row>
    <row r="6" spans="1:18">
      <c r="A6" s="261" t="s">
        <v>658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1.2466294319340328E-4</v>
      </c>
      <c r="C6" s="449"/>
      <c r="D6" s="892">
        <f>vkm_2011_GW_PW*SUMIFS(TableVerdeelsleutelVkm[CNG],TableVerdeelsleutelVkm[Voertuigtype],"Lichte voertuigen")*SUMIFS(TableECFTransport[EnergieConsumptieFactor (PJ per km)],TableECFTransport[Index],CONCATENATE($A6,"_CNG_CNG"))</f>
        <v>3.7391727955907742E-4</v>
      </c>
      <c r="E6" s="892">
        <f>vkm_2011_GW_PW*SUMIFS(TableVerdeelsleutelVkm[LPG],TableVerdeelsleutelVkm[Voertuigtype],"Lichte voertuigen")*SUMIFS(TableECFTransport[EnergieConsumptieFactor (PJ per km)],TableECFTransport[Index],CONCATENATE($A6,"_LPG_LPG"))</f>
        <v>5.108247144479304E-4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0.13207585458736815</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4.2528788057279304E-2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8.9710584170030975E-3</v>
      </c>
      <c r="N6" s="449"/>
      <c r="O6" s="449"/>
      <c r="P6" s="450"/>
    </row>
    <row r="7" spans="1:18">
      <c r="A7" s="261" t="s">
        <v>659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7.7234655907388677E-2</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2.3539553704389555E-5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4.5133327162893951E-3</v>
      </c>
      <c r="N7" s="449"/>
      <c r="O7" s="449"/>
      <c r="P7" s="450"/>
      <c r="R7" s="88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4.0020186405045953E-5</v>
      </c>
      <c r="C8" s="449"/>
      <c r="D8" s="451">
        <f>vkm_2011_NGW_PW*SUMIFS(TableVerdeelsleutelVkm[CNG],TableVerdeelsleutelVkm[Voertuigtype],"Lichte voertuigen")*SUMIFS(TableECFTransport[EnergieConsumptieFactor (PJ per km)],TableECFTransport[Index],CONCATENATE($A8,"_CNG_CNG"))</f>
        <v>2.1342817922188914E-4</v>
      </c>
      <c r="E8" s="451">
        <f>vkm_2011_NGW_PW*SUMIFS(TableVerdeelsleutelVkm[LPG],TableVerdeelsleutelVkm[Voertuigtype],"Lichte voertuigen")*SUMIFS(TableECFTransport[EnergieConsumptieFactor (PJ per km)],TableECFTransport[Index],CONCATENATE($A8,"_LPG_LPG"))</f>
        <v>2.7003019351174768E-4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6.5062457163505824E-2</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2.3589982663860854E-2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4.4971166316793605E-3</v>
      </c>
      <c r="N8" s="449"/>
      <c r="O8" s="449"/>
      <c r="P8" s="450"/>
      <c r="R8" s="88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6.4033607332225741E-3</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1.8372761139005083E-6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3.7418742569417907E-4</v>
      </c>
      <c r="N9" s="449"/>
      <c r="O9" s="449"/>
      <c r="P9" s="450"/>
      <c r="R9" s="88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88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88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45.745313777347015</v>
      </c>
      <c r="C14" s="21"/>
      <c r="D14" s="21">
        <f t="shared" ref="D14:M14" si="0">((D5)*10^9/3600)+D12</f>
        <v>163.15151632804628</v>
      </c>
      <c r="E14" s="21">
        <f t="shared" si="0"/>
        <v>216.90414109991056</v>
      </c>
      <c r="F14" s="21"/>
      <c r="G14" s="21">
        <f t="shared" si="0"/>
        <v>77993.424553190343</v>
      </c>
      <c r="H14" s="21">
        <f t="shared" si="0"/>
        <v>18373.374319710681</v>
      </c>
      <c r="I14" s="21"/>
      <c r="J14" s="21"/>
      <c r="K14" s="21"/>
      <c r="L14" s="21"/>
      <c r="M14" s="21">
        <f t="shared" si="0"/>
        <v>5098.8042196294546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0.18268007863413283</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8.3567575179888323</v>
      </c>
      <c r="C18" s="23"/>
      <c r="D18" s="23">
        <f t="shared" ref="D18:M18" si="1">D14*D16</f>
        <v>32.956606298265349</v>
      </c>
      <c r="E18" s="23">
        <f t="shared" si="1"/>
        <v>49.237240029679697</v>
      </c>
      <c r="F18" s="23"/>
      <c r="G18" s="23">
        <f t="shared" si="1"/>
        <v>20824.244355701823</v>
      </c>
      <c r="H18" s="23">
        <f t="shared" si="1"/>
        <v>4574.9702056079595</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664</v>
      </c>
      <c r="D23" s="929" t="s">
        <v>665</v>
      </c>
      <c r="E23" s="929" t="s">
        <v>666</v>
      </c>
      <c r="F23" s="929" t="s">
        <v>648</v>
      </c>
      <c r="G23" s="929" t="s">
        <v>667</v>
      </c>
      <c r="H23" s="929" t="s">
        <v>668</v>
      </c>
      <c r="I23" s="929" t="s">
        <v>119</v>
      </c>
      <c r="J23" s="929" t="s">
        <v>669</v>
      </c>
      <c r="K23" s="929" t="s">
        <v>670</v>
      </c>
      <c r="L23" s="930" t="s">
        <v>671</v>
      </c>
      <c r="M23" s="129" t="s">
        <v>182</v>
      </c>
      <c r="N23" s="268" t="s">
        <v>316</v>
      </c>
    </row>
    <row r="24" spans="1:18">
      <c r="A24" s="32" t="s">
        <v>656</v>
      </c>
      <c r="B24" s="916">
        <v>1.7527418841460775E-3</v>
      </c>
      <c r="C24" s="916">
        <v>0.7563121638200232</v>
      </c>
      <c r="D24" s="890"/>
      <c r="E24" s="916"/>
      <c r="F24" s="916">
        <v>1.8295346115930801E-5</v>
      </c>
      <c r="G24" s="916">
        <v>1.6661787394054279E-3</v>
      </c>
      <c r="H24" s="890"/>
      <c r="I24" s="890">
        <v>2.7132769787715184E-3</v>
      </c>
      <c r="J24" s="890">
        <v>0.23184851461767081</v>
      </c>
      <c r="K24" s="890">
        <v>7.3550073532725451E-3</v>
      </c>
      <c r="M24" s="269" t="s">
        <v>759</v>
      </c>
      <c r="N24" s="891">
        <f>SUM(B24:K24)</f>
        <v>1.0016661787394054</v>
      </c>
      <c r="O24" s="888" t="s">
        <v>649</v>
      </c>
    </row>
    <row r="25" spans="1:18">
      <c r="A25" s="32" t="s">
        <v>657</v>
      </c>
      <c r="B25" s="890" t="s">
        <v>678</v>
      </c>
      <c r="C25" s="916">
        <v>0.99953633237026762</v>
      </c>
      <c r="D25" s="890"/>
      <c r="E25" s="890"/>
      <c r="F25" s="916" t="s">
        <v>678</v>
      </c>
      <c r="G25" s="890" t="s">
        <v>678</v>
      </c>
      <c r="H25" s="890"/>
      <c r="I25" s="890" t="s">
        <v>678</v>
      </c>
      <c r="J25" s="890">
        <v>4.6366762973236767E-4</v>
      </c>
      <c r="K25" s="89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2016</v>
      </c>
      <c r="D30" s="274" t="s">
        <v>319</v>
      </c>
      <c r="E30" s="243" t="s">
        <v>182</v>
      </c>
      <c r="F30" s="271"/>
      <c r="G30" s="243"/>
      <c r="H30" s="243"/>
      <c r="I30" s="243"/>
      <c r="J30" s="243"/>
      <c r="K30" s="243"/>
      <c r="L30" s="272"/>
    </row>
    <row r="31" spans="1:18">
      <c r="A31" s="275" t="s">
        <v>320</v>
      </c>
      <c r="B31" s="276"/>
      <c r="C31" s="277"/>
      <c r="D31" s="276">
        <v>4.2694999999999997E-2</v>
      </c>
      <c r="E31" s="927" t="s">
        <v>706</v>
      </c>
      <c r="F31" s="53"/>
      <c r="G31" s="43"/>
      <c r="H31" s="43"/>
      <c r="I31" s="43"/>
      <c r="J31" s="43"/>
      <c r="K31" s="43"/>
      <c r="L31" s="174"/>
    </row>
    <row r="32" spans="1:18">
      <c r="A32" s="278" t="s">
        <v>321</v>
      </c>
      <c r="B32" s="279"/>
      <c r="C32" s="280"/>
      <c r="D32" s="279">
        <v>3.73E-2</v>
      </c>
      <c r="E32" s="927" t="s">
        <v>706</v>
      </c>
      <c r="F32" s="53"/>
      <c r="G32" s="43"/>
      <c r="H32" s="43"/>
      <c r="I32" s="43"/>
      <c r="J32" s="43"/>
      <c r="K32" s="43"/>
      <c r="L32" s="174"/>
    </row>
    <row r="33" spans="1:16">
      <c r="A33" s="278" t="s">
        <v>322</v>
      </c>
      <c r="B33" s="281"/>
      <c r="C33" s="282"/>
      <c r="D33" s="58"/>
      <c r="E33" s="926"/>
      <c r="F33" s="53"/>
      <c r="G33" s="43"/>
      <c r="H33" s="43"/>
      <c r="I33" s="43"/>
      <c r="J33" s="43"/>
      <c r="K33" s="43"/>
      <c r="L33" s="174"/>
    </row>
    <row r="34" spans="1:16" ht="30">
      <c r="A34" s="278" t="s">
        <v>323</v>
      </c>
      <c r="B34" s="281"/>
      <c r="C34" s="283">
        <v>6.2686143809389083E-2</v>
      </c>
      <c r="D34" s="58"/>
      <c r="E34" s="927" t="s">
        <v>845</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2016</v>
      </c>
      <c r="D37" s="274" t="s">
        <v>319</v>
      </c>
      <c r="E37" s="928" t="s">
        <v>182</v>
      </c>
      <c r="F37" s="286"/>
      <c r="G37" s="267"/>
      <c r="H37" s="267"/>
      <c r="I37" s="267"/>
      <c r="J37" s="267"/>
      <c r="K37" s="267"/>
      <c r="L37" s="268"/>
    </row>
    <row r="38" spans="1:16">
      <c r="A38" s="278" t="s">
        <v>325</v>
      </c>
      <c r="B38" s="279"/>
      <c r="C38" s="280"/>
      <c r="D38" s="279">
        <v>4.3774E-2</v>
      </c>
      <c r="E38" s="927" t="s">
        <v>706</v>
      </c>
      <c r="F38" s="282"/>
      <c r="G38" s="58"/>
      <c r="H38" s="58"/>
      <c r="I38" s="58"/>
      <c r="J38" s="58"/>
      <c r="K38" s="58"/>
      <c r="L38" s="284"/>
    </row>
    <row r="39" spans="1:16">
      <c r="A39" s="278" t="s">
        <v>326</v>
      </c>
      <c r="B39" s="279"/>
      <c r="C39" s="280"/>
      <c r="D39" s="279">
        <v>2.8799999999999999E-2</v>
      </c>
      <c r="E39" s="927" t="s">
        <v>706</v>
      </c>
      <c r="F39" s="282"/>
      <c r="G39" s="58"/>
      <c r="H39" s="58"/>
      <c r="I39" s="58"/>
      <c r="J39" s="58"/>
      <c r="K39" s="58"/>
      <c r="L39" s="284"/>
    </row>
    <row r="40" spans="1:16">
      <c r="A40" s="278" t="s">
        <v>322</v>
      </c>
      <c r="B40" s="281"/>
      <c r="C40" s="282"/>
      <c r="D40" s="282"/>
      <c r="E40" s="927"/>
      <c r="F40" s="58"/>
      <c r="G40" s="58"/>
      <c r="H40" s="58"/>
      <c r="I40" s="58"/>
      <c r="J40" s="58"/>
      <c r="K40" s="58"/>
      <c r="L40" s="284"/>
    </row>
    <row r="41" spans="1:16" ht="30">
      <c r="A41" s="278" t="s">
        <v>327</v>
      </c>
      <c r="B41" s="281"/>
      <c r="C41" s="283">
        <v>4.2900000000000001E-2</v>
      </c>
      <c r="D41" s="282"/>
      <c r="E41" s="927" t="s">
        <v>845</v>
      </c>
      <c r="F41" s="58"/>
      <c r="G41" s="58"/>
      <c r="H41" s="58"/>
      <c r="I41" s="58"/>
      <c r="J41" s="58"/>
      <c r="K41" s="58"/>
      <c r="L41" s="284"/>
    </row>
    <row r="42" spans="1:16">
      <c r="A42" s="278" t="s">
        <v>324</v>
      </c>
      <c r="B42" s="281"/>
      <c r="C42" s="283">
        <f>1/(1+((1/C41-1)*($D$38/$D$39)))</f>
        <v>2.8645344917918376E-2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4" t="s">
        <v>498</v>
      </c>
      <c r="B46" s="1225" t="s">
        <v>545</v>
      </c>
      <c r="C46" s="1226"/>
      <c r="D46" s="1226"/>
      <c r="E46" s="1226"/>
      <c r="F46" s="1226"/>
      <c r="G46" s="1226"/>
      <c r="H46" s="1226"/>
      <c r="I46" s="1226"/>
      <c r="J46" s="1226"/>
      <c r="K46" s="1226"/>
      <c r="L46" s="1226"/>
      <c r="M46" s="1226"/>
      <c r="N46" s="1226"/>
      <c r="O46" s="1226"/>
      <c r="P46" s="1226"/>
    </row>
    <row r="47" spans="1:16" s="15" customFormat="1" ht="15.75" thickTop="1">
      <c r="A47" s="1224"/>
      <c r="B47" s="1227" t="s">
        <v>21</v>
      </c>
      <c r="C47" s="1227" t="s">
        <v>196</v>
      </c>
      <c r="D47" s="1229" t="s">
        <v>197</v>
      </c>
      <c r="E47" s="1230"/>
      <c r="F47" s="1230"/>
      <c r="G47" s="1230"/>
      <c r="H47" s="1230"/>
      <c r="I47" s="1230"/>
      <c r="J47" s="1230"/>
      <c r="K47" s="1231"/>
      <c r="L47" s="1229" t="s">
        <v>198</v>
      </c>
      <c r="M47" s="1230"/>
      <c r="N47" s="1230"/>
      <c r="O47" s="1230"/>
      <c r="P47" s="1231"/>
    </row>
    <row r="48" spans="1:16" s="15" customFormat="1" ht="45">
      <c r="A48" s="1224"/>
      <c r="B48" s="1228"/>
      <c r="C48" s="1228"/>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6.2701558956979007E-3</v>
      </c>
      <c r="H50" s="321">
        <f t="shared" si="2"/>
        <v>0</v>
      </c>
      <c r="I50" s="321">
        <f t="shared" si="2"/>
        <v>0</v>
      </c>
      <c r="J50" s="321">
        <f t="shared" si="2"/>
        <v>0</v>
      </c>
      <c r="K50" s="321">
        <f t="shared" si="2"/>
        <v>0</v>
      </c>
      <c r="L50" s="321">
        <f t="shared" si="2"/>
        <v>0</v>
      </c>
      <c r="M50" s="321">
        <f t="shared" si="2"/>
        <v>3.5611717479349606E-4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6.2701558956979007E-3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3.5611717479349606E-4</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1741.7099710271948</v>
      </c>
      <c r="H54" s="21">
        <f t="shared" si="3"/>
        <v>0</v>
      </c>
      <c r="I54" s="21">
        <f t="shared" si="3"/>
        <v>0</v>
      </c>
      <c r="J54" s="21">
        <f t="shared" si="3"/>
        <v>0</v>
      </c>
      <c r="K54" s="21">
        <f t="shared" si="3"/>
        <v>0</v>
      </c>
      <c r="L54" s="21">
        <f t="shared" si="3"/>
        <v>0</v>
      </c>
      <c r="M54" s="21">
        <f t="shared" si="3"/>
        <v>98.921437442637796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0.18268007863413283</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465.03656226426102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760</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88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2018</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13" t="s">
        <v>221</v>
      </c>
      <c r="B2" s="1113"/>
      <c r="C2" s="1113"/>
      <c r="D2" s="59"/>
      <c r="E2" s="59"/>
      <c r="F2" s="59"/>
      <c r="G2" s="59"/>
      <c r="H2" s="60"/>
      <c r="I2" s="60"/>
      <c r="J2" s="61"/>
      <c r="K2" s="61"/>
      <c r="L2" s="60"/>
      <c r="M2" s="60"/>
      <c r="N2" s="60"/>
      <c r="O2" s="60"/>
      <c r="P2" s="60"/>
      <c r="Q2" s="60"/>
      <c r="R2" s="60"/>
    </row>
    <row r="3" spans="1:19">
      <c r="A3" s="1114"/>
      <c r="B3" s="1114"/>
      <c r="C3" s="1114"/>
      <c r="D3" s="1114"/>
      <c r="E3" s="1114"/>
      <c r="F3" s="1114"/>
      <c r="G3" s="1114"/>
      <c r="H3" s="1114"/>
      <c r="I3" s="1114"/>
      <c r="J3" s="1114"/>
      <c r="K3" s="1114"/>
      <c r="L3" s="1114"/>
      <c r="M3" s="1114"/>
      <c r="N3" s="1114"/>
      <c r="O3" s="1114"/>
      <c r="P3" s="1114"/>
      <c r="Q3" s="1114"/>
      <c r="R3" s="1114"/>
    </row>
    <row r="4" spans="1:19" ht="15.75" thickBot="1">
      <c r="A4" s="472"/>
      <c r="B4" s="472"/>
      <c r="C4" s="63"/>
      <c r="D4" s="63"/>
      <c r="E4" s="63"/>
      <c r="F4" s="63"/>
      <c r="G4" s="63"/>
      <c r="H4" s="63"/>
      <c r="I4" s="63"/>
      <c r="J4" s="63"/>
      <c r="K4" s="63"/>
      <c r="L4" s="63"/>
      <c r="M4" s="63"/>
      <c r="N4" s="63"/>
      <c r="O4" s="63"/>
      <c r="P4" s="63"/>
      <c r="Q4" s="63"/>
      <c r="R4" s="63"/>
    </row>
    <row r="5" spans="1:19" ht="16.5" thickBot="1">
      <c r="A5" s="1115" t="s">
        <v>222</v>
      </c>
      <c r="B5" s="801"/>
      <c r="C5" s="1118" t="s">
        <v>343</v>
      </c>
      <c r="D5" s="1119"/>
      <c r="E5" s="1119"/>
      <c r="F5" s="1119"/>
      <c r="G5" s="1119"/>
      <c r="H5" s="1119"/>
      <c r="I5" s="1119"/>
      <c r="J5" s="1119"/>
      <c r="K5" s="1119"/>
      <c r="L5" s="1119"/>
      <c r="M5" s="1119"/>
      <c r="N5" s="1119"/>
      <c r="O5" s="1119"/>
      <c r="P5" s="1119"/>
      <c r="Q5" s="1119"/>
      <c r="R5" s="1120"/>
    </row>
    <row r="6" spans="1:19" ht="16.5" thickTop="1">
      <c r="A6" s="1116"/>
      <c r="B6" s="802"/>
      <c r="C6" s="1121" t="s">
        <v>21</v>
      </c>
      <c r="D6" s="1123" t="s">
        <v>196</v>
      </c>
      <c r="E6" s="1125" t="s">
        <v>197</v>
      </c>
      <c r="F6" s="1126"/>
      <c r="G6" s="1126"/>
      <c r="H6" s="1126"/>
      <c r="I6" s="1126"/>
      <c r="J6" s="1126"/>
      <c r="K6" s="1126"/>
      <c r="L6" s="1127"/>
      <c r="M6" s="1125" t="s">
        <v>198</v>
      </c>
      <c r="N6" s="1126"/>
      <c r="O6" s="1126"/>
      <c r="P6" s="1126"/>
      <c r="Q6" s="1126"/>
      <c r="R6" s="1128" t="s">
        <v>116</v>
      </c>
    </row>
    <row r="7" spans="1:19" ht="45.75" thickBot="1">
      <c r="A7" s="1117"/>
      <c r="B7" s="803"/>
      <c r="C7" s="1122"/>
      <c r="D7" s="1124"/>
      <c r="E7" s="993" t="s">
        <v>199</v>
      </c>
      <c r="F7" s="993" t="s">
        <v>200</v>
      </c>
      <c r="G7" s="64" t="s">
        <v>201</v>
      </c>
      <c r="H7" s="993" t="s">
        <v>202</v>
      </c>
      <c r="I7" s="993" t="s">
        <v>120</v>
      </c>
      <c r="J7" s="993" t="s">
        <v>203</v>
      </c>
      <c r="K7" s="469" t="s">
        <v>204</v>
      </c>
      <c r="L7" s="469" t="s">
        <v>205</v>
      </c>
      <c r="M7" s="64" t="s">
        <v>206</v>
      </c>
      <c r="N7" s="65" t="s">
        <v>207</v>
      </c>
      <c r="O7" s="65" t="s">
        <v>208</v>
      </c>
      <c r="P7" s="65" t="s">
        <v>209</v>
      </c>
      <c r="Q7" s="66" t="s">
        <v>210</v>
      </c>
      <c r="R7" s="1129"/>
    </row>
    <row r="8" spans="1:19" ht="18.75" customHeight="1" thickTop="1">
      <c r="A8" s="808" t="s">
        <v>344</v>
      </c>
      <c r="B8" s="813"/>
      <c r="C8" s="1110"/>
      <c r="D8" s="1110"/>
      <c r="E8" s="1110"/>
      <c r="F8" s="1110"/>
      <c r="G8" s="1110"/>
      <c r="H8" s="1110"/>
      <c r="I8" s="1110"/>
      <c r="J8" s="1110"/>
      <c r="K8" s="1110"/>
      <c r="L8" s="1110"/>
      <c r="M8" s="1110"/>
      <c r="N8" s="1110"/>
      <c r="O8" s="1110"/>
      <c r="P8" s="1110"/>
      <c r="Q8" s="1110"/>
      <c r="R8" s="308"/>
    </row>
    <row r="9" spans="1:19" s="473" customFormat="1">
      <c r="A9" s="809" t="s">
        <v>223</v>
      </c>
      <c r="B9" s="814"/>
      <c r="C9" s="1013">
        <f>'Eigen gebouwen'!B15</f>
        <v>0</v>
      </c>
      <c r="D9" s="1013">
        <f>'Eigen gebouwen'!C15</f>
        <v>0</v>
      </c>
      <c r="E9" s="1013">
        <f>'Eigen gebouwen'!D15</f>
        <v>0</v>
      </c>
      <c r="F9" s="1013">
        <f>'Eigen gebouwen'!E15</f>
        <v>0</v>
      </c>
      <c r="G9" s="1013">
        <f>'Eigen gebouwen'!F15</f>
        <v>0</v>
      </c>
      <c r="H9" s="1013">
        <f>'Eigen gebouwen'!G15</f>
        <v>0</v>
      </c>
      <c r="I9" s="1013">
        <f>'Eigen gebouwen'!H15</f>
        <v>0</v>
      </c>
      <c r="J9" s="1013">
        <f>'Eigen gebouwen'!I15</f>
        <v>0</v>
      </c>
      <c r="K9" s="1013">
        <f>'Eigen gebouwen'!J15</f>
        <v>0</v>
      </c>
      <c r="L9" s="1013">
        <f>'Eigen gebouwen'!K15</f>
        <v>0</v>
      </c>
      <c r="M9" s="1013">
        <f>'Eigen gebouwen'!L15</f>
        <v>0</v>
      </c>
      <c r="N9" s="1013">
        <f>'Eigen gebouwen'!M15</f>
        <v>0</v>
      </c>
      <c r="O9" s="1013">
        <f>'Eigen gebouwen'!N15</f>
        <v>0</v>
      </c>
      <c r="P9" s="1013">
        <f>'Eigen gebouwen'!O15</f>
        <v>0</v>
      </c>
      <c r="Q9" s="1014">
        <f>'Eigen gebouwen'!P15</f>
        <v>0</v>
      </c>
      <c r="R9" s="699">
        <f>SUM(C9:Q9)</f>
        <v>0</v>
      </c>
      <c r="S9" s="67"/>
    </row>
    <row r="10" spans="1:19" s="473" customFormat="1">
      <c r="A10" s="810" t="s">
        <v>224</v>
      </c>
      <c r="B10" s="815"/>
      <c r="C10" s="1013">
        <f ca="1">tertiair!B16+'openbare verlichting'!B8</f>
        <v>8498.5480769999995</v>
      </c>
      <c r="D10" s="1013">
        <f ca="1">tertiair!C16</f>
        <v>0</v>
      </c>
      <c r="E10" s="1013">
        <f ca="1">tertiair!D16</f>
        <v>6592.1183504000001</v>
      </c>
      <c r="F10" s="1013">
        <f>tertiair!E16</f>
        <v>134.9310325872884</v>
      </c>
      <c r="G10" s="1013">
        <f ca="1">tertiair!F16</f>
        <v>1351.6718776232797</v>
      </c>
      <c r="H10" s="1013">
        <f>tertiair!G16</f>
        <v>0</v>
      </c>
      <c r="I10" s="1013">
        <f>tertiair!H16</f>
        <v>0</v>
      </c>
      <c r="J10" s="1013">
        <f>tertiair!I16</f>
        <v>0</v>
      </c>
      <c r="K10" s="1013">
        <f>tertiair!J16</f>
        <v>1.6124784507961783E-2</v>
      </c>
      <c r="L10" s="1013">
        <f>tertiair!K16</f>
        <v>0</v>
      </c>
      <c r="M10" s="1013">
        <f ca="1">tertiair!L16</f>
        <v>0</v>
      </c>
      <c r="N10" s="1013">
        <f>tertiair!M16</f>
        <v>0</v>
      </c>
      <c r="O10" s="1013">
        <f ca="1">tertiair!N16</f>
        <v>650.10089917754169</v>
      </c>
      <c r="P10" s="1013">
        <f>tertiair!O16</f>
        <v>1.5633333333333335</v>
      </c>
      <c r="Q10" s="1014">
        <f>tertiair!P16</f>
        <v>38.133333333333333</v>
      </c>
      <c r="R10" s="700">
        <f ca="1">SUM(C10:Q10)</f>
        <v>17267.083028239282</v>
      </c>
      <c r="S10" s="67"/>
    </row>
    <row r="11" spans="1:19" s="473" customFormat="1">
      <c r="A11" s="809" t="s">
        <v>225</v>
      </c>
      <c r="B11" s="814"/>
      <c r="C11" s="1013">
        <f>huishoudens!B8</f>
        <v>22145.282510391015</v>
      </c>
      <c r="D11" s="1013">
        <f>huishoudens!C8</f>
        <v>0</v>
      </c>
      <c r="E11" s="1013">
        <f>huishoudens!D8</f>
        <v>24756.289880299999</v>
      </c>
      <c r="F11" s="1013">
        <f>huishoudens!E8</f>
        <v>2665.8909496741658</v>
      </c>
      <c r="G11" s="1013">
        <f>huishoudens!F8</f>
        <v>56470.119651090303</v>
      </c>
      <c r="H11" s="1013">
        <f>huishoudens!G8</f>
        <v>0</v>
      </c>
      <c r="I11" s="1013">
        <f>huishoudens!H8</f>
        <v>0</v>
      </c>
      <c r="J11" s="1013">
        <f>huishoudens!I8</f>
        <v>0</v>
      </c>
      <c r="K11" s="1013">
        <f>huishoudens!J8</f>
        <v>0</v>
      </c>
      <c r="L11" s="1013">
        <f>huishoudens!K8</f>
        <v>0</v>
      </c>
      <c r="M11" s="1013">
        <f>huishoudens!L8</f>
        <v>0</v>
      </c>
      <c r="N11" s="1013">
        <f>huishoudens!M8</f>
        <v>0</v>
      </c>
      <c r="O11" s="1013">
        <f>huishoudens!N8</f>
        <v>18483.706428375226</v>
      </c>
      <c r="P11" s="1013">
        <f>huishoudens!O8</f>
        <v>486.19666666666672</v>
      </c>
      <c r="Q11" s="1014">
        <f>huishoudens!P8</f>
        <v>877.06666666666661</v>
      </c>
      <c r="R11" s="700">
        <f>SUM(C11:Q11)</f>
        <v>125884.55275316404</v>
      </c>
      <c r="S11" s="67"/>
    </row>
    <row r="12" spans="1:19" s="473" customFormat="1">
      <c r="A12" s="809" t="s">
        <v>501</v>
      </c>
      <c r="B12" s="814"/>
      <c r="C12" s="1013">
        <f>'Eigen openbare verlichting'!B15</f>
        <v>0</v>
      </c>
      <c r="D12" s="1013"/>
      <c r="E12" s="1013"/>
      <c r="F12" s="1013"/>
      <c r="G12" s="1013"/>
      <c r="H12" s="1013"/>
      <c r="I12" s="1013"/>
      <c r="J12" s="1013"/>
      <c r="K12" s="1013"/>
      <c r="L12" s="1013"/>
      <c r="M12" s="1013"/>
      <c r="N12" s="1013"/>
      <c r="O12" s="1013"/>
      <c r="P12" s="1013"/>
      <c r="Q12" s="1013"/>
      <c r="R12" s="700">
        <f>SUM(C12:Q12)</f>
        <v>0</v>
      </c>
      <c r="S12" s="67"/>
    </row>
    <row r="13" spans="1:19" s="473" customFormat="1">
      <c r="A13" s="809" t="s">
        <v>638</v>
      </c>
      <c r="B13" s="818" t="s">
        <v>636</v>
      </c>
      <c r="C13" s="1013">
        <f>industrie!B18</f>
        <v>6994.0912799999987</v>
      </c>
      <c r="D13" s="1013">
        <f>industrie!C18</f>
        <v>0</v>
      </c>
      <c r="E13" s="1013">
        <f>industrie!D18</f>
        <v>1993.7651052000001</v>
      </c>
      <c r="F13" s="1013">
        <f>industrie!E18</f>
        <v>778.78425039684419</v>
      </c>
      <c r="G13" s="1013">
        <f>industrie!F18</f>
        <v>2445.5142362763395</v>
      </c>
      <c r="H13" s="1013">
        <f>industrie!G18</f>
        <v>0</v>
      </c>
      <c r="I13" s="1013">
        <f>industrie!H18</f>
        <v>0</v>
      </c>
      <c r="J13" s="1013">
        <f>industrie!I18</f>
        <v>0</v>
      </c>
      <c r="K13" s="1013">
        <f>industrie!J18</f>
        <v>8.796197364042857E-2</v>
      </c>
      <c r="L13" s="1013">
        <f>industrie!K18</f>
        <v>0</v>
      </c>
      <c r="M13" s="1013">
        <f>industrie!L18</f>
        <v>0</v>
      </c>
      <c r="N13" s="1013">
        <f>industrie!M18</f>
        <v>0</v>
      </c>
      <c r="O13" s="1013">
        <f>industrie!N18</f>
        <v>957.33020072200247</v>
      </c>
      <c r="P13" s="1013">
        <f>industrie!O18</f>
        <v>0</v>
      </c>
      <c r="Q13" s="1014">
        <f>industrie!P18</f>
        <v>0</v>
      </c>
      <c r="R13" s="700">
        <f>SUM(C13:Q13)</f>
        <v>13169.573034568826</v>
      </c>
      <c r="S13" s="67"/>
    </row>
    <row r="14" spans="1:19" s="473" customFormat="1">
      <c r="A14" s="809"/>
      <c r="B14" s="818" t="s">
        <v>637</v>
      </c>
      <c r="C14" s="1013"/>
      <c r="D14" s="1013"/>
      <c r="E14" s="1013"/>
      <c r="F14" s="1013"/>
      <c r="G14" s="1013"/>
      <c r="H14" s="1013"/>
      <c r="I14" s="1013"/>
      <c r="J14" s="1013"/>
      <c r="K14" s="1013"/>
      <c r="L14" s="1013"/>
      <c r="M14" s="1013"/>
      <c r="N14" s="1013"/>
      <c r="O14" s="1013"/>
      <c r="P14" s="1013"/>
      <c r="Q14" s="1013"/>
      <c r="R14" s="700"/>
      <c r="S14" s="67"/>
    </row>
    <row r="15" spans="1:19" s="473" customFormat="1" ht="15" thickBot="1">
      <c r="A15" s="1015" t="s">
        <v>834</v>
      </c>
      <c r="B15" s="1016"/>
      <c r="C15" s="1017"/>
      <c r="D15" s="1017"/>
      <c r="E15" s="1017"/>
      <c r="F15" s="1017"/>
      <c r="G15" s="1017"/>
      <c r="H15" s="1017"/>
      <c r="I15" s="1017"/>
      <c r="J15" s="1017"/>
      <c r="K15" s="1017"/>
      <c r="L15" s="1017"/>
      <c r="M15" s="1017"/>
      <c r="N15" s="1017"/>
      <c r="O15" s="1017"/>
      <c r="P15" s="1017"/>
      <c r="Q15" s="1018"/>
      <c r="R15" s="699"/>
      <c r="S15" s="67"/>
    </row>
    <row r="16" spans="1:19" s="473" customFormat="1" ht="15.75" thickBot="1">
      <c r="A16" s="701" t="s">
        <v>226</v>
      </c>
      <c r="B16" s="816"/>
      <c r="C16" s="732">
        <f ca="1">SUM(C9:C15)</f>
        <v>37637.921867391015</v>
      </c>
      <c r="D16" s="732">
        <f t="shared" ref="D16:R16" ca="1" si="0">SUM(D9:D15)</f>
        <v>0</v>
      </c>
      <c r="E16" s="732">
        <f t="shared" ca="1" si="0"/>
        <v>33342.173335899999</v>
      </c>
      <c r="F16" s="732">
        <f t="shared" si="0"/>
        <v>3579.6062326582983</v>
      </c>
      <c r="G16" s="732">
        <f t="shared" ca="1" si="0"/>
        <v>60267.30576498992</v>
      </c>
      <c r="H16" s="732">
        <f t="shared" si="0"/>
        <v>0</v>
      </c>
      <c r="I16" s="732">
        <f t="shared" si="0"/>
        <v>0</v>
      </c>
      <c r="J16" s="732">
        <f t="shared" si="0"/>
        <v>0</v>
      </c>
      <c r="K16" s="732">
        <f t="shared" si="0"/>
        <v>0.10408675814839036</v>
      </c>
      <c r="L16" s="732">
        <f t="shared" si="0"/>
        <v>0</v>
      </c>
      <c r="M16" s="732">
        <f t="shared" ca="1" si="0"/>
        <v>0</v>
      </c>
      <c r="N16" s="732">
        <f t="shared" si="0"/>
        <v>0</v>
      </c>
      <c r="O16" s="732">
        <f t="shared" ca="1" si="0"/>
        <v>20091.137528274769</v>
      </c>
      <c r="P16" s="732">
        <f t="shared" si="0"/>
        <v>487.76000000000005</v>
      </c>
      <c r="Q16" s="732">
        <f t="shared" si="0"/>
        <v>915.19999999999993</v>
      </c>
      <c r="R16" s="732">
        <f t="shared" ca="1" si="0"/>
        <v>156321.20881597215</v>
      </c>
      <c r="S16" s="67"/>
    </row>
    <row r="17" spans="1:19" s="473" customFormat="1" ht="15.75">
      <c r="A17" s="811" t="s">
        <v>227</v>
      </c>
      <c r="B17" s="736"/>
      <c r="C17" s="1111"/>
      <c r="D17" s="1111"/>
      <c r="E17" s="1111"/>
      <c r="F17" s="1111"/>
      <c r="G17" s="1111"/>
      <c r="H17" s="1111"/>
      <c r="I17" s="1111"/>
      <c r="J17" s="1111"/>
      <c r="K17" s="1111"/>
      <c r="L17" s="1111"/>
      <c r="M17" s="1111"/>
      <c r="N17" s="1111"/>
      <c r="O17" s="1111"/>
      <c r="P17" s="1111"/>
      <c r="Q17" s="1111"/>
      <c r="R17" s="702"/>
      <c r="S17" s="67"/>
    </row>
    <row r="18" spans="1:19" s="473" customFormat="1">
      <c r="A18" s="809" t="s">
        <v>228</v>
      </c>
      <c r="B18" s="814"/>
      <c r="C18" s="1013">
        <f>'Eigen vloot'!B27</f>
        <v>0</v>
      </c>
      <c r="D18" s="1013">
        <f>'Eigen vloot'!C27</f>
        <v>0</v>
      </c>
      <c r="E18" s="1013">
        <f>'Eigen vloot'!D27</f>
        <v>0</v>
      </c>
      <c r="F18" s="1013">
        <f>'Eigen vloot'!E27</f>
        <v>0</v>
      </c>
      <c r="G18" s="1013">
        <f>'Eigen vloot'!F27</f>
        <v>0</v>
      </c>
      <c r="H18" s="1013">
        <f>'Eigen vloot'!G27</f>
        <v>0</v>
      </c>
      <c r="I18" s="1013">
        <f>'Eigen vloot'!H27</f>
        <v>0</v>
      </c>
      <c r="J18" s="1013">
        <f>'Eigen vloot'!I27</f>
        <v>0</v>
      </c>
      <c r="K18" s="1013">
        <f>'Eigen vloot'!J27</f>
        <v>0</v>
      </c>
      <c r="L18" s="1013">
        <f>'Eigen vloot'!K27</f>
        <v>0</v>
      </c>
      <c r="M18" s="1013">
        <f>'Eigen vloot'!L27</f>
        <v>0</v>
      </c>
      <c r="N18" s="1013">
        <f>'Eigen vloot'!M27</f>
        <v>0</v>
      </c>
      <c r="O18" s="1013">
        <f>'Eigen vloot'!N27</f>
        <v>0</v>
      </c>
      <c r="P18" s="1013">
        <f>'Eigen vloot'!O27</f>
        <v>0</v>
      </c>
      <c r="Q18" s="1014">
        <f>'Eigen vloot'!P27</f>
        <v>0</v>
      </c>
      <c r="R18" s="700">
        <f>SUM(C18:Q18)</f>
        <v>0</v>
      </c>
      <c r="S18" s="67"/>
    </row>
    <row r="19" spans="1:19" s="473" customFormat="1">
      <c r="A19" s="809" t="s">
        <v>229</v>
      </c>
      <c r="B19" s="814"/>
      <c r="C19" s="1013">
        <f>transport!B54</f>
        <v>0</v>
      </c>
      <c r="D19" s="1013">
        <f>transport!C54</f>
        <v>0</v>
      </c>
      <c r="E19" s="1013">
        <f>transport!D54</f>
        <v>0</v>
      </c>
      <c r="F19" s="1013">
        <f>transport!E54</f>
        <v>0</v>
      </c>
      <c r="G19" s="1013">
        <f>transport!F54</f>
        <v>0</v>
      </c>
      <c r="H19" s="1013">
        <f>transport!G54</f>
        <v>1741.7099710271948</v>
      </c>
      <c r="I19" s="1013">
        <f>transport!H54</f>
        <v>0</v>
      </c>
      <c r="J19" s="1013">
        <f>transport!I54</f>
        <v>0</v>
      </c>
      <c r="K19" s="1013">
        <f>transport!J54</f>
        <v>0</v>
      </c>
      <c r="L19" s="1013">
        <f>transport!K54</f>
        <v>0</v>
      </c>
      <c r="M19" s="1013">
        <f>transport!L54</f>
        <v>0</v>
      </c>
      <c r="N19" s="1013">
        <f>transport!M54</f>
        <v>98.921437442637796</v>
      </c>
      <c r="O19" s="1013">
        <f>transport!N54</f>
        <v>0</v>
      </c>
      <c r="P19" s="1013">
        <f>transport!O54</f>
        <v>0</v>
      </c>
      <c r="Q19" s="1014">
        <f>transport!P54</f>
        <v>0</v>
      </c>
      <c r="R19" s="700">
        <f>SUM(C19:Q19)</f>
        <v>1840.6314084698326</v>
      </c>
      <c r="S19" s="67"/>
    </row>
    <row r="20" spans="1:19" s="473" customFormat="1">
      <c r="A20" s="809" t="s">
        <v>307</v>
      </c>
      <c r="B20" s="814"/>
      <c r="C20" s="1013">
        <f>transport!B14</f>
        <v>45.745313777347015</v>
      </c>
      <c r="D20" s="1013">
        <f>transport!C14</f>
        <v>0</v>
      </c>
      <c r="E20" s="1013">
        <f>transport!D14</f>
        <v>163.15151632804628</v>
      </c>
      <c r="F20" s="1013">
        <f>transport!E14</f>
        <v>216.90414109991056</v>
      </c>
      <c r="G20" s="1013">
        <f>transport!F14</f>
        <v>0</v>
      </c>
      <c r="H20" s="1013">
        <f>transport!G14</f>
        <v>77993.424553190343</v>
      </c>
      <c r="I20" s="1013">
        <f>transport!H14</f>
        <v>18373.374319710681</v>
      </c>
      <c r="J20" s="1013">
        <f>transport!I14</f>
        <v>0</v>
      </c>
      <c r="K20" s="1013">
        <f>transport!J14</f>
        <v>0</v>
      </c>
      <c r="L20" s="1013">
        <f>transport!K14</f>
        <v>0</v>
      </c>
      <c r="M20" s="1013">
        <f>transport!L14</f>
        <v>0</v>
      </c>
      <c r="N20" s="1013">
        <f>transport!M14</f>
        <v>5098.8042196294546</v>
      </c>
      <c r="O20" s="1013">
        <f>transport!N14</f>
        <v>0</v>
      </c>
      <c r="P20" s="1013">
        <f>transport!O14</f>
        <v>0</v>
      </c>
      <c r="Q20" s="1014">
        <f>transport!P14</f>
        <v>0</v>
      </c>
      <c r="R20" s="700">
        <f>SUM(C20:Q20)</f>
        <v>101891.40406373578</v>
      </c>
      <c r="S20" s="67"/>
    </row>
    <row r="21" spans="1:19" s="473" customFormat="1" ht="15" thickBot="1">
      <c r="A21" s="831" t="s">
        <v>835</v>
      </c>
      <c r="B21" s="1016"/>
      <c r="C21" s="1017"/>
      <c r="D21" s="1017"/>
      <c r="E21" s="1017"/>
      <c r="F21" s="1017"/>
      <c r="G21" s="1017"/>
      <c r="H21" s="1017"/>
      <c r="I21" s="1017"/>
      <c r="J21" s="1017"/>
      <c r="K21" s="1017"/>
      <c r="L21" s="1017"/>
      <c r="M21" s="1017"/>
      <c r="N21" s="1017"/>
      <c r="O21" s="1017"/>
      <c r="P21" s="1017"/>
      <c r="Q21" s="1018"/>
      <c r="R21" s="699"/>
      <c r="S21" s="67"/>
    </row>
    <row r="22" spans="1:19" s="473" customFormat="1" ht="15.75" thickBot="1">
      <c r="A22" s="705" t="s">
        <v>230</v>
      </c>
      <c r="B22" s="817"/>
      <c r="C22" s="812">
        <f>SUM(C18:C21)</f>
        <v>45.745313777347015</v>
      </c>
      <c r="D22" s="812">
        <f t="shared" ref="D22:R22" si="1">SUM(D18:D21)</f>
        <v>0</v>
      </c>
      <c r="E22" s="812">
        <f t="shared" si="1"/>
        <v>163.15151632804628</v>
      </c>
      <c r="F22" s="812">
        <f t="shared" si="1"/>
        <v>216.90414109991056</v>
      </c>
      <c r="G22" s="812">
        <f t="shared" si="1"/>
        <v>0</v>
      </c>
      <c r="H22" s="812">
        <f t="shared" si="1"/>
        <v>79735.134524217545</v>
      </c>
      <c r="I22" s="812">
        <f t="shared" si="1"/>
        <v>18373.374319710681</v>
      </c>
      <c r="J22" s="812">
        <f t="shared" si="1"/>
        <v>0</v>
      </c>
      <c r="K22" s="812">
        <f t="shared" si="1"/>
        <v>0</v>
      </c>
      <c r="L22" s="812">
        <f t="shared" si="1"/>
        <v>0</v>
      </c>
      <c r="M22" s="812">
        <f t="shared" si="1"/>
        <v>0</v>
      </c>
      <c r="N22" s="812">
        <f t="shared" si="1"/>
        <v>5197.725657072092</v>
      </c>
      <c r="O22" s="812">
        <f t="shared" si="1"/>
        <v>0</v>
      </c>
      <c r="P22" s="812">
        <f t="shared" si="1"/>
        <v>0</v>
      </c>
      <c r="Q22" s="812">
        <f t="shared" si="1"/>
        <v>0</v>
      </c>
      <c r="R22" s="812">
        <f t="shared" si="1"/>
        <v>103732.03547220562</v>
      </c>
      <c r="S22" s="67"/>
    </row>
    <row r="23" spans="1:19" s="473" customFormat="1" ht="15.75">
      <c r="A23" s="811" t="s">
        <v>237</v>
      </c>
      <c r="B23" s="736"/>
      <c r="C23" s="1111"/>
      <c r="D23" s="1111"/>
      <c r="E23" s="1111"/>
      <c r="F23" s="1111"/>
      <c r="G23" s="1111"/>
      <c r="H23" s="1111"/>
      <c r="I23" s="1111"/>
      <c r="J23" s="1111"/>
      <c r="K23" s="1111"/>
      <c r="L23" s="1111"/>
      <c r="M23" s="1111"/>
      <c r="N23" s="1111"/>
      <c r="O23" s="1111"/>
      <c r="P23" s="1111"/>
      <c r="Q23" s="1111"/>
      <c r="R23" s="702"/>
      <c r="S23" s="67"/>
    </row>
    <row r="24" spans="1:19" s="473" customFormat="1">
      <c r="A24" s="809" t="s">
        <v>633</v>
      </c>
      <c r="B24" s="814"/>
      <c r="C24" s="1013">
        <f>+landbouw!B8</f>
        <v>2519.5352620000003</v>
      </c>
      <c r="D24" s="1013">
        <f>+landbouw!C8</f>
        <v>62.357142857142847</v>
      </c>
      <c r="E24" s="1013">
        <f>+landbouw!D8</f>
        <v>13.985510000000001</v>
      </c>
      <c r="F24" s="1013">
        <f>+landbouw!E8</f>
        <v>74.056836899101953</v>
      </c>
      <c r="G24" s="1013">
        <f>+landbouw!F8</f>
        <v>10496.247752952562</v>
      </c>
      <c r="H24" s="1013">
        <f>+landbouw!G8</f>
        <v>0</v>
      </c>
      <c r="I24" s="1013">
        <f>+landbouw!H8</f>
        <v>0</v>
      </c>
      <c r="J24" s="1013">
        <f>+landbouw!I8</f>
        <v>0</v>
      </c>
      <c r="K24" s="1013">
        <f>+landbouw!J8</f>
        <v>365.02655182468459</v>
      </c>
      <c r="L24" s="1013">
        <f>+landbouw!K8</f>
        <v>0</v>
      </c>
      <c r="M24" s="1013">
        <f>+landbouw!L8</f>
        <v>0</v>
      </c>
      <c r="N24" s="1013">
        <f>+landbouw!M8</f>
        <v>0</v>
      </c>
      <c r="O24" s="1013">
        <f>+landbouw!N8</f>
        <v>0</v>
      </c>
      <c r="P24" s="1013">
        <f>+landbouw!O8</f>
        <v>0</v>
      </c>
      <c r="Q24" s="1014">
        <f>+landbouw!P8</f>
        <v>0</v>
      </c>
      <c r="R24" s="700">
        <f>SUM(C24:Q24)</f>
        <v>13531.209056533493</v>
      </c>
      <c r="S24" s="67"/>
    </row>
    <row r="25" spans="1:19" s="473" customFormat="1" ht="15" thickBot="1">
      <c r="A25" s="831" t="s">
        <v>836</v>
      </c>
      <c r="B25" s="1016"/>
      <c r="C25" s="1017">
        <f>IF(Onbekend_ele_kWh="---",0,Onbekend_ele_kWh)/1000+IF(REST_rest_ele_kWh="---",0,REST_rest_ele_kWh)/1000</f>
        <v>406.18004999999999</v>
      </c>
      <c r="D25" s="1017"/>
      <c r="E25" s="1017">
        <f>IF(onbekend_gas_kWh="---",0,onbekend_gas_kWh)/1000+IF(REST_rest_gas_kWh="---",0,REST_rest_gas_kWh)/1000</f>
        <v>660.04480000000001</v>
      </c>
      <c r="F25" s="1017"/>
      <c r="G25" s="1017"/>
      <c r="H25" s="1017"/>
      <c r="I25" s="1017"/>
      <c r="J25" s="1017"/>
      <c r="K25" s="1017"/>
      <c r="L25" s="1017"/>
      <c r="M25" s="1017"/>
      <c r="N25" s="1017"/>
      <c r="O25" s="1017"/>
      <c r="P25" s="1017"/>
      <c r="Q25" s="1018"/>
      <c r="R25" s="700">
        <f>SUM(C25:Q25)</f>
        <v>1066.2248500000001</v>
      </c>
      <c r="S25" s="67"/>
    </row>
    <row r="26" spans="1:19" s="473" customFormat="1" ht="15.75" thickBot="1">
      <c r="A26" s="705" t="s">
        <v>837</v>
      </c>
      <c r="B26" s="817"/>
      <c r="C26" s="812">
        <f>SUM(C24:C25)</f>
        <v>2925.7153120000003</v>
      </c>
      <c r="D26" s="812">
        <f t="shared" ref="D26:R26" si="2">SUM(D24:D25)</f>
        <v>62.357142857142847</v>
      </c>
      <c r="E26" s="812">
        <f t="shared" si="2"/>
        <v>674.03030999999999</v>
      </c>
      <c r="F26" s="812">
        <f t="shared" si="2"/>
        <v>74.056836899101953</v>
      </c>
      <c r="G26" s="812">
        <f t="shared" si="2"/>
        <v>10496.247752952562</v>
      </c>
      <c r="H26" s="812">
        <f t="shared" si="2"/>
        <v>0</v>
      </c>
      <c r="I26" s="812">
        <f t="shared" si="2"/>
        <v>0</v>
      </c>
      <c r="J26" s="812">
        <f t="shared" si="2"/>
        <v>0</v>
      </c>
      <c r="K26" s="812">
        <f t="shared" si="2"/>
        <v>365.02655182468459</v>
      </c>
      <c r="L26" s="812">
        <f t="shared" si="2"/>
        <v>0</v>
      </c>
      <c r="M26" s="812">
        <f t="shared" si="2"/>
        <v>0</v>
      </c>
      <c r="N26" s="812">
        <f t="shared" si="2"/>
        <v>0</v>
      </c>
      <c r="O26" s="812">
        <f t="shared" si="2"/>
        <v>0</v>
      </c>
      <c r="P26" s="812">
        <f t="shared" si="2"/>
        <v>0</v>
      </c>
      <c r="Q26" s="812">
        <f t="shared" si="2"/>
        <v>0</v>
      </c>
      <c r="R26" s="812">
        <f t="shared" si="2"/>
        <v>14597.433906533493</v>
      </c>
      <c r="S26" s="67"/>
    </row>
    <row r="27" spans="1:19" s="473" customFormat="1" ht="17.25" thickTop="1" thickBot="1">
      <c r="A27" s="706" t="s">
        <v>116</v>
      </c>
      <c r="B27" s="805"/>
      <c r="C27" s="707">
        <f ca="1">C22+C16+C26</f>
        <v>40609.382493168363</v>
      </c>
      <c r="D27" s="707">
        <f t="shared" ref="D27:R27" ca="1" si="3">D22+D16+D26</f>
        <v>62.357142857142847</v>
      </c>
      <c r="E27" s="707">
        <f t="shared" ca="1" si="3"/>
        <v>34179.35516222805</v>
      </c>
      <c r="F27" s="707">
        <f t="shared" si="3"/>
        <v>3870.5672106573111</v>
      </c>
      <c r="G27" s="707">
        <f t="shared" ca="1" si="3"/>
        <v>70763.553517942477</v>
      </c>
      <c r="H27" s="707">
        <f t="shared" si="3"/>
        <v>79735.134524217545</v>
      </c>
      <c r="I27" s="707">
        <f t="shared" si="3"/>
        <v>18373.374319710681</v>
      </c>
      <c r="J27" s="707">
        <f t="shared" si="3"/>
        <v>0</v>
      </c>
      <c r="K27" s="707">
        <f t="shared" si="3"/>
        <v>365.130638582833</v>
      </c>
      <c r="L27" s="707">
        <f t="shared" si="3"/>
        <v>0</v>
      </c>
      <c r="M27" s="707">
        <f t="shared" ca="1" si="3"/>
        <v>0</v>
      </c>
      <c r="N27" s="707">
        <f t="shared" si="3"/>
        <v>5197.725657072092</v>
      </c>
      <c r="O27" s="707">
        <f t="shared" ca="1" si="3"/>
        <v>20091.137528274769</v>
      </c>
      <c r="P27" s="707">
        <f t="shared" si="3"/>
        <v>487.76000000000005</v>
      </c>
      <c r="Q27" s="707">
        <f t="shared" si="3"/>
        <v>915.19999999999993</v>
      </c>
      <c r="R27" s="707">
        <f t="shared" ca="1" si="3"/>
        <v>274650.67819471122</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12"/>
      <c r="B31" s="1112"/>
      <c r="C31" s="1112"/>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090"/>
      <c r="B33" s="1090"/>
      <c r="C33" s="1090"/>
      <c r="D33" s="1090"/>
      <c r="E33" s="1090"/>
      <c r="F33" s="1090"/>
      <c r="G33" s="1090"/>
      <c r="H33" s="1090"/>
      <c r="I33" s="1090"/>
      <c r="J33" s="1090"/>
      <c r="K33" s="1090"/>
      <c r="L33" s="1090"/>
      <c r="M33" s="1090"/>
      <c r="N33" s="1090"/>
      <c r="O33" s="1090"/>
      <c r="P33" s="1090"/>
      <c r="Q33" s="1090"/>
      <c r="R33" s="1090"/>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30"/>
      <c r="B35" s="819"/>
      <c r="C35" s="1132" t="s">
        <v>347</v>
      </c>
      <c r="D35" s="1133"/>
      <c r="E35" s="1133"/>
      <c r="F35" s="1133"/>
      <c r="G35" s="1133"/>
      <c r="H35" s="1133"/>
      <c r="I35" s="1133"/>
      <c r="J35" s="1133"/>
      <c r="K35" s="1133"/>
      <c r="L35" s="1133"/>
      <c r="M35" s="1133"/>
      <c r="N35" s="1133"/>
      <c r="O35" s="1133"/>
      <c r="P35" s="1133"/>
      <c r="Q35" s="1133"/>
      <c r="R35" s="1134"/>
    </row>
    <row r="36" spans="1:18" ht="16.5" thickTop="1">
      <c r="A36" s="1131"/>
      <c r="B36" s="820"/>
      <c r="C36" s="1135" t="s">
        <v>21</v>
      </c>
      <c r="D36" s="1137" t="s">
        <v>232</v>
      </c>
      <c r="E36" s="1139" t="s">
        <v>197</v>
      </c>
      <c r="F36" s="1140"/>
      <c r="G36" s="1140"/>
      <c r="H36" s="1140"/>
      <c r="I36" s="1140"/>
      <c r="J36" s="1140"/>
      <c r="K36" s="1140"/>
      <c r="L36" s="1141"/>
      <c r="M36" s="1139" t="s">
        <v>198</v>
      </c>
      <c r="N36" s="1140"/>
      <c r="O36" s="1140"/>
      <c r="P36" s="1140"/>
      <c r="Q36" s="1140"/>
      <c r="R36" s="1091" t="s">
        <v>116</v>
      </c>
    </row>
    <row r="37" spans="1:18" ht="45.75" thickBot="1">
      <c r="A37" s="1131"/>
      <c r="B37" s="820"/>
      <c r="C37" s="1136"/>
      <c r="D37" s="1138"/>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093"/>
    </row>
    <row r="38" spans="1:18" ht="17.25" thickTop="1" thickBot="1">
      <c r="A38" s="832" t="s">
        <v>344</v>
      </c>
      <c r="B38" s="833"/>
      <c r="C38" s="725" t="s">
        <v>236</v>
      </c>
      <c r="D38" s="726"/>
      <c r="E38" s="727"/>
      <c r="F38" s="727"/>
      <c r="G38" s="727"/>
      <c r="H38" s="727"/>
      <c r="I38" s="727"/>
      <c r="J38" s="727"/>
      <c r="K38" s="727"/>
      <c r="L38" s="727"/>
      <c r="M38" s="1019"/>
      <c r="N38" s="1019"/>
      <c r="O38" s="727"/>
      <c r="P38" s="1019"/>
      <c r="Q38" s="728"/>
      <c r="R38" s="729"/>
    </row>
    <row r="39" spans="1:18" ht="15" thickTop="1">
      <c r="A39" s="1020" t="s">
        <v>223</v>
      </c>
      <c r="B39" s="829"/>
      <c r="C39" s="1013">
        <f ca="1">'Eigen gebouwen'!B19</f>
        <v>0</v>
      </c>
      <c r="D39" s="1013">
        <f ca="1">'Eigen gebouwen'!C19</f>
        <v>0</v>
      </c>
      <c r="E39" s="1013">
        <f>'Eigen gebouwen'!D19</f>
        <v>0</v>
      </c>
      <c r="F39" s="1013">
        <f>'Eigen gebouwen'!E19</f>
        <v>0</v>
      </c>
      <c r="G39" s="1013">
        <f>'Eigen gebouwen'!F19</f>
        <v>0</v>
      </c>
      <c r="H39" s="1013">
        <f>'Eigen gebouwen'!G19</f>
        <v>0</v>
      </c>
      <c r="I39" s="1013">
        <f>'Eigen gebouwen'!H19</f>
        <v>0</v>
      </c>
      <c r="J39" s="1013">
        <f>'Eigen gebouwen'!I19</f>
        <v>0</v>
      </c>
      <c r="K39" s="1013">
        <f>'Eigen gebouwen'!J19</f>
        <v>0</v>
      </c>
      <c r="L39" s="1013">
        <f>'Eigen gebouwen'!K19</f>
        <v>0</v>
      </c>
      <c r="M39" s="1013">
        <f>'Eigen gebouwen'!L19</f>
        <v>0</v>
      </c>
      <c r="N39" s="1013">
        <f>'Eigen gebouwen'!M19</f>
        <v>0</v>
      </c>
      <c r="O39" s="1013">
        <f>'Eigen gebouwen'!N19</f>
        <v>0</v>
      </c>
      <c r="P39" s="1013">
        <f>'Eigen gebouwen'!O19</f>
        <v>0</v>
      </c>
      <c r="Q39" s="774">
        <f>'Eigen gebouwen'!P19</f>
        <v>0</v>
      </c>
      <c r="R39" s="1021">
        <f t="shared" ref="R39:R44" ca="1" si="4">SUM(C39:Q39)</f>
        <v>0</v>
      </c>
    </row>
    <row r="40" spans="1:18">
      <c r="A40" s="810" t="s">
        <v>224</v>
      </c>
      <c r="B40" s="830"/>
      <c r="C40" s="1013">
        <f ca="1">tertiair!B20+'openbare verlichting'!B12</f>
        <v>1552.5154309823183</v>
      </c>
      <c r="D40" s="1013">
        <f ca="1">tertiair!C20</f>
        <v>0</v>
      </c>
      <c r="E40" s="1013">
        <f ca="1">tertiair!D20</f>
        <v>1331.6079067808</v>
      </c>
      <c r="F40" s="1013">
        <f>tertiair!E20</f>
        <v>30.629344397314469</v>
      </c>
      <c r="G40" s="1013">
        <f ca="1">tertiair!F20</f>
        <v>360.89639132541572</v>
      </c>
      <c r="H40" s="1013">
        <f>tertiair!G20</f>
        <v>0</v>
      </c>
      <c r="I40" s="1013">
        <f>tertiair!H20</f>
        <v>0</v>
      </c>
      <c r="J40" s="1013">
        <f>tertiair!I20</f>
        <v>0</v>
      </c>
      <c r="K40" s="1013">
        <f>tertiair!J20</f>
        <v>5.7081737158184709E-3</v>
      </c>
      <c r="L40" s="1013">
        <f>tertiair!K20</f>
        <v>0</v>
      </c>
      <c r="M40" s="1013">
        <f ca="1">tertiair!L20</f>
        <v>0</v>
      </c>
      <c r="N40" s="1013">
        <f>tertiair!M20</f>
        <v>0</v>
      </c>
      <c r="O40" s="1013">
        <f ca="1">tertiair!N20</f>
        <v>0</v>
      </c>
      <c r="P40" s="1013">
        <f>tertiair!O20</f>
        <v>0</v>
      </c>
      <c r="Q40" s="774">
        <f>tertiair!P20</f>
        <v>0</v>
      </c>
      <c r="R40" s="850">
        <f t="shared" ca="1" si="4"/>
        <v>3275.6547816595644</v>
      </c>
    </row>
    <row r="41" spans="1:18">
      <c r="A41" s="822" t="s">
        <v>225</v>
      </c>
      <c r="B41" s="829"/>
      <c r="C41" s="1013">
        <f ca="1">huishoudens!B12</f>
        <v>4045.501950373317</v>
      </c>
      <c r="D41" s="1013">
        <f ca="1">huishoudens!C12</f>
        <v>0</v>
      </c>
      <c r="E41" s="1013">
        <f>huishoudens!D12</f>
        <v>5000.7705558205998</v>
      </c>
      <c r="F41" s="1013">
        <f>huishoudens!E12</f>
        <v>605.15724557603562</v>
      </c>
      <c r="G41" s="1013">
        <f>huishoudens!F12</f>
        <v>15077.521946841112</v>
      </c>
      <c r="H41" s="1013">
        <f>huishoudens!G12</f>
        <v>0</v>
      </c>
      <c r="I41" s="1013">
        <f>huishoudens!H12</f>
        <v>0</v>
      </c>
      <c r="J41" s="1013">
        <f>huishoudens!I12</f>
        <v>0</v>
      </c>
      <c r="K41" s="1013">
        <f>huishoudens!J12</f>
        <v>0</v>
      </c>
      <c r="L41" s="1013">
        <f>huishoudens!K12</f>
        <v>0</v>
      </c>
      <c r="M41" s="1013">
        <f>huishoudens!L12</f>
        <v>0</v>
      </c>
      <c r="N41" s="1013">
        <f>huishoudens!M12</f>
        <v>0</v>
      </c>
      <c r="O41" s="1013">
        <f>huishoudens!N12</f>
        <v>0</v>
      </c>
      <c r="P41" s="1013">
        <f>huishoudens!O12</f>
        <v>0</v>
      </c>
      <c r="Q41" s="774">
        <f>huishoudens!P12</f>
        <v>0</v>
      </c>
      <c r="R41" s="850">
        <f t="shared" ca="1" si="4"/>
        <v>24728.951698611065</v>
      </c>
    </row>
    <row r="42" spans="1:18">
      <c r="A42" s="822" t="s">
        <v>501</v>
      </c>
      <c r="B42" s="829"/>
      <c r="C42" s="1013">
        <f ca="1">'Eigen openbare verlichting'!B19</f>
        <v>0</v>
      </c>
      <c r="D42" s="1013"/>
      <c r="E42" s="1013"/>
      <c r="F42" s="1013"/>
      <c r="G42" s="1013"/>
      <c r="H42" s="1013"/>
      <c r="I42" s="1013"/>
      <c r="J42" s="1013"/>
      <c r="K42" s="1013"/>
      <c r="L42" s="1013"/>
      <c r="M42" s="1013"/>
      <c r="N42" s="1013"/>
      <c r="O42" s="1013"/>
      <c r="P42" s="1013"/>
      <c r="Q42" s="774"/>
      <c r="R42" s="850">
        <f t="shared" ca="1" si="4"/>
        <v>0</v>
      </c>
    </row>
    <row r="43" spans="1:18">
      <c r="A43" s="822" t="s">
        <v>639</v>
      </c>
      <c r="B43" s="837" t="s">
        <v>636</v>
      </c>
      <c r="C43" s="1013">
        <f ca="1">industrie!B22</f>
        <v>1277.6811450047026</v>
      </c>
      <c r="D43" s="1013">
        <f ca="1">industrie!C22</f>
        <v>0</v>
      </c>
      <c r="E43" s="1013">
        <f>industrie!D22</f>
        <v>402.74055125040007</v>
      </c>
      <c r="F43" s="1013">
        <f>industrie!E22</f>
        <v>176.78402484008365</v>
      </c>
      <c r="G43" s="1013">
        <f>industrie!F22</f>
        <v>652.95230108578266</v>
      </c>
      <c r="H43" s="1013">
        <f>industrie!G22</f>
        <v>0</v>
      </c>
      <c r="I43" s="1013">
        <f>industrie!H22</f>
        <v>0</v>
      </c>
      <c r="J43" s="1013">
        <f>industrie!I22</f>
        <v>0</v>
      </c>
      <c r="K43" s="1013">
        <f>industrie!J22</f>
        <v>3.1138538668711711E-2</v>
      </c>
      <c r="L43" s="1013">
        <f>industrie!K22</f>
        <v>0</v>
      </c>
      <c r="M43" s="1013">
        <f>industrie!L22</f>
        <v>0</v>
      </c>
      <c r="N43" s="1013">
        <f>industrie!M22</f>
        <v>0</v>
      </c>
      <c r="O43" s="1013">
        <f>industrie!N22</f>
        <v>0</v>
      </c>
      <c r="P43" s="1013">
        <f>industrie!O22</f>
        <v>0</v>
      </c>
      <c r="Q43" s="774">
        <f>industrie!P22</f>
        <v>0</v>
      </c>
      <c r="R43" s="849">
        <f t="shared" ca="1" si="4"/>
        <v>2510.1891607196376</v>
      </c>
    </row>
    <row r="44" spans="1:18">
      <c r="A44" s="822"/>
      <c r="B44" s="829" t="s">
        <v>637</v>
      </c>
      <c r="C44" s="1013"/>
      <c r="D44" s="1013"/>
      <c r="E44" s="1013"/>
      <c r="F44" s="1013"/>
      <c r="G44" s="1013"/>
      <c r="H44" s="1013"/>
      <c r="I44" s="1013"/>
      <c r="J44" s="1013"/>
      <c r="K44" s="1013"/>
      <c r="L44" s="1013"/>
      <c r="M44" s="1013"/>
      <c r="N44" s="1013"/>
      <c r="O44" s="1013"/>
      <c r="P44" s="1013"/>
      <c r="Q44" s="774"/>
      <c r="R44" s="850">
        <f t="shared" si="4"/>
        <v>0</v>
      </c>
    </row>
    <row r="45" spans="1:18" ht="15" thickBot="1">
      <c r="A45" s="1015" t="s">
        <v>834</v>
      </c>
      <c r="B45" s="1022"/>
      <c r="C45" s="1017"/>
      <c r="D45" s="1017"/>
      <c r="E45" s="1017"/>
      <c r="F45" s="1017"/>
      <c r="G45" s="1017"/>
      <c r="H45" s="1017"/>
      <c r="I45" s="1017"/>
      <c r="J45" s="1017"/>
      <c r="K45" s="1017"/>
      <c r="L45" s="1017"/>
      <c r="M45" s="1017"/>
      <c r="N45" s="1017"/>
      <c r="O45" s="1017"/>
      <c r="P45" s="1017"/>
      <c r="Q45" s="1018"/>
      <c r="R45" s="1023"/>
    </row>
    <row r="46" spans="1:18" ht="15.75" thickBot="1">
      <c r="A46" s="823" t="s">
        <v>226</v>
      </c>
      <c r="B46" s="836"/>
      <c r="C46" s="732">
        <f ca="1">SUM(C39:C45)</f>
        <v>6875.6985263603383</v>
      </c>
      <c r="D46" s="732">
        <f t="shared" ref="D46:Q46" ca="1" si="5">SUM(D39:D45)</f>
        <v>0</v>
      </c>
      <c r="E46" s="732">
        <f t="shared" ca="1" si="5"/>
        <v>6735.1190138518004</v>
      </c>
      <c r="F46" s="732">
        <f t="shared" si="5"/>
        <v>812.57061481343385</v>
      </c>
      <c r="G46" s="732">
        <f t="shared" ca="1" si="5"/>
        <v>16091.370639252311</v>
      </c>
      <c r="H46" s="732">
        <f t="shared" si="5"/>
        <v>0</v>
      </c>
      <c r="I46" s="732">
        <f t="shared" si="5"/>
        <v>0</v>
      </c>
      <c r="J46" s="732">
        <f t="shared" si="5"/>
        <v>0</v>
      </c>
      <c r="K46" s="732">
        <f t="shared" si="5"/>
        <v>3.6846712384530182E-2</v>
      </c>
      <c r="L46" s="732">
        <f t="shared" si="5"/>
        <v>0</v>
      </c>
      <c r="M46" s="732">
        <f t="shared" ca="1" si="5"/>
        <v>0</v>
      </c>
      <c r="N46" s="732">
        <f t="shared" si="5"/>
        <v>0</v>
      </c>
      <c r="O46" s="732">
        <f t="shared" ca="1" si="5"/>
        <v>0</v>
      </c>
      <c r="P46" s="732">
        <f t="shared" si="5"/>
        <v>0</v>
      </c>
      <c r="Q46" s="732">
        <f t="shared" si="5"/>
        <v>0</v>
      </c>
      <c r="R46" s="732">
        <f ca="1">SUM(R39:R45)</f>
        <v>30514.795640990265</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3">
        <f ca="1">'Eigen vloot'!B31</f>
        <v>0</v>
      </c>
      <c r="D48" s="1013">
        <f>'Eigen vloot'!C31</f>
        <v>0</v>
      </c>
      <c r="E48" s="1013">
        <f>'Eigen vloot'!D31</f>
        <v>0</v>
      </c>
      <c r="F48" s="1013">
        <f>'Eigen vloot'!E31</f>
        <v>0</v>
      </c>
      <c r="G48" s="1013">
        <f>'Eigen vloot'!F31</f>
        <v>0</v>
      </c>
      <c r="H48" s="1013">
        <f>'Eigen vloot'!G31</f>
        <v>0</v>
      </c>
      <c r="I48" s="1013">
        <f>'Eigen vloot'!H31</f>
        <v>0</v>
      </c>
      <c r="J48" s="1013">
        <f>'Eigen vloot'!I31</f>
        <v>0</v>
      </c>
      <c r="K48" s="1013">
        <f>'Eigen vloot'!J31</f>
        <v>0</v>
      </c>
      <c r="L48" s="1013">
        <f>'Eigen vloot'!K31</f>
        <v>0</v>
      </c>
      <c r="M48" s="1013">
        <f>'Eigen vloot'!L31</f>
        <v>0</v>
      </c>
      <c r="N48" s="1013">
        <f>'Eigen vloot'!M31</f>
        <v>0</v>
      </c>
      <c r="O48" s="1013">
        <f>'Eigen vloot'!N31</f>
        <v>0</v>
      </c>
      <c r="P48" s="1013">
        <f>'Eigen vloot'!O31</f>
        <v>0</v>
      </c>
      <c r="Q48" s="1013">
        <f>'Eigen vloot'!P31</f>
        <v>0</v>
      </c>
      <c r="R48" s="730">
        <f ca="1">SUM(C48:Q48)</f>
        <v>0</v>
      </c>
    </row>
    <row r="49" spans="1:18">
      <c r="A49" s="822" t="s">
        <v>229</v>
      </c>
      <c r="B49" s="829"/>
      <c r="C49" s="1013">
        <f ca="1">transport!B58</f>
        <v>0</v>
      </c>
      <c r="D49" s="1013">
        <f ca="1">transport!C58</f>
        <v>0</v>
      </c>
      <c r="E49" s="1013">
        <f>transport!D58</f>
        <v>0</v>
      </c>
      <c r="F49" s="1013">
        <f>transport!E58</f>
        <v>0</v>
      </c>
      <c r="G49" s="1013">
        <f>transport!F58</f>
        <v>0</v>
      </c>
      <c r="H49" s="1013">
        <f>transport!G58</f>
        <v>465.03656226426102</v>
      </c>
      <c r="I49" s="1013">
        <f>transport!H58</f>
        <v>0</v>
      </c>
      <c r="J49" s="1013">
        <f>transport!I58</f>
        <v>0</v>
      </c>
      <c r="K49" s="1013">
        <f>transport!J58</f>
        <v>0</v>
      </c>
      <c r="L49" s="1013">
        <f>transport!K58</f>
        <v>0</v>
      </c>
      <c r="M49" s="1013">
        <f>transport!L58</f>
        <v>0</v>
      </c>
      <c r="N49" s="1013">
        <f>transport!M58</f>
        <v>0</v>
      </c>
      <c r="O49" s="1013">
        <f>transport!N58</f>
        <v>0</v>
      </c>
      <c r="P49" s="1013">
        <f>transport!O58</f>
        <v>0</v>
      </c>
      <c r="Q49" s="1014">
        <f>transport!P58</f>
        <v>0</v>
      </c>
      <c r="R49" s="730">
        <f ca="1">SUM(C49:Q49)</f>
        <v>465.03656226426102</v>
      </c>
    </row>
    <row r="50" spans="1:18">
      <c r="A50" s="825" t="s">
        <v>307</v>
      </c>
      <c r="B50" s="835"/>
      <c r="C50" s="703">
        <f ca="1">transport!B18</f>
        <v>8.3567575179888323</v>
      </c>
      <c r="D50" s="703">
        <f>transport!C18</f>
        <v>0</v>
      </c>
      <c r="E50" s="703">
        <f>transport!D18</f>
        <v>32.956606298265349</v>
      </c>
      <c r="F50" s="703">
        <f>transport!E18</f>
        <v>49.237240029679697</v>
      </c>
      <c r="G50" s="703">
        <f>transport!F18</f>
        <v>0</v>
      </c>
      <c r="H50" s="703">
        <f>transport!G18</f>
        <v>20824.244355701823</v>
      </c>
      <c r="I50" s="703">
        <f>transport!H18</f>
        <v>4574.9702056079595</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25489.765165155717</v>
      </c>
    </row>
    <row r="51" spans="1:18" ht="15" thickBot="1">
      <c r="A51" s="822" t="s">
        <v>835</v>
      </c>
      <c r="B51" s="829"/>
      <c r="C51" s="1013"/>
      <c r="D51" s="1013"/>
      <c r="E51" s="1013"/>
      <c r="F51" s="1013"/>
      <c r="G51" s="1013"/>
      <c r="H51" s="1013"/>
      <c r="I51" s="1013"/>
      <c r="J51" s="1013"/>
      <c r="K51" s="1013"/>
      <c r="L51" s="1013"/>
      <c r="M51" s="1013"/>
      <c r="N51" s="1013"/>
      <c r="O51" s="1013"/>
      <c r="P51" s="1013"/>
      <c r="Q51" s="1014"/>
      <c r="R51" s="730"/>
    </row>
    <row r="52" spans="1:18" ht="15.75" thickBot="1">
      <c r="A52" s="823" t="s">
        <v>230</v>
      </c>
      <c r="B52" s="836"/>
      <c r="C52" s="732">
        <f ca="1">SUM(C48:C51)</f>
        <v>8.3567575179888323</v>
      </c>
      <c r="D52" s="732">
        <f t="shared" ref="D52:Q52" ca="1" si="6">SUM(D48:D51)</f>
        <v>0</v>
      </c>
      <c r="E52" s="732">
        <f t="shared" si="6"/>
        <v>32.956606298265349</v>
      </c>
      <c r="F52" s="732">
        <f t="shared" si="6"/>
        <v>49.237240029679697</v>
      </c>
      <c r="G52" s="732">
        <f t="shared" si="6"/>
        <v>0</v>
      </c>
      <c r="H52" s="732">
        <f t="shared" si="6"/>
        <v>21289.280917966084</v>
      </c>
      <c r="I52" s="732">
        <f t="shared" si="6"/>
        <v>4574.9702056079595</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25954.801727419977</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633</v>
      </c>
      <c r="B54" s="835"/>
      <c r="C54" s="703">
        <f ca="1">+landbouw!B12</f>
        <v>460.2688997836305</v>
      </c>
      <c r="D54" s="703">
        <f ca="1">+landbouw!C12</f>
        <v>0</v>
      </c>
      <c r="E54" s="703">
        <f>+landbouw!D12</f>
        <v>2.8250730200000005</v>
      </c>
      <c r="F54" s="703">
        <f>+landbouw!E12</f>
        <v>16.810901976096144</v>
      </c>
      <c r="G54" s="703">
        <f>+landbouw!F12</f>
        <v>2802.4981500383342</v>
      </c>
      <c r="H54" s="703">
        <f>+landbouw!G12</f>
        <v>0</v>
      </c>
      <c r="I54" s="703">
        <f>+landbouw!H12</f>
        <v>0</v>
      </c>
      <c r="J54" s="703">
        <f>+landbouw!I12</f>
        <v>0</v>
      </c>
      <c r="K54" s="703">
        <f>+landbouw!J12</f>
        <v>129.21939934593834</v>
      </c>
      <c r="L54" s="703">
        <f>+landbouw!K12</f>
        <v>0</v>
      </c>
      <c r="M54" s="703">
        <f>+landbouw!L12</f>
        <v>0</v>
      </c>
      <c r="N54" s="703">
        <f>+landbouw!M12</f>
        <v>0</v>
      </c>
      <c r="O54" s="703">
        <f>+landbouw!N12</f>
        <v>0</v>
      </c>
      <c r="P54" s="703">
        <f>+landbouw!O12</f>
        <v>0</v>
      </c>
      <c r="Q54" s="704">
        <f>+landbouw!P12</f>
        <v>0</v>
      </c>
      <c r="R54" s="731">
        <f ca="1">SUM(C54:Q54)</f>
        <v>3411.6224241639989</v>
      </c>
    </row>
    <row r="55" spans="1:18" ht="15" thickBot="1">
      <c r="A55" s="825" t="s">
        <v>836</v>
      </c>
      <c r="B55" s="835"/>
      <c r="C55" s="703">
        <f ca="1">C25*'EF ele_warmte'!B12</f>
        <v>74.201003473615998</v>
      </c>
      <c r="D55" s="703"/>
      <c r="E55" s="703">
        <f>E25*EF_CO2_aardgas</f>
        <v>133.32904960000002</v>
      </c>
      <c r="F55" s="703"/>
      <c r="G55" s="703"/>
      <c r="H55" s="703"/>
      <c r="I55" s="703"/>
      <c r="J55" s="703"/>
      <c r="K55" s="703"/>
      <c r="L55" s="703"/>
      <c r="M55" s="703"/>
      <c r="N55" s="703"/>
      <c r="O55" s="703"/>
      <c r="P55" s="703"/>
      <c r="Q55" s="704"/>
      <c r="R55" s="731">
        <f ca="1">SUM(C55:Q55)</f>
        <v>207.53005307361602</v>
      </c>
    </row>
    <row r="56" spans="1:18" ht="15.75" thickBot="1">
      <c r="A56" s="823" t="s">
        <v>837</v>
      </c>
      <c r="B56" s="836"/>
      <c r="C56" s="732">
        <f ca="1">SUM(C54:C55)</f>
        <v>534.46990325724653</v>
      </c>
      <c r="D56" s="732">
        <f t="shared" ref="D56:Q56" ca="1" si="7">SUM(D54:D55)</f>
        <v>0</v>
      </c>
      <c r="E56" s="732">
        <f t="shared" si="7"/>
        <v>136.15412262000001</v>
      </c>
      <c r="F56" s="732">
        <f t="shared" si="7"/>
        <v>16.810901976096144</v>
      </c>
      <c r="G56" s="732">
        <f t="shared" si="7"/>
        <v>2802.4981500383342</v>
      </c>
      <c r="H56" s="732">
        <f t="shared" si="7"/>
        <v>0</v>
      </c>
      <c r="I56" s="732">
        <f t="shared" si="7"/>
        <v>0</v>
      </c>
      <c r="J56" s="732">
        <f t="shared" si="7"/>
        <v>0</v>
      </c>
      <c r="K56" s="732">
        <f t="shared" si="7"/>
        <v>129.21939934593834</v>
      </c>
      <c r="L56" s="732">
        <f t="shared" si="7"/>
        <v>0</v>
      </c>
      <c r="M56" s="732">
        <f t="shared" si="7"/>
        <v>0</v>
      </c>
      <c r="N56" s="732">
        <f t="shared" si="7"/>
        <v>0</v>
      </c>
      <c r="O56" s="732">
        <f t="shared" si="7"/>
        <v>0</v>
      </c>
      <c r="P56" s="732">
        <f t="shared" si="7"/>
        <v>0</v>
      </c>
      <c r="Q56" s="733">
        <f t="shared" si="7"/>
        <v>0</v>
      </c>
      <c r="R56" s="734">
        <f ca="1">SUM(R54:R55)</f>
        <v>3619.1524772376147</v>
      </c>
    </row>
    <row r="57" spans="1:18" ht="15.75">
      <c r="A57" s="804" t="s">
        <v>634</v>
      </c>
      <c r="B57" s="804"/>
      <c r="C57" s="737"/>
      <c r="D57" s="726"/>
      <c r="E57" s="726"/>
      <c r="F57" s="726"/>
      <c r="G57" s="726"/>
      <c r="H57" s="726"/>
      <c r="I57" s="726"/>
      <c r="J57" s="726"/>
      <c r="K57" s="726"/>
      <c r="L57" s="726"/>
      <c r="M57" s="735"/>
      <c r="N57" s="735"/>
      <c r="O57" s="726"/>
      <c r="P57" s="735"/>
      <c r="Q57" s="735"/>
      <c r="R57" s="729"/>
    </row>
    <row r="58" spans="1:18" ht="15">
      <c r="A58" s="826" t="s">
        <v>238</v>
      </c>
      <c r="B58" s="840"/>
      <c r="C58" s="1080"/>
      <c r="D58" s="1081"/>
      <c r="E58" s="1081"/>
      <c r="F58" s="1081"/>
      <c r="G58" s="1081"/>
      <c r="H58" s="1081"/>
      <c r="I58" s="1081"/>
      <c r="J58" s="1081"/>
      <c r="K58" s="1081"/>
      <c r="L58" s="1081"/>
      <c r="M58" s="1081"/>
      <c r="N58" s="1081"/>
      <c r="O58" s="1081"/>
      <c r="P58" s="1081"/>
      <c r="Q58" s="1081"/>
      <c r="R58" s="738"/>
    </row>
    <row r="59" spans="1:18" ht="15">
      <c r="A59" s="827" t="s">
        <v>239</v>
      </c>
      <c r="B59" s="814"/>
      <c r="C59" s="1082"/>
      <c r="D59" s="1083"/>
      <c r="E59" s="1083"/>
      <c r="F59" s="1083"/>
      <c r="G59" s="1083"/>
      <c r="H59" s="1083"/>
      <c r="I59" s="1083"/>
      <c r="J59" s="1083"/>
      <c r="K59" s="1083"/>
      <c r="L59" s="1083"/>
      <c r="M59" s="1083"/>
      <c r="N59" s="1083"/>
      <c r="O59" s="1083"/>
      <c r="P59" s="1083"/>
      <c r="Q59" s="1083"/>
      <c r="R59" s="739"/>
    </row>
    <row r="60" spans="1:18" ht="15" thickBot="1">
      <c r="A60" s="838" t="s">
        <v>240</v>
      </c>
      <c r="B60" s="839"/>
      <c r="C60" s="1082"/>
      <c r="D60" s="1083"/>
      <c r="E60" s="1083"/>
      <c r="F60" s="1083"/>
      <c r="G60" s="1083"/>
      <c r="H60" s="1083"/>
      <c r="I60" s="1083"/>
      <c r="J60" s="1083"/>
      <c r="K60" s="1083"/>
      <c r="L60" s="1083"/>
      <c r="M60" s="1083"/>
      <c r="N60" s="1083"/>
      <c r="O60" s="1083"/>
      <c r="P60" s="1083"/>
      <c r="Q60" s="1083"/>
      <c r="R60" s="731"/>
    </row>
    <row r="61" spans="1:18" ht="16.5" thickBot="1">
      <c r="A61" s="841" t="s">
        <v>116</v>
      </c>
      <c r="B61" s="842"/>
      <c r="C61" s="740">
        <f ca="1">C46+C52+C56</f>
        <v>7418.5251871355731</v>
      </c>
      <c r="D61" s="740">
        <f t="shared" ref="D61:Q61" ca="1" si="8">D46+D52+D56</f>
        <v>0</v>
      </c>
      <c r="E61" s="740">
        <f t="shared" ca="1" si="8"/>
        <v>6904.229742770066</v>
      </c>
      <c r="F61" s="740">
        <f t="shared" si="8"/>
        <v>878.61875681920969</v>
      </c>
      <c r="G61" s="740">
        <f t="shared" ca="1" si="8"/>
        <v>18893.868789290646</v>
      </c>
      <c r="H61" s="740">
        <f t="shared" si="8"/>
        <v>21289.280917966084</v>
      </c>
      <c r="I61" s="740">
        <f t="shared" si="8"/>
        <v>4574.9702056079595</v>
      </c>
      <c r="J61" s="740">
        <f t="shared" si="8"/>
        <v>0</v>
      </c>
      <c r="K61" s="740">
        <f t="shared" si="8"/>
        <v>129.25624605832286</v>
      </c>
      <c r="L61" s="740">
        <f t="shared" si="8"/>
        <v>0</v>
      </c>
      <c r="M61" s="740">
        <f t="shared" ca="1" si="8"/>
        <v>0</v>
      </c>
      <c r="N61" s="740">
        <f t="shared" si="8"/>
        <v>0</v>
      </c>
      <c r="O61" s="740">
        <f t="shared" ca="1" si="8"/>
        <v>0</v>
      </c>
      <c r="P61" s="740">
        <f t="shared" si="8"/>
        <v>0</v>
      </c>
      <c r="Q61" s="740">
        <f t="shared" si="8"/>
        <v>0</v>
      </c>
      <c r="R61" s="740">
        <f ca="1">R46+R52+R56</f>
        <v>60088.749845647857</v>
      </c>
    </row>
    <row r="62" spans="1:18" ht="15.75" thickTop="1" thickBot="1">
      <c r="A62" s="994"/>
      <c r="B62" s="994"/>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0.18268007863413283</v>
      </c>
      <c r="D63" s="781">
        <f t="shared" ca="1" si="9"/>
        <v>0</v>
      </c>
      <c r="E63" s="1024">
        <f t="shared" ca="1" si="9"/>
        <v>0.20199999999999999</v>
      </c>
      <c r="F63" s="781">
        <f t="shared" si="9"/>
        <v>0.22700000000000001</v>
      </c>
      <c r="G63" s="781">
        <f t="shared" ca="1" si="9"/>
        <v>0.26700000000000007</v>
      </c>
      <c r="H63" s="781">
        <f t="shared" si="9"/>
        <v>0.26700000000000002</v>
      </c>
      <c r="I63" s="781">
        <f t="shared" si="9"/>
        <v>0.249</v>
      </c>
      <c r="J63" s="781">
        <f t="shared" si="9"/>
        <v>0</v>
      </c>
      <c r="K63" s="781">
        <f t="shared" si="9"/>
        <v>0.35399999999999993</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090"/>
      <c r="B67" s="1090"/>
      <c r="C67" s="1090"/>
      <c r="D67" s="1090"/>
      <c r="E67" s="1090"/>
      <c r="F67" s="1090"/>
      <c r="G67" s="1090"/>
      <c r="H67" s="1090"/>
      <c r="I67" s="1090"/>
      <c r="J67" s="1090"/>
      <c r="K67" s="1090"/>
      <c r="L67" s="1090"/>
      <c r="M67" s="1090"/>
      <c r="N67" s="1090"/>
      <c r="O67" s="1090"/>
      <c r="P67" s="1090"/>
      <c r="Q67" s="1090"/>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091" t="s">
        <v>241</v>
      </c>
      <c r="B69" s="1094" t="s">
        <v>351</v>
      </c>
      <c r="C69" s="1095"/>
      <c r="D69" s="1098" t="s">
        <v>352</v>
      </c>
      <c r="E69" s="1099"/>
      <c r="F69" s="1099"/>
      <c r="G69" s="1099"/>
      <c r="H69" s="1099"/>
      <c r="I69" s="1099"/>
      <c r="J69" s="1099"/>
      <c r="K69" s="1099"/>
      <c r="L69" s="1099"/>
      <c r="M69" s="1099"/>
      <c r="N69" s="1099"/>
      <c r="O69" s="1100"/>
      <c r="P69" s="1025" t="s">
        <v>642</v>
      </c>
      <c r="Q69" s="1101" t="s">
        <v>641</v>
      </c>
      <c r="R69" s="1102"/>
    </row>
    <row r="70" spans="1:18" ht="61.5" thickTop="1" thickBot="1">
      <c r="A70" s="1092"/>
      <c r="B70" s="1096"/>
      <c r="C70" s="1097"/>
      <c r="D70" s="1103" t="s">
        <v>197</v>
      </c>
      <c r="E70" s="1104"/>
      <c r="F70" s="1104"/>
      <c r="G70" s="1104"/>
      <c r="H70" s="1105"/>
      <c r="I70" s="1005" t="s">
        <v>246</v>
      </c>
      <c r="J70" s="1005" t="s">
        <v>234</v>
      </c>
      <c r="K70" s="1005" t="s">
        <v>209</v>
      </c>
      <c r="L70" s="1005" t="s">
        <v>210</v>
      </c>
      <c r="M70" s="749" t="s">
        <v>245</v>
      </c>
      <c r="N70" s="1005" t="s">
        <v>247</v>
      </c>
      <c r="O70" s="1000" t="s">
        <v>127</v>
      </c>
      <c r="P70" s="1026"/>
      <c r="Q70" s="856"/>
      <c r="R70" s="857"/>
    </row>
    <row r="71" spans="1:18" ht="95.25" customHeight="1" thickTop="1" thickBot="1">
      <c r="A71" s="1093"/>
      <c r="B71" s="999" t="s">
        <v>640</v>
      </c>
      <c r="C71" s="999" t="s">
        <v>838</v>
      </c>
      <c r="D71" s="1027" t="s">
        <v>199</v>
      </c>
      <c r="E71" s="1028" t="s">
        <v>200</v>
      </c>
      <c r="F71" s="1005" t="s">
        <v>201</v>
      </c>
      <c r="G71" s="1002" t="s">
        <v>203</v>
      </c>
      <c r="H71" s="1029" t="s">
        <v>204</v>
      </c>
      <c r="I71" s="996"/>
      <c r="J71" s="996"/>
      <c r="K71" s="996"/>
      <c r="L71" s="996"/>
      <c r="M71" s="1003"/>
      <c r="N71" s="996"/>
      <c r="O71" s="1001"/>
      <c r="P71" s="1030"/>
      <c r="Q71" s="995" t="s">
        <v>643</v>
      </c>
      <c r="R71" s="1001" t="s">
        <v>644</v>
      </c>
    </row>
    <row r="72" spans="1:18" ht="15.75" thickTop="1">
      <c r="A72" s="750" t="s">
        <v>249</v>
      </c>
      <c r="B72" s="843">
        <f>'lokale energieproductie'!B4</f>
        <v>0</v>
      </c>
      <c r="C72" s="1084"/>
      <c r="D72" s="1084"/>
      <c r="E72" s="1087"/>
      <c r="F72" s="1087"/>
      <c r="G72" s="1148"/>
      <c r="H72" s="1151"/>
      <c r="I72" s="1154"/>
      <c r="J72" s="997"/>
      <c r="K72" s="1106"/>
      <c r="L72" s="1106"/>
      <c r="M72" s="1106"/>
      <c r="N72" s="1106"/>
      <c r="O72" s="1107"/>
      <c r="P72" s="851">
        <v>0</v>
      </c>
      <c r="Q72" s="1031"/>
      <c r="R72" s="851">
        <v>0</v>
      </c>
    </row>
    <row r="73" spans="1:18" ht="15">
      <c r="A73" s="751" t="s">
        <v>250</v>
      </c>
      <c r="B73" s="750">
        <f>'lokale energieproductie'!B5</f>
        <v>0</v>
      </c>
      <c r="C73" s="1085"/>
      <c r="D73" s="1085"/>
      <c r="E73" s="1088"/>
      <c r="F73" s="1088"/>
      <c r="G73" s="1149"/>
      <c r="H73" s="1152"/>
      <c r="I73" s="1085"/>
      <c r="J73" s="998"/>
      <c r="K73" s="1088"/>
      <c r="L73" s="1088"/>
      <c r="M73" s="1088"/>
      <c r="N73" s="1088"/>
      <c r="O73" s="1108"/>
      <c r="P73" s="852">
        <v>0</v>
      </c>
      <c r="Q73" s="858"/>
      <c r="R73" s="852">
        <v>0</v>
      </c>
    </row>
    <row r="74" spans="1:18" ht="15">
      <c r="A74" s="751" t="s">
        <v>251</v>
      </c>
      <c r="B74" s="750">
        <f>'lokale energieproductie'!B6</f>
        <v>6997.7452210617012</v>
      </c>
      <c r="C74" s="1085"/>
      <c r="D74" s="1085"/>
      <c r="E74" s="1088"/>
      <c r="F74" s="1088"/>
      <c r="G74" s="1149"/>
      <c r="H74" s="1152"/>
      <c r="I74" s="1085"/>
      <c r="J74" s="998"/>
      <c r="K74" s="1088"/>
      <c r="L74" s="1088"/>
      <c r="M74" s="1088"/>
      <c r="N74" s="1088"/>
      <c r="O74" s="1108"/>
      <c r="P74" s="852">
        <v>0</v>
      </c>
      <c r="Q74" s="858"/>
      <c r="R74" s="852">
        <v>0</v>
      </c>
    </row>
    <row r="75" spans="1:18" ht="15.75" thickBot="1">
      <c r="A75" s="751" t="s">
        <v>839</v>
      </c>
      <c r="B75" s="750">
        <f>'lokale energieproductie'!B7</f>
        <v>0</v>
      </c>
      <c r="C75" s="1086"/>
      <c r="D75" s="1086"/>
      <c r="E75" s="1089"/>
      <c r="F75" s="1089"/>
      <c r="G75" s="1150"/>
      <c r="H75" s="1153"/>
      <c r="I75" s="1086"/>
      <c r="J75" s="1032"/>
      <c r="K75" s="1089"/>
      <c r="L75" s="1089"/>
      <c r="M75" s="1089"/>
      <c r="N75" s="1089"/>
      <c r="O75" s="1109"/>
      <c r="P75" s="852">
        <v>0</v>
      </c>
      <c r="Q75" s="1033"/>
      <c r="R75" s="852">
        <v>0</v>
      </c>
    </row>
    <row r="76" spans="1:18" ht="15">
      <c r="A76" s="752" t="s">
        <v>252</v>
      </c>
      <c r="B76" s="750">
        <f>'lokale energieproductie'!B8*IFERROR(SUM(I76:O76)/SUM(D76:O76),0)</f>
        <v>43.649999999999991</v>
      </c>
      <c r="C76" s="750">
        <f>'lokale energieproductie'!B8*IFERROR(SUM(D76:H76)/SUM(D76:O76),0)</f>
        <v>0</v>
      </c>
      <c r="D76" s="1034">
        <f>'lokale energieproductie'!C8</f>
        <v>0</v>
      </c>
      <c r="E76" s="1035">
        <f>'lokale energieproductie'!D8</f>
        <v>0</v>
      </c>
      <c r="F76" s="1035">
        <f>'lokale energieproductie'!E8</f>
        <v>0</v>
      </c>
      <c r="G76" s="1035">
        <f>'lokale energieproductie'!F8</f>
        <v>0</v>
      </c>
      <c r="H76" s="1035">
        <f>'lokale energieproductie'!G8</f>
        <v>0</v>
      </c>
      <c r="I76" s="1035">
        <f>'lokale energieproductie'!I8</f>
        <v>0</v>
      </c>
      <c r="J76" s="1035">
        <f>'lokale energieproductie'!J8</f>
        <v>51.35294117647058</v>
      </c>
      <c r="K76" s="1035">
        <f>'lokale energieproductie'!M8</f>
        <v>0</v>
      </c>
      <c r="L76" s="1035">
        <f>'lokale energieproductie'!N8</f>
        <v>0</v>
      </c>
      <c r="M76" s="1035">
        <f>'lokale energieproductie'!H8</f>
        <v>0</v>
      </c>
      <c r="N76" s="1035">
        <f>'lokale energieproductie'!K8</f>
        <v>0</v>
      </c>
      <c r="O76" s="1036">
        <f>'lokale energieproductie'!L8</f>
        <v>0</v>
      </c>
      <c r="P76" s="1037"/>
      <c r="Q76" s="853">
        <f>D76*EF_CO2_aardgas+E76*EF_VLgas_CO2+'SEAP template'!F76*EF_stookolie_CO2+EF_bruinkool_CO2*'SEAP template'!G76+'SEAP template'!H76*EF_steenkool_CO2+'EF brandstof'!M4*'SEAP template'!M76+'SEAP template'!O76*EF_anderfossiel_CO2</f>
        <v>0</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5">
        <f>'lokale energieproductie'!I9</f>
        <v>0</v>
      </c>
      <c r="J77" s="1035">
        <f>'lokale energieproductie'!J9</f>
        <v>0</v>
      </c>
      <c r="K77" s="1035">
        <f>'lokale energieproductie'!M9</f>
        <v>0</v>
      </c>
      <c r="L77" s="1035">
        <f>'lokale energieproductie'!N9</f>
        <v>0</v>
      </c>
      <c r="M77" s="1035">
        <f>'lokale energieproductie'!H9</f>
        <v>0</v>
      </c>
      <c r="N77" s="1035">
        <f>'lokale energieproductie'!K9</f>
        <v>0</v>
      </c>
      <c r="O77" s="1036">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7041.3952210617008</v>
      </c>
      <c r="C78" s="755">
        <f>SUM(C72:C77)</f>
        <v>0</v>
      </c>
      <c r="D78" s="756">
        <f t="shared" ref="D78:H78" si="10">SUM(D76:D77)</f>
        <v>0</v>
      </c>
      <c r="E78" s="756">
        <f t="shared" si="10"/>
        <v>0</v>
      </c>
      <c r="F78" s="756">
        <f t="shared" si="10"/>
        <v>0</v>
      </c>
      <c r="G78" s="756">
        <f t="shared" si="10"/>
        <v>0</v>
      </c>
      <c r="H78" s="756">
        <f t="shared" si="10"/>
        <v>0</v>
      </c>
      <c r="I78" s="756">
        <f>SUM(I76:I77)</f>
        <v>0</v>
      </c>
      <c r="J78" s="756">
        <f>SUM(J76:J77)</f>
        <v>51.35294117647058</v>
      </c>
      <c r="K78" s="756">
        <f t="shared" ref="K78:L78" si="11">SUM(K76:K77)</f>
        <v>0</v>
      </c>
      <c r="L78" s="756">
        <f t="shared" si="11"/>
        <v>0</v>
      </c>
      <c r="M78" s="756">
        <f>SUM(M76:M77)</f>
        <v>0</v>
      </c>
      <c r="N78" s="756">
        <f>SUM(N76:N77)</f>
        <v>0</v>
      </c>
      <c r="O78" s="860">
        <f>SUM(O76:O77)</f>
        <v>0</v>
      </c>
      <c r="P78" s="757">
        <v>0</v>
      </c>
      <c r="Q78" s="757">
        <f>SUM(Q76:Q77)</f>
        <v>0</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994"/>
      <c r="B80" s="994"/>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090"/>
      <c r="B82" s="1090"/>
      <c r="C82" s="1090"/>
      <c r="D82" s="1090"/>
      <c r="E82" s="1090"/>
      <c r="F82" s="1090"/>
      <c r="G82" s="1090"/>
      <c r="H82" s="1090"/>
      <c r="I82" s="1090"/>
      <c r="J82" s="1090"/>
      <c r="K82" s="1090"/>
      <c r="L82" s="1090"/>
      <c r="M82" s="1090"/>
      <c r="N82" s="1090"/>
      <c r="O82" s="1090"/>
      <c r="P82" s="1090"/>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091" t="s">
        <v>253</v>
      </c>
      <c r="B84" s="1094" t="s">
        <v>355</v>
      </c>
      <c r="C84" s="1142"/>
      <c r="D84" s="1145" t="s">
        <v>356</v>
      </c>
      <c r="E84" s="1146"/>
      <c r="F84" s="1146"/>
      <c r="G84" s="1146"/>
      <c r="H84" s="1146"/>
      <c r="I84" s="1146"/>
      <c r="J84" s="1146"/>
      <c r="K84" s="1146"/>
      <c r="L84" s="1146"/>
      <c r="M84" s="1146"/>
      <c r="N84" s="1146"/>
      <c r="O84" s="1147"/>
      <c r="P84" s="1025" t="s">
        <v>642</v>
      </c>
      <c r="Q84" s="1094" t="s">
        <v>641</v>
      </c>
      <c r="R84" s="1095"/>
    </row>
    <row r="85" spans="1:19" ht="16.5" customHeight="1" thickTop="1" thickBot="1">
      <c r="A85" s="1092"/>
      <c r="B85" s="1143"/>
      <c r="C85" s="1144"/>
      <c r="D85" s="1158" t="s">
        <v>197</v>
      </c>
      <c r="E85" s="1159"/>
      <c r="F85" s="1159"/>
      <c r="G85" s="1159"/>
      <c r="H85" s="1160"/>
      <c r="I85" s="1161" t="s">
        <v>246</v>
      </c>
      <c r="J85" s="1137" t="s">
        <v>234</v>
      </c>
      <c r="K85" s="1164" t="s">
        <v>209</v>
      </c>
      <c r="L85" s="1164" t="s">
        <v>210</v>
      </c>
      <c r="M85" s="1165" t="s">
        <v>245</v>
      </c>
      <c r="N85" s="1164" t="s">
        <v>257</v>
      </c>
      <c r="O85" s="1167" t="s">
        <v>127</v>
      </c>
      <c r="P85" s="1026"/>
      <c r="Q85" s="856"/>
      <c r="R85" s="857"/>
    </row>
    <row r="86" spans="1:19" ht="110.25" customHeight="1" thickTop="1" thickBot="1">
      <c r="A86" s="1093"/>
      <c r="B86" s="844" t="s">
        <v>640</v>
      </c>
      <c r="C86" s="844" t="s">
        <v>838</v>
      </c>
      <c r="D86" s="995" t="s">
        <v>199</v>
      </c>
      <c r="E86" s="996" t="s">
        <v>200</v>
      </c>
      <c r="F86" s="1004" t="s">
        <v>201</v>
      </c>
      <c r="G86" s="996" t="s">
        <v>203</v>
      </c>
      <c r="H86" s="764" t="s">
        <v>204</v>
      </c>
      <c r="I86" s="1162"/>
      <c r="J86" s="1163"/>
      <c r="K86" s="1138"/>
      <c r="L86" s="1138"/>
      <c r="M86" s="1166"/>
      <c r="N86" s="1138"/>
      <c r="O86" s="1168"/>
      <c r="P86" s="1030"/>
      <c r="Q86" s="995" t="s">
        <v>643</v>
      </c>
      <c r="R86" s="1001" t="s">
        <v>644</v>
      </c>
    </row>
    <row r="87" spans="1:19" ht="15.75" thickTop="1">
      <c r="A87" s="765" t="s">
        <v>252</v>
      </c>
      <c r="B87" s="766">
        <f>'lokale energieproductie'!B17*IFERROR(SUM(I87:O87)/SUM(D87:O87),0)</f>
        <v>62.357142857142847</v>
      </c>
      <c r="C87" s="766">
        <f>'lokale energieproductie'!B17*IFERROR(SUM(D87:H87)/SUM(D87:O87),0)</f>
        <v>0</v>
      </c>
      <c r="D87" s="777">
        <f>'lokale energieproductie'!C17</f>
        <v>0</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73.361344537815114</v>
      </c>
      <c r="K87" s="777">
        <f>'lokale energieproductie'!M17</f>
        <v>0</v>
      </c>
      <c r="L87" s="777">
        <f>'lokale energieproductie'!N17</f>
        <v>0</v>
      </c>
      <c r="M87" s="777">
        <f>'lokale energieproductie'!H17</f>
        <v>0</v>
      </c>
      <c r="N87" s="777">
        <f>'lokale energieproductie'!K17</f>
        <v>0</v>
      </c>
      <c r="O87" s="777">
        <f>'lokale energieproductie'!L17</f>
        <v>0</v>
      </c>
      <c r="P87" s="1155"/>
      <c r="Q87" s="859">
        <f>D87*EF_CO2_aardgas+E87*EF_VLgas_CO2+'SEAP template'!F87*EF_stookolie_CO2+EF_bruinkool_CO2*'SEAP template'!G87+'SEAP template'!H87*EF_steenkool_CO2+'EF brandstof'!M4*'SEAP template'!M87+'SEAP template'!O87*EF_anderfossiel_CO2</f>
        <v>0</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156"/>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157"/>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62.357142857142847</v>
      </c>
      <c r="C90" s="755">
        <f>SUM(C87:C89)</f>
        <v>0</v>
      </c>
      <c r="D90" s="755">
        <f t="shared" ref="D90:H90" si="12">SUM(D87:D89)</f>
        <v>0</v>
      </c>
      <c r="E90" s="755">
        <f t="shared" si="12"/>
        <v>0</v>
      </c>
      <c r="F90" s="755">
        <f t="shared" si="12"/>
        <v>0</v>
      </c>
      <c r="G90" s="755">
        <f t="shared" si="12"/>
        <v>0</v>
      </c>
      <c r="H90" s="755">
        <f t="shared" si="12"/>
        <v>0</v>
      </c>
      <c r="I90" s="755">
        <f>SUM(I87:I89)</f>
        <v>0</v>
      </c>
      <c r="J90" s="755">
        <f>SUM(J87:J89)</f>
        <v>73.361344537815114</v>
      </c>
      <c r="K90" s="755">
        <f t="shared" ref="K90:L90" si="13">SUM(K87:K89)</f>
        <v>0</v>
      </c>
      <c r="L90" s="755">
        <f t="shared" si="13"/>
        <v>0</v>
      </c>
      <c r="M90" s="755">
        <f>SUM(M87:M89)</f>
        <v>0</v>
      </c>
      <c r="N90" s="755">
        <f>SUM(N87:N89)</f>
        <v>0</v>
      </c>
      <c r="O90" s="755">
        <f>SUM(O87:O89)</f>
        <v>0</v>
      </c>
      <c r="P90" s="755">
        <v>0</v>
      </c>
      <c r="Q90" s="755">
        <f>SUM(Q87:Q89)</f>
        <v>0</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P87:P89"/>
    <mergeCell ref="Q84:R84"/>
    <mergeCell ref="D85:H85"/>
    <mergeCell ref="I85:I86"/>
    <mergeCell ref="J85:J86"/>
    <mergeCell ref="K85:K86"/>
    <mergeCell ref="L85:L86"/>
    <mergeCell ref="M85:M86"/>
    <mergeCell ref="N85:N86"/>
    <mergeCell ref="O85:O86"/>
    <mergeCell ref="A82:P82"/>
    <mergeCell ref="A84:A86"/>
    <mergeCell ref="B84:C85"/>
    <mergeCell ref="D84:O84"/>
    <mergeCell ref="G72:G75"/>
    <mergeCell ref="H72:H75"/>
    <mergeCell ref="I72:I75"/>
    <mergeCell ref="K72:K75"/>
    <mergeCell ref="L72:L75"/>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 ref="C8:Q8"/>
    <mergeCell ref="C17:Q17"/>
    <mergeCell ref="C23:Q23"/>
    <mergeCell ref="A31:C31"/>
    <mergeCell ref="A33:R33"/>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Normal="100"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5" t="s">
        <v>241</v>
      </c>
      <c r="B1" s="1235" t="s">
        <v>242</v>
      </c>
      <c r="C1" s="1253" t="s">
        <v>243</v>
      </c>
      <c r="D1" s="1254"/>
      <c r="E1" s="1254"/>
      <c r="F1" s="1254"/>
      <c r="G1" s="1254"/>
      <c r="H1" s="1254"/>
      <c r="I1" s="1254"/>
      <c r="J1" s="1254"/>
      <c r="K1" s="1254"/>
      <c r="L1" s="1254"/>
      <c r="M1" s="1254"/>
      <c r="N1" s="1255"/>
      <c r="O1" s="1232" t="s">
        <v>244</v>
      </c>
      <c r="P1" s="1235" t="s">
        <v>547</v>
      </c>
      <c r="Q1" s="1232"/>
      <c r="S1" s="1240"/>
      <c r="T1" s="1240"/>
      <c r="U1" s="1240"/>
    </row>
    <row r="2" spans="1:21" s="559" customFormat="1" ht="15.75" thickBot="1">
      <c r="A2" s="1246"/>
      <c r="B2" s="1246"/>
      <c r="C2" s="1248" t="s">
        <v>197</v>
      </c>
      <c r="D2" s="1249"/>
      <c r="E2" s="1249"/>
      <c r="F2" s="1249"/>
      <c r="G2" s="1250"/>
      <c r="H2" s="1251" t="s">
        <v>245</v>
      </c>
      <c r="I2" s="1243" t="s">
        <v>246</v>
      </c>
      <c r="J2" s="1243" t="s">
        <v>234</v>
      </c>
      <c r="K2" s="1243" t="s">
        <v>247</v>
      </c>
      <c r="L2" s="1243" t="s">
        <v>127</v>
      </c>
      <c r="M2" s="1243" t="s">
        <v>841</v>
      </c>
      <c r="N2" s="1256" t="s">
        <v>842</v>
      </c>
      <c r="O2" s="1233"/>
      <c r="P2" s="1236"/>
      <c r="Q2" s="1233"/>
      <c r="S2" s="1240"/>
      <c r="T2" s="1240"/>
      <c r="U2" s="1240"/>
    </row>
    <row r="3" spans="1:21" s="559" customFormat="1" ht="53.45" customHeight="1" thickBot="1">
      <c r="A3" s="1247"/>
      <c r="B3" s="1237"/>
      <c r="C3" s="560" t="s">
        <v>199</v>
      </c>
      <c r="D3" s="1006" t="s">
        <v>200</v>
      </c>
      <c r="E3" s="561" t="s">
        <v>201</v>
      </c>
      <c r="F3" s="562" t="s">
        <v>203</v>
      </c>
      <c r="G3" s="563" t="s">
        <v>204</v>
      </c>
      <c r="H3" s="1252"/>
      <c r="I3" s="1244"/>
      <c r="J3" s="1244"/>
      <c r="K3" s="1244"/>
      <c r="L3" s="1244"/>
      <c r="M3" s="1244"/>
      <c r="N3" s="1257"/>
      <c r="O3" s="1234"/>
      <c r="P3" s="1237"/>
      <c r="Q3" s="1234"/>
      <c r="S3" s="1240"/>
      <c r="T3" s="1240"/>
      <c r="U3" s="1240"/>
    </row>
    <row r="4" spans="1:21" s="559" customFormat="1" ht="15.75" thickTop="1">
      <c r="A4" s="564" t="s">
        <v>249</v>
      </c>
      <c r="B4" s="565">
        <f>IF(ISERROR(kWh_wind_land),0,kWh_wind_land)</f>
        <v>0</v>
      </c>
      <c r="C4" s="1258"/>
      <c r="D4" s="1261"/>
      <c r="E4" s="1261"/>
      <c r="F4" s="1264"/>
      <c r="G4" s="1267"/>
      <c r="H4" s="1270"/>
      <c r="I4" s="1261"/>
      <c r="J4" s="1261"/>
      <c r="K4" s="1261"/>
      <c r="L4" s="1261"/>
      <c r="M4" s="1261"/>
      <c r="N4" s="1041"/>
      <c r="O4" s="566"/>
      <c r="P4" s="1273"/>
      <c r="Q4" s="1274"/>
      <c r="S4" s="1007"/>
      <c r="T4" s="1275"/>
      <c r="U4" s="1275"/>
    </row>
    <row r="5" spans="1:21" s="559" customFormat="1">
      <c r="A5" s="567" t="s">
        <v>250</v>
      </c>
      <c r="B5" s="565">
        <f>IF(ISERROR(kWh_waterkracht),0,kWh_waterkracht)</f>
        <v>0</v>
      </c>
      <c r="C5" s="1259"/>
      <c r="D5" s="1262"/>
      <c r="E5" s="1262"/>
      <c r="F5" s="1265"/>
      <c r="G5" s="1268"/>
      <c r="H5" s="1271"/>
      <c r="I5" s="1262"/>
      <c r="J5" s="1262"/>
      <c r="K5" s="1262"/>
      <c r="L5" s="1262"/>
      <c r="M5" s="1262"/>
      <c r="N5" s="1041"/>
      <c r="O5" s="568"/>
      <c r="P5" s="1238"/>
      <c r="Q5" s="1239"/>
      <c r="S5" s="1007"/>
      <c r="T5" s="1275"/>
      <c r="U5" s="1275"/>
    </row>
    <row r="6" spans="1:21" s="559" customFormat="1">
      <c r="A6" s="567" t="s">
        <v>251</v>
      </c>
      <c r="B6" s="565">
        <f>IF(ISERROR((kWh_PV_kleiner_dan_10kW+kWh_PV_groter_dan_10kW)),0,(kWh_PV_kleiner_dan_10kW+kWh_PV_groter_dan_10kW))</f>
        <v>6997.7452210617012</v>
      </c>
      <c r="C6" s="1259"/>
      <c r="D6" s="1262"/>
      <c r="E6" s="1262"/>
      <c r="F6" s="1265"/>
      <c r="G6" s="1268"/>
      <c r="H6" s="1271"/>
      <c r="I6" s="1262"/>
      <c r="J6" s="1262"/>
      <c r="K6" s="1262"/>
      <c r="L6" s="1262"/>
      <c r="M6" s="1262"/>
      <c r="N6" s="1041"/>
      <c r="O6" s="568"/>
      <c r="P6" s="1238"/>
      <c r="Q6" s="1239"/>
      <c r="S6" s="1007"/>
      <c r="T6" s="1275"/>
      <c r="U6" s="1275"/>
    </row>
    <row r="7" spans="1:21" s="559" customFormat="1">
      <c r="A7" s="567" t="s">
        <v>839</v>
      </c>
      <c r="B7" s="565"/>
      <c r="C7" s="1260"/>
      <c r="D7" s="1263"/>
      <c r="E7" s="1263"/>
      <c r="F7" s="1266"/>
      <c r="G7" s="1269"/>
      <c r="H7" s="1272"/>
      <c r="I7" s="1263"/>
      <c r="J7" s="1263"/>
      <c r="K7" s="1263"/>
      <c r="L7" s="1263"/>
      <c r="M7" s="1263"/>
      <c r="N7" s="1042"/>
      <c r="O7" s="568"/>
      <c r="P7" s="1009"/>
      <c r="Q7" s="1010"/>
      <c r="S7" s="1007"/>
      <c r="T7" s="1007"/>
      <c r="U7" s="1007"/>
    </row>
    <row r="8" spans="1:21" s="559" customFormat="1">
      <c r="A8" s="569" t="s">
        <v>252</v>
      </c>
      <c r="B8" s="1043">
        <f>N58</f>
        <v>43.649999999999991</v>
      </c>
      <c r="C8" s="570">
        <f>B101</f>
        <v>0</v>
      </c>
      <c r="D8" s="1044"/>
      <c r="E8" s="1044">
        <f>E101</f>
        <v>0</v>
      </c>
      <c r="F8" s="1045"/>
      <c r="G8" s="571"/>
      <c r="H8" s="1044">
        <f>I101</f>
        <v>0</v>
      </c>
      <c r="I8" s="1044">
        <f>G101+F101</f>
        <v>0</v>
      </c>
      <c r="J8" s="1044">
        <f>H101+D101+C101</f>
        <v>51.35294117647058</v>
      </c>
      <c r="K8" s="1044"/>
      <c r="L8" s="1044"/>
      <c r="M8" s="1044"/>
      <c r="N8" s="572"/>
      <c r="O8" s="573">
        <f>C8*$C$12+D8*$D$12+E8*$E$12+F8*$F$12+G8*$G$12+H8*$H$12+I8*$I$12+J8*$J$12</f>
        <v>0</v>
      </c>
      <c r="P8" s="1238"/>
      <c r="Q8" s="1239"/>
      <c r="S8" s="1007"/>
      <c r="T8" s="1275"/>
      <c r="U8" s="1275"/>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6"/>
      <c r="O9" s="573">
        <f>C9*$C$12+D9*$D$12+E9*$E$12+F9*$F$12+G9*$G$12+H9*$H$12+I9*$I$12+J9*$J$12</f>
        <v>0</v>
      </c>
      <c r="P9" s="1241"/>
      <c r="Q9" s="1242"/>
      <c r="R9" s="580"/>
      <c r="S9" s="1007"/>
      <c r="T9" s="1275"/>
      <c r="U9" s="1275"/>
    </row>
    <row r="10" spans="1:21" s="559" customFormat="1" ht="16.5" thickTop="1" thickBot="1">
      <c r="A10" s="581" t="s">
        <v>116</v>
      </c>
      <c r="B10" s="582">
        <f>SUM(B4:B9)</f>
        <v>7041.3952210617008</v>
      </c>
      <c r="C10" s="583">
        <f t="shared" ref="C10:L10" si="0">SUM(C8:C9)</f>
        <v>0</v>
      </c>
      <c r="D10" s="583">
        <f t="shared" si="0"/>
        <v>0</v>
      </c>
      <c r="E10" s="583">
        <f t="shared" si="0"/>
        <v>0</v>
      </c>
      <c r="F10" s="583">
        <f t="shared" si="0"/>
        <v>0</v>
      </c>
      <c r="G10" s="583">
        <f t="shared" si="0"/>
        <v>0</v>
      </c>
      <c r="H10" s="583">
        <f t="shared" si="0"/>
        <v>0</v>
      </c>
      <c r="I10" s="583">
        <f t="shared" si="0"/>
        <v>0</v>
      </c>
      <c r="J10" s="583">
        <f t="shared" si="0"/>
        <v>51.35294117647058</v>
      </c>
      <c r="K10" s="583">
        <f t="shared" si="0"/>
        <v>0</v>
      </c>
      <c r="L10" s="583">
        <f t="shared" si="0"/>
        <v>0</v>
      </c>
      <c r="M10" s="1047"/>
      <c r="N10" s="1047"/>
      <c r="O10" s="584">
        <f>SUM(O4:O9)</f>
        <v>0</v>
      </c>
      <c r="P10" s="585"/>
      <c r="R10" s="1011"/>
      <c r="S10" s="1007"/>
      <c r="T10" s="1011"/>
      <c r="U10" s="1011"/>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8" t="s">
        <v>290</v>
      </c>
      <c r="B12" s="1049"/>
      <c r="C12" s="1049">
        <f>EF_CO2_aardgas</f>
        <v>0.20200000000000001</v>
      </c>
      <c r="D12" s="1049">
        <f>EF_VLgas_CO2</f>
        <v>0.22700000000000001</v>
      </c>
      <c r="E12" s="1049">
        <f>EF_stookolie_CO2</f>
        <v>0.26700000000000002</v>
      </c>
      <c r="F12" s="1049">
        <f>EF_bruinkool_CO2</f>
        <v>0.35099999999999998</v>
      </c>
      <c r="G12" s="1049">
        <f>EF_steenkool_CO2</f>
        <v>0.35399999999999998</v>
      </c>
      <c r="H12" s="1049">
        <f>'EF brandstof'!M4</f>
        <v>0.33</v>
      </c>
      <c r="I12" s="1049">
        <f>'EF brandstof'!J4</f>
        <v>0</v>
      </c>
      <c r="J12" s="1049">
        <f>'EF brandstof'!L4</f>
        <v>0</v>
      </c>
      <c r="K12" s="1049">
        <f>'EF brandstof'!L4</f>
        <v>0</v>
      </c>
      <c r="L12" s="1049"/>
      <c r="M12" s="1049"/>
      <c r="N12" s="1049"/>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5" t="s">
        <v>253</v>
      </c>
      <c r="B14" s="1245" t="s">
        <v>254</v>
      </c>
      <c r="C14" s="1276" t="s">
        <v>255</v>
      </c>
      <c r="D14" s="1277"/>
      <c r="E14" s="1277"/>
      <c r="F14" s="1277"/>
      <c r="G14" s="1277"/>
      <c r="H14" s="1277"/>
      <c r="I14" s="1277"/>
      <c r="J14" s="1277"/>
      <c r="K14" s="1277"/>
      <c r="L14" s="1277"/>
      <c r="M14" s="1277"/>
      <c r="N14" s="1278"/>
      <c r="O14" s="1232" t="s">
        <v>244</v>
      </c>
      <c r="P14" s="1235" t="s">
        <v>256</v>
      </c>
      <c r="Q14" s="1232"/>
      <c r="R14" s="1240"/>
      <c r="S14" s="1240"/>
      <c r="T14" s="1240"/>
    </row>
    <row r="15" spans="1:21" s="559" customFormat="1" ht="15.75" customHeight="1" thickBot="1">
      <c r="A15" s="1246"/>
      <c r="B15" s="1246"/>
      <c r="C15" s="1279" t="s">
        <v>197</v>
      </c>
      <c r="D15" s="1280"/>
      <c r="E15" s="1280"/>
      <c r="F15" s="1280"/>
      <c r="G15" s="1281"/>
      <c r="H15" s="1282" t="s">
        <v>245</v>
      </c>
      <c r="I15" s="1282" t="s">
        <v>246</v>
      </c>
      <c r="J15" s="1282" t="s">
        <v>234</v>
      </c>
      <c r="K15" s="1282" t="s">
        <v>257</v>
      </c>
      <c r="L15" s="1282" t="s">
        <v>127</v>
      </c>
      <c r="M15" s="1282" t="s">
        <v>841</v>
      </c>
      <c r="N15" s="1256" t="s">
        <v>842</v>
      </c>
      <c r="O15" s="1233"/>
      <c r="P15" s="1236"/>
      <c r="Q15" s="1233"/>
      <c r="R15" s="1240"/>
      <c r="S15" s="1240"/>
      <c r="T15" s="1240"/>
    </row>
    <row r="16" spans="1:21" s="559" customFormat="1" ht="40.700000000000003" customHeight="1" thickBot="1">
      <c r="A16" s="1247"/>
      <c r="B16" s="1247"/>
      <c r="C16" s="591" t="s">
        <v>199</v>
      </c>
      <c r="D16" s="1006" t="s">
        <v>200</v>
      </c>
      <c r="E16" s="1008" t="s">
        <v>201</v>
      </c>
      <c r="F16" s="1006" t="s">
        <v>203</v>
      </c>
      <c r="G16" s="592" t="s">
        <v>204</v>
      </c>
      <c r="H16" s="1252"/>
      <c r="I16" s="1252"/>
      <c r="J16" s="1252"/>
      <c r="K16" s="1252"/>
      <c r="L16" s="1252"/>
      <c r="M16" s="1252"/>
      <c r="N16" s="1257"/>
      <c r="O16" s="1234"/>
      <c r="P16" s="1237"/>
      <c r="Q16" s="1234"/>
      <c r="R16" s="1240"/>
      <c r="S16" s="1240"/>
      <c r="T16" s="1240"/>
    </row>
    <row r="17" spans="1:26" s="559" customFormat="1" ht="15.75" thickTop="1">
      <c r="A17" s="593" t="s">
        <v>252</v>
      </c>
      <c r="B17" s="594">
        <f>O58</f>
        <v>62.357142857142847</v>
      </c>
      <c r="C17" s="595">
        <f>B102</f>
        <v>0</v>
      </c>
      <c r="D17" s="596"/>
      <c r="E17" s="596">
        <f>E102</f>
        <v>0</v>
      </c>
      <c r="F17" s="1050"/>
      <c r="G17" s="597"/>
      <c r="H17" s="595">
        <f>I102</f>
        <v>0</v>
      </c>
      <c r="I17" s="596">
        <f>G102+F102</f>
        <v>0</v>
      </c>
      <c r="J17" s="596">
        <f>H102+D102+C102</f>
        <v>73.361344537815114</v>
      </c>
      <c r="K17" s="596"/>
      <c r="L17" s="596"/>
      <c r="M17" s="596"/>
      <c r="N17" s="1051"/>
      <c r="O17" s="598">
        <f>C17*$C$22+E17*$E$22+H17*$H$22+I17*$I$22+J17*$J$22+D17*$D$22+F17*$F$22+G17*$G$22+K17*$K$22+L17*$L$22</f>
        <v>0</v>
      </c>
      <c r="P17" s="1291"/>
      <c r="Q17" s="1292"/>
      <c r="R17" s="1012"/>
      <c r="S17" s="1286"/>
      <c r="T17" s="1286"/>
    </row>
    <row r="18" spans="1:26" s="559" customFormat="1">
      <c r="A18" s="599" t="s">
        <v>258</v>
      </c>
      <c r="B18" s="600">
        <f>'Eigen informatie GS &amp; warmtenet'!B32</f>
        <v>0</v>
      </c>
      <c r="C18" s="1044">
        <f>'Eigen informatie GS &amp; warmtenet'!B35</f>
        <v>0</v>
      </c>
      <c r="D18" s="1044">
        <f>'Eigen informatie GS &amp; warmtenet'!B36</f>
        <v>0</v>
      </c>
      <c r="E18" s="1044">
        <f>'Eigen informatie GS &amp; warmtenet'!B37</f>
        <v>0</v>
      </c>
      <c r="F18" s="1044">
        <f>'Eigen informatie GS &amp; warmtenet'!B38</f>
        <v>0</v>
      </c>
      <c r="G18" s="1044">
        <f>'Eigen informatie GS &amp; warmtenet'!B39</f>
        <v>0</v>
      </c>
      <c r="H18" s="1044">
        <f>'Eigen informatie GS &amp; warmtenet'!B40</f>
        <v>0</v>
      </c>
      <c r="I18" s="1044">
        <f>'Eigen informatie GS &amp; warmtenet'!B41</f>
        <v>0</v>
      </c>
      <c r="J18" s="1044">
        <f>'Eigen informatie GS &amp; warmtenet'!B42</f>
        <v>0</v>
      </c>
      <c r="K18" s="1044">
        <f>'Eigen informatie GS &amp; warmtenet'!B43</f>
        <v>0</v>
      </c>
      <c r="L18" s="1044">
        <f>'Eigen informatie GS &amp; warmtenet'!B44</f>
        <v>0</v>
      </c>
      <c r="M18" s="1044">
        <f>'Eigen informatie GS &amp; warmtenet'!B45</f>
        <v>0</v>
      </c>
      <c r="N18" s="1044">
        <f>'Eigen informatie GS &amp; warmtenet'!B46</f>
        <v>0</v>
      </c>
      <c r="O18" s="598">
        <f>C18*$C$22+E18*$E$22+H18*$H$22+I18*$I$22+J18*$J$22+D18*$D$22+F18*$F$22+G18*$G$22+K18*$K$22+L18*$L$22</f>
        <v>0</v>
      </c>
      <c r="P18" s="1287"/>
      <c r="Q18" s="1288"/>
      <c r="R18" s="1007"/>
      <c r="S18" s="1275"/>
      <c r="T18" s="1275"/>
    </row>
    <row r="19" spans="1:26" s="559" customFormat="1" ht="15.75" thickBot="1">
      <c r="A19" s="574" t="s">
        <v>248</v>
      </c>
      <c r="B19" s="600">
        <f>'Eigen informatie GS &amp; warmtenet'!B11</f>
        <v>0</v>
      </c>
      <c r="C19" s="1052">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2">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2">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2">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2">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2">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2">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2">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2">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4"/>
      <c r="N19" s="1053"/>
      <c r="O19" s="598">
        <f>C19*$C$22+E19*$E$22+H19*$H$22+I19*$I$22+J19*$J$22+D19*$D$22+F19*$F$22+G19*$G$22+K19*$K$22+L19*$L$22</f>
        <v>0</v>
      </c>
      <c r="P19" s="1289"/>
      <c r="Q19" s="1290"/>
      <c r="R19" s="1007"/>
      <c r="S19" s="1275"/>
      <c r="T19" s="1275"/>
    </row>
    <row r="20" spans="1:26" s="559" customFormat="1" ht="16.5" thickTop="1" thickBot="1">
      <c r="A20" s="581" t="s">
        <v>116</v>
      </c>
      <c r="B20" s="582">
        <f>SUM(B17:B19)</f>
        <v>62.357142857142847</v>
      </c>
      <c r="C20" s="582">
        <f>SUM(C17:C19)</f>
        <v>0</v>
      </c>
      <c r="D20" s="582">
        <f t="shared" ref="D20:L20" si="1">SUM(D17:D19)</f>
        <v>0</v>
      </c>
      <c r="E20" s="582">
        <f t="shared" si="1"/>
        <v>0</v>
      </c>
      <c r="F20" s="582">
        <f t="shared" si="1"/>
        <v>0</v>
      </c>
      <c r="G20" s="582">
        <f t="shared" si="1"/>
        <v>0</v>
      </c>
      <c r="H20" s="582">
        <f t="shared" si="1"/>
        <v>0</v>
      </c>
      <c r="I20" s="582">
        <f t="shared" si="1"/>
        <v>0</v>
      </c>
      <c r="J20" s="582">
        <f t="shared" si="1"/>
        <v>73.361344537815114</v>
      </c>
      <c r="K20" s="582">
        <f t="shared" si="1"/>
        <v>0</v>
      </c>
      <c r="L20" s="582">
        <f t="shared" si="1"/>
        <v>0</v>
      </c>
      <c r="M20" s="582"/>
      <c r="N20" s="582"/>
      <c r="O20" s="601">
        <f>SUM(O17:O19)</f>
        <v>0</v>
      </c>
      <c r="P20" s="1283"/>
      <c r="Q20" s="1284"/>
      <c r="R20" s="1007"/>
      <c r="S20" s="1285"/>
      <c r="T20" s="1285"/>
    </row>
    <row r="21" spans="1:26" s="559" customFormat="1" ht="15.75" thickTop="1">
      <c r="A21" s="1012"/>
      <c r="B21" s="1007"/>
      <c r="C21" s="1007"/>
      <c r="D21" s="1007"/>
      <c r="E21" s="1007"/>
      <c r="F21" s="1007"/>
      <c r="G21" s="1007"/>
      <c r="H21" s="1007"/>
      <c r="I21" s="1007"/>
      <c r="J21" s="1007"/>
      <c r="K21" s="1007"/>
      <c r="L21" s="1007"/>
      <c r="M21" s="1007"/>
      <c r="N21" s="1007"/>
      <c r="O21" s="1007"/>
      <c r="P21" s="1011"/>
      <c r="Q21" s="1011"/>
      <c r="R21" s="1007"/>
      <c r="S21" s="1011"/>
      <c r="T21" s="1011"/>
    </row>
    <row r="22" spans="1:26" s="588" customFormat="1">
      <c r="A22" s="1048" t="s">
        <v>290</v>
      </c>
      <c r="B22" s="1049"/>
      <c r="C22" s="1049">
        <f>EF_CO2_aardgas</f>
        <v>0.20200000000000001</v>
      </c>
      <c r="D22" s="1049">
        <f>EF_VLgas_CO2</f>
        <v>0.22700000000000001</v>
      </c>
      <c r="E22" s="1049">
        <f>EF_stookolie_CO2</f>
        <v>0.26700000000000002</v>
      </c>
      <c r="F22" s="1049">
        <f>EF_bruinkool_CO2</f>
        <v>0.35099999999999998</v>
      </c>
      <c r="G22" s="1049">
        <f>EF_steenkool_CO2</f>
        <v>0.35399999999999998</v>
      </c>
      <c r="H22" s="1049">
        <f>'EF brandstof'!M4</f>
        <v>0.33</v>
      </c>
      <c r="I22" s="1049">
        <f>'EF brandstof'!J4</f>
        <v>0</v>
      </c>
      <c r="J22" s="1049">
        <f>'EF brandstof'!L4</f>
        <v>0</v>
      </c>
      <c r="K22" s="1049">
        <f>'EF brandstof'!L4</f>
        <v>0</v>
      </c>
      <c r="L22" s="1049"/>
      <c r="M22" s="1049"/>
      <c r="N22" s="1049"/>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534</v>
      </c>
      <c r="Q27" s="650" t="s">
        <v>103</v>
      </c>
      <c r="R27" s="650" t="s">
        <v>104</v>
      </c>
      <c r="S27" s="650" t="s">
        <v>105</v>
      </c>
      <c r="T27" s="650" t="s">
        <v>106</v>
      </c>
      <c r="U27" s="650" t="s">
        <v>107</v>
      </c>
      <c r="V27" s="650" t="s">
        <v>108</v>
      </c>
      <c r="W27" s="649" t="s">
        <v>109</v>
      </c>
      <c r="X27" s="649" t="s">
        <v>299</v>
      </c>
      <c r="Y27" s="649" t="s">
        <v>110</v>
      </c>
      <c r="Z27" s="651" t="s">
        <v>300</v>
      </c>
    </row>
    <row r="28" spans="1:26" s="606" customFormat="1" ht="25.5">
      <c r="A28" s="605"/>
      <c r="B28" s="796">
        <v>72040</v>
      </c>
      <c r="C28" s="796">
        <v>3670</v>
      </c>
      <c r="D28" s="653" t="s">
        <v>881</v>
      </c>
      <c r="E28" s="652" t="s">
        <v>882</v>
      </c>
      <c r="F28" s="652" t="s">
        <v>883</v>
      </c>
      <c r="G28" s="652" t="s">
        <v>884</v>
      </c>
      <c r="H28" s="652" t="s">
        <v>885</v>
      </c>
      <c r="I28" s="652" t="s">
        <v>886</v>
      </c>
      <c r="J28" s="795">
        <v>41282</v>
      </c>
      <c r="K28" s="795">
        <v>41282</v>
      </c>
      <c r="L28" s="652" t="s">
        <v>887</v>
      </c>
      <c r="M28" s="652">
        <v>9.6999999999999993</v>
      </c>
      <c r="N28" s="652">
        <v>43.649999999999991</v>
      </c>
      <c r="O28" s="652">
        <v>62.357142857142847</v>
      </c>
      <c r="P28" s="652">
        <v>0</v>
      </c>
      <c r="Q28" s="652">
        <v>124.71428571428569</v>
      </c>
      <c r="R28" s="652">
        <v>0</v>
      </c>
      <c r="S28" s="652">
        <v>0</v>
      </c>
      <c r="T28" s="652">
        <v>0</v>
      </c>
      <c r="U28" s="652">
        <v>0</v>
      </c>
      <c r="V28" s="652">
        <v>0</v>
      </c>
      <c r="W28" s="652">
        <v>0</v>
      </c>
      <c r="X28" s="652">
        <v>10</v>
      </c>
      <c r="Y28" s="652" t="s">
        <v>112</v>
      </c>
      <c r="Z28" s="654" t="s">
        <v>112</v>
      </c>
    </row>
    <row r="29" spans="1:26" s="606" customFormat="1" ht="12.75">
      <c r="A29" s="605"/>
      <c r="B29" s="796"/>
      <c r="C29" s="796"/>
      <c r="D29" s="653"/>
      <c r="E29" s="652"/>
      <c r="F29" s="652"/>
      <c r="G29" s="652"/>
      <c r="H29" s="652"/>
      <c r="I29" s="652"/>
      <c r="J29" s="795"/>
      <c r="K29" s="795"/>
      <c r="L29" s="652"/>
      <c r="M29" s="652"/>
      <c r="N29" s="652"/>
      <c r="O29" s="652"/>
      <c r="P29" s="652"/>
      <c r="Q29" s="652"/>
      <c r="R29" s="652"/>
      <c r="S29" s="652"/>
      <c r="T29" s="652"/>
      <c r="U29" s="652"/>
      <c r="V29" s="652"/>
      <c r="W29" s="652"/>
      <c r="X29" s="652"/>
      <c r="Y29" s="652"/>
      <c r="Z29" s="654"/>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9.6999999999999993</v>
      </c>
      <c r="N58" s="610">
        <f>SUM(N28:N57)</f>
        <v>43.649999999999991</v>
      </c>
      <c r="O58" s="610">
        <f t="shared" ref="O58:W58" si="2">SUM(O28:O57)</f>
        <v>62.357142857142847</v>
      </c>
      <c r="P58" s="610">
        <f t="shared" si="2"/>
        <v>0</v>
      </c>
      <c r="Q58" s="610">
        <f t="shared" si="2"/>
        <v>124.71428571428569</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0</v>
      </c>
      <c r="N60" s="610">
        <f ca="1">SUMIF($Z$28:AD57,"tertiair",N28:N57)</f>
        <v>0</v>
      </c>
      <c r="O60" s="610">
        <f ca="1">SUMIF($Z$28:AE57,"tertiair",O28:O57)</f>
        <v>0</v>
      </c>
      <c r="P60" s="610">
        <f ca="1">SUMIF($Z$28:AF57,"tertiair",P28:P57)</f>
        <v>0</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9.6999999999999993</v>
      </c>
      <c r="N61" s="615">
        <f t="shared" si="4"/>
        <v>43.649999999999991</v>
      </c>
      <c r="O61" s="615">
        <f t="shared" si="4"/>
        <v>62.357142857142847</v>
      </c>
      <c r="P61" s="615">
        <f t="shared" si="4"/>
        <v>0</v>
      </c>
      <c r="Q61" s="615">
        <f t="shared" si="4"/>
        <v>124.71428571428569</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534</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0.58823529411764708</v>
      </c>
      <c r="C98" s="635">
        <f>IF(ISERROR(N58/(O58+N58)),0,N58/(N58+O58))</f>
        <v>0.41176470588235292</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534</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0</v>
      </c>
      <c r="C101" s="644">
        <f t="shared" si="9"/>
        <v>51.35294117647058</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0</v>
      </c>
      <c r="C102" s="647">
        <f t="shared" si="10"/>
        <v>73.361344537815114</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L2:L3"/>
    <mergeCell ref="A1:A3"/>
    <mergeCell ref="B1:B3"/>
    <mergeCell ref="C2:G2"/>
    <mergeCell ref="H2:H3"/>
    <mergeCell ref="I2:I3"/>
    <mergeCell ref="J2:J3"/>
    <mergeCell ref="K2:K3"/>
    <mergeCell ref="C1:N1"/>
    <mergeCell ref="O1:O3"/>
    <mergeCell ref="P1:Q3"/>
    <mergeCell ref="P5:Q5"/>
    <mergeCell ref="S1:S3"/>
    <mergeCell ref="P9:Q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769</v>
      </c>
      <c r="B2" s="934" t="s">
        <v>750</v>
      </c>
      <c r="C2" s="373" t="s">
        <v>193</v>
      </c>
      <c r="D2" s="373" t="s">
        <v>699</v>
      </c>
      <c r="E2" s="374"/>
      <c r="F2" s="899" t="s">
        <v>704</v>
      </c>
      <c r="G2" s="899" t="s">
        <v>703</v>
      </c>
      <c r="H2" s="899" t="s">
        <v>705</v>
      </c>
    </row>
    <row r="3" spans="1:8" s="11" customFormat="1">
      <c r="A3" s="373" t="s">
        <v>706</v>
      </c>
      <c r="B3" s="934" t="s">
        <v>709</v>
      </c>
      <c r="C3" s="373" t="s">
        <v>708</v>
      </c>
      <c r="D3" s="373" t="s">
        <v>710</v>
      </c>
      <c r="E3" s="374"/>
      <c r="F3" s="371" t="s">
        <v>713</v>
      </c>
      <c r="G3" s="371" t="s">
        <v>721</v>
      </c>
      <c r="H3" s="372" t="s">
        <v>722</v>
      </c>
    </row>
    <row r="4" spans="1:8" s="11" customFormat="1">
      <c r="A4" s="373" t="s">
        <v>679</v>
      </c>
      <c r="B4" s="934" t="s">
        <v>680</v>
      </c>
      <c r="C4" s="373" t="s">
        <v>193</v>
      </c>
      <c r="D4" s="935" t="s">
        <v>707</v>
      </c>
      <c r="E4" s="374"/>
      <c r="F4" s="899" t="s">
        <v>704</v>
      </c>
      <c r="G4" s="899" t="s">
        <v>703</v>
      </c>
      <c r="H4" s="899" t="s">
        <v>705</v>
      </c>
    </row>
    <row r="5" spans="1:8" s="11" customFormat="1">
      <c r="A5" s="373" t="s">
        <v>405</v>
      </c>
      <c r="B5" s="800" t="s">
        <v>757</v>
      </c>
      <c r="C5" s="373" t="s">
        <v>405</v>
      </c>
      <c r="D5" s="373" t="s">
        <v>716</v>
      </c>
      <c r="E5" s="374"/>
      <c r="F5" s="899" t="s">
        <v>700</v>
      </c>
      <c r="G5" s="899" t="s">
        <v>701</v>
      </c>
      <c r="H5" s="899" t="s">
        <v>702</v>
      </c>
    </row>
    <row r="6" spans="1:8">
      <c r="A6" s="368" t="s">
        <v>399</v>
      </c>
      <c r="B6" s="895" t="s">
        <v>738</v>
      </c>
      <c r="C6" s="368" t="s">
        <v>399</v>
      </c>
      <c r="D6" s="368" t="s">
        <v>717</v>
      </c>
      <c r="E6" s="370"/>
      <c r="F6" s="371" t="s">
        <v>400</v>
      </c>
      <c r="G6" s="371" t="s">
        <v>401</v>
      </c>
      <c r="H6" s="372" t="s">
        <v>402</v>
      </c>
    </row>
    <row r="7" spans="1:8">
      <c r="A7" s="368" t="s">
        <v>403</v>
      </c>
      <c r="B7" s="895" t="s">
        <v>771</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888" customFormat="1">
      <c r="A9" s="373" t="s">
        <v>711</v>
      </c>
      <c r="B9" s="800">
        <v>2016</v>
      </c>
      <c r="C9" s="373" t="s">
        <v>405</v>
      </c>
      <c r="D9" s="373" t="s">
        <v>719</v>
      </c>
      <c r="E9" s="370" t="s">
        <v>712</v>
      </c>
      <c r="F9" s="371"/>
      <c r="G9" s="371"/>
      <c r="H9" s="372"/>
    </row>
    <row r="10" spans="1:8" s="888" customFormat="1">
      <c r="A10" s="373" t="s">
        <v>725</v>
      </c>
      <c r="B10" s="800">
        <v>2017</v>
      </c>
      <c r="C10" s="373" t="s">
        <v>727</v>
      </c>
      <c r="D10" s="373" t="s">
        <v>726</v>
      </c>
      <c r="E10" s="375" t="s">
        <v>724</v>
      </c>
      <c r="F10" s="371"/>
      <c r="G10" s="371"/>
      <c r="H10" s="372"/>
    </row>
    <row r="11" spans="1:8" s="11" customFormat="1">
      <c r="A11" s="373" t="s">
        <v>627</v>
      </c>
      <c r="B11" s="934" t="s">
        <v>755</v>
      </c>
      <c r="C11" s="373" t="s">
        <v>628</v>
      </c>
      <c r="D11" s="373" t="s">
        <v>629</v>
      </c>
      <c r="E11" s="374"/>
      <c r="F11" s="899" t="s">
        <v>688</v>
      </c>
      <c r="G11" s="899" t="s">
        <v>689</v>
      </c>
      <c r="H11" s="372" t="s">
        <v>690</v>
      </c>
    </row>
    <row r="12" spans="1:8">
      <c r="A12" s="368" t="s">
        <v>693</v>
      </c>
      <c r="B12" s="895" t="s">
        <v>770</v>
      </c>
      <c r="C12" s="368" t="s">
        <v>694</v>
      </c>
      <c r="D12" s="368" t="s">
        <v>720</v>
      </c>
      <c r="E12" s="698"/>
      <c r="F12" s="371" t="s">
        <v>697</v>
      </c>
      <c r="G12" s="371" t="s">
        <v>695</v>
      </c>
      <c r="H12" s="372" t="s">
        <v>696</v>
      </c>
    </row>
    <row r="13" spans="1:8" s="888" customFormat="1">
      <c r="A13" s="373" t="s">
        <v>715</v>
      </c>
      <c r="B13" s="800">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788</v>
      </c>
      <c r="H15" s="371" t="s">
        <v>398</v>
      </c>
    </row>
    <row r="16" spans="1:8">
      <c r="A16" s="368" t="s">
        <v>406</v>
      </c>
      <c r="B16" s="895" t="s">
        <v>698</v>
      </c>
      <c r="C16" s="368" t="s">
        <v>406</v>
      </c>
      <c r="D16" s="368" t="s">
        <v>420</v>
      </c>
      <c r="E16" s="370"/>
      <c r="F16" s="371" t="s">
        <v>778</v>
      </c>
      <c r="G16" s="905" t="s">
        <v>787</v>
      </c>
      <c r="H16" s="905" t="s">
        <v>786</v>
      </c>
    </row>
    <row r="17" spans="1:8" s="896" customFormat="1">
      <c r="A17" s="901" t="s">
        <v>506</v>
      </c>
      <c r="B17" s="902" t="s">
        <v>380</v>
      </c>
      <c r="C17" s="901" t="s">
        <v>378</v>
      </c>
      <c r="D17" s="903" t="s">
        <v>379</v>
      </c>
      <c r="E17" s="904" t="s">
        <v>381</v>
      </c>
      <c r="F17" s="371" t="s">
        <v>683</v>
      </c>
      <c r="G17" s="905" t="s">
        <v>691</v>
      </c>
      <c r="H17" s="372" t="s">
        <v>692</v>
      </c>
    </row>
    <row r="18" spans="1:8" s="896" customFormat="1">
      <c r="A18" s="901" t="s">
        <v>506</v>
      </c>
      <c r="B18" s="902" t="s">
        <v>771</v>
      </c>
      <c r="C18" s="901" t="s">
        <v>772</v>
      </c>
      <c r="D18" s="903" t="s">
        <v>773</v>
      </c>
      <c r="E18" s="904"/>
      <c r="F18" s="371" t="s">
        <v>683</v>
      </c>
      <c r="G18" s="905" t="s">
        <v>691</v>
      </c>
      <c r="H18" s="372" t="s">
        <v>692</v>
      </c>
    </row>
    <row r="19" spans="1:8" s="11" customFormat="1">
      <c r="A19" s="373" t="s">
        <v>505</v>
      </c>
      <c r="B19" s="902" t="s">
        <v>750</v>
      </c>
      <c r="C19" s="373" t="s">
        <v>423</v>
      </c>
      <c r="D19" s="373" t="s">
        <v>749</v>
      </c>
      <c r="E19" s="374" t="s">
        <v>684</v>
      </c>
      <c r="F19" s="371" t="s">
        <v>683</v>
      </c>
      <c r="G19" s="905" t="s">
        <v>691</v>
      </c>
      <c r="H19" s="372" t="s">
        <v>692</v>
      </c>
    </row>
    <row r="20" spans="1:8">
      <c r="A20" s="373" t="s">
        <v>193</v>
      </c>
      <c r="B20" s="800" t="s">
        <v>738</v>
      </c>
      <c r="C20" s="373" t="s">
        <v>424</v>
      </c>
      <c r="D20" s="373" t="s">
        <v>682</v>
      </c>
      <c r="E20" s="370"/>
      <c r="F20" s="371" t="s">
        <v>425</v>
      </c>
      <c r="G20" s="371" t="s">
        <v>426</v>
      </c>
      <c r="H20" s="372" t="s">
        <v>427</v>
      </c>
    </row>
    <row r="21" spans="1:8" s="888" customFormat="1">
      <c r="A21" s="373" t="s">
        <v>406</v>
      </c>
      <c r="B21" s="800" t="s">
        <v>755</v>
      </c>
      <c r="C21" s="373" t="s">
        <v>406</v>
      </c>
      <c r="D21" s="373" t="s">
        <v>774</v>
      </c>
      <c r="E21" s="370"/>
      <c r="F21" s="371" t="s">
        <v>776</v>
      </c>
      <c r="G21" s="899" t="s">
        <v>785</v>
      </c>
      <c r="H21" s="900" t="s">
        <v>784</v>
      </c>
    </row>
    <row r="22" spans="1:8" s="888" customFormat="1">
      <c r="A22" s="373" t="s">
        <v>406</v>
      </c>
      <c r="B22" s="800" t="s">
        <v>771</v>
      </c>
      <c r="C22" s="373" t="s">
        <v>406</v>
      </c>
      <c r="D22" s="373" t="s">
        <v>775</v>
      </c>
      <c r="E22" s="370"/>
      <c r="F22" s="371" t="s">
        <v>777</v>
      </c>
      <c r="G22" s="899" t="s">
        <v>780</v>
      </c>
      <c r="H22" s="899" t="s">
        <v>779</v>
      </c>
    </row>
    <row r="23" spans="1:8" s="11" customFormat="1">
      <c r="A23" s="373" t="s">
        <v>406</v>
      </c>
      <c r="B23" s="934" t="s">
        <v>756</v>
      </c>
      <c r="C23" s="373" t="s">
        <v>406</v>
      </c>
      <c r="D23" s="373" t="s">
        <v>653</v>
      </c>
      <c r="E23" s="374"/>
      <c r="F23" s="899" t="s">
        <v>783</v>
      </c>
      <c r="G23" s="899" t="s">
        <v>782</v>
      </c>
      <c r="H23" s="899" t="s">
        <v>781</v>
      </c>
    </row>
    <row r="24" spans="1:8" s="11" customFormat="1">
      <c r="A24" s="373" t="s">
        <v>406</v>
      </c>
      <c r="B24" s="934" t="s">
        <v>756</v>
      </c>
      <c r="C24" s="373" t="s">
        <v>406</v>
      </c>
      <c r="D24" s="935" t="s">
        <v>632</v>
      </c>
      <c r="E24" s="374"/>
      <c r="F24" s="899" t="s">
        <v>783</v>
      </c>
      <c r="G24" s="899" t="s">
        <v>782</v>
      </c>
      <c r="H24" s="900" t="s">
        <v>781</v>
      </c>
    </row>
    <row r="27" spans="1:8">
      <c r="F27" s="888"/>
    </row>
    <row r="28" spans="1:8">
      <c r="G28" s="88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4" sqref="C14:D1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6" t="s">
        <v>617</v>
      </c>
      <c r="B1" s="906" t="s">
        <v>618</v>
      </c>
      <c r="C1" s="906" t="s">
        <v>620</v>
      </c>
      <c r="D1" s="906" t="s">
        <v>619</v>
      </c>
    </row>
    <row r="2" spans="1:4" s="889" customFormat="1">
      <c r="A2" s="889" t="s">
        <v>729</v>
      </c>
      <c r="B2" s="917">
        <v>43172</v>
      </c>
      <c r="C2" s="889" t="s">
        <v>741</v>
      </c>
      <c r="D2" s="918" t="s">
        <v>740</v>
      </c>
    </row>
    <row r="3" spans="1:4" s="889" customFormat="1">
      <c r="A3" s="889" t="s">
        <v>729</v>
      </c>
      <c r="B3" s="917">
        <v>43172</v>
      </c>
      <c r="C3" s="889" t="s">
        <v>742</v>
      </c>
      <c r="D3" s="918" t="s">
        <v>743</v>
      </c>
    </row>
    <row r="4" spans="1:4" s="889" customFormat="1">
      <c r="A4" s="889" t="s">
        <v>729</v>
      </c>
      <c r="B4" s="917">
        <v>43278</v>
      </c>
      <c r="C4" s="889" t="s">
        <v>752</v>
      </c>
      <c r="D4" s="918"/>
    </row>
    <row r="5" spans="1:4" s="889" customFormat="1">
      <c r="A5" s="889" t="s">
        <v>729</v>
      </c>
      <c r="B5" s="917">
        <v>42525</v>
      </c>
      <c r="C5" s="889" t="s">
        <v>753</v>
      </c>
      <c r="D5" s="931"/>
    </row>
    <row r="6" spans="1:4" s="889" customFormat="1">
      <c r="A6" s="889" t="s">
        <v>729</v>
      </c>
      <c r="B6" s="937">
        <v>43266</v>
      </c>
      <c r="C6" s="888" t="s">
        <v>765</v>
      </c>
      <c r="D6" s="938" t="s">
        <v>761</v>
      </c>
    </row>
    <row r="7" spans="1:4" s="889" customFormat="1">
      <c r="A7" s="889" t="s">
        <v>729</v>
      </c>
      <c r="B7" s="937">
        <v>43266</v>
      </c>
      <c r="C7" s="888" t="s">
        <v>766</v>
      </c>
      <c r="D7" s="938" t="s">
        <v>762</v>
      </c>
    </row>
    <row r="8" spans="1:4" s="889" customFormat="1">
      <c r="A8" s="889" t="s">
        <v>729</v>
      </c>
      <c r="B8" s="937">
        <v>43266</v>
      </c>
      <c r="C8" s="888" t="s">
        <v>767</v>
      </c>
      <c r="D8" s="938" t="s">
        <v>763</v>
      </c>
    </row>
    <row r="9" spans="1:4" s="7" customFormat="1">
      <c r="A9" s="889" t="s">
        <v>729</v>
      </c>
      <c r="B9" s="937">
        <v>43266</v>
      </c>
      <c r="C9" s="888" t="s">
        <v>768</v>
      </c>
      <c r="D9" s="938" t="s">
        <v>764</v>
      </c>
    </row>
    <row r="10" spans="1:4" s="7" customFormat="1">
      <c r="A10" s="889" t="s">
        <v>729</v>
      </c>
      <c r="B10" s="917">
        <v>43278</v>
      </c>
      <c r="C10" s="917" t="s">
        <v>789</v>
      </c>
      <c r="D10" s="938"/>
    </row>
    <row r="11" spans="1:4" s="7" customFormat="1">
      <c r="A11" s="889" t="s">
        <v>797</v>
      </c>
      <c r="B11" s="917">
        <v>43347</v>
      </c>
      <c r="C11" s="917" t="s">
        <v>798</v>
      </c>
      <c r="D11" s="941"/>
    </row>
    <row r="12" spans="1:4" s="7" customFormat="1">
      <c r="A12" s="889" t="s">
        <v>843</v>
      </c>
      <c r="B12" s="917">
        <v>43573</v>
      </c>
      <c r="C12" s="917" t="s">
        <v>844</v>
      </c>
      <c r="D12" s="941"/>
    </row>
    <row r="13" spans="1:4" s="7" customFormat="1">
      <c r="A13" s="889" t="s">
        <v>843</v>
      </c>
      <c r="B13" s="917">
        <v>43599</v>
      </c>
      <c r="C13" s="917" t="s">
        <v>846</v>
      </c>
      <c r="D13" s="941" t="s">
        <v>847</v>
      </c>
    </row>
    <row r="14" spans="1:4" s="7" customFormat="1">
      <c r="A14" s="889" t="s">
        <v>869</v>
      </c>
      <c r="B14" s="917">
        <v>43678</v>
      </c>
      <c r="C14" s="917" t="s">
        <v>870</v>
      </c>
      <c r="D14" s="941" t="s">
        <v>871</v>
      </c>
    </row>
    <row r="15" spans="1:4" s="7" customFormat="1">
      <c r="A15" s="889"/>
      <c r="B15" s="917"/>
      <c r="C15" s="917"/>
      <c r="D15" s="938"/>
    </row>
    <row r="16" spans="1:4" s="7" customFormat="1">
      <c r="A16" s="889"/>
      <c r="B16" s="917"/>
      <c r="C16" s="917"/>
      <c r="D16" s="941"/>
    </row>
    <row r="17" spans="1:4" s="7" customFormat="1">
      <c r="A17" s="889"/>
      <c r="B17" s="917"/>
      <c r="C17" s="917"/>
      <c r="D17" s="941"/>
    </row>
    <row r="18" spans="1:4" s="7" customFormat="1">
      <c r="A18" s="889"/>
      <c r="B18" s="917"/>
      <c r="C18" s="917"/>
      <c r="D18" s="941"/>
    </row>
    <row r="19" spans="1:4" s="7" customFormat="1">
      <c r="B19" s="897"/>
      <c r="C19" s="917"/>
      <c r="D19" s="938"/>
    </row>
    <row r="20" spans="1:4" s="7" customFormat="1">
      <c r="B20" s="897"/>
      <c r="D20" s="89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9" t="s">
        <v>550</v>
      </c>
      <c r="B1" s="1170" t="s">
        <v>546</v>
      </c>
      <c r="C1" s="1170"/>
      <c r="D1" s="1170"/>
      <c r="E1" s="1170"/>
      <c r="F1" s="1170"/>
      <c r="G1" s="1170"/>
      <c r="H1" s="1170"/>
      <c r="I1" s="1170"/>
      <c r="J1" s="1170"/>
      <c r="K1" s="1170"/>
      <c r="L1" s="1170"/>
      <c r="M1" s="1170"/>
      <c r="N1" s="1170"/>
      <c r="O1" s="1170"/>
      <c r="P1" s="1171"/>
      <c r="Q1" s="1038"/>
    </row>
    <row r="2" spans="1:17">
      <c r="A2" s="1169"/>
      <c r="B2" s="1172" t="s">
        <v>21</v>
      </c>
      <c r="C2" s="1174" t="s">
        <v>196</v>
      </c>
      <c r="D2" s="1176" t="s">
        <v>197</v>
      </c>
      <c r="E2" s="1177"/>
      <c r="F2" s="1177"/>
      <c r="G2" s="1177"/>
      <c r="H2" s="1177"/>
      <c r="I2" s="1177"/>
      <c r="J2" s="1177"/>
      <c r="K2" s="1173"/>
      <c r="L2" s="1176" t="s">
        <v>198</v>
      </c>
      <c r="M2" s="1177"/>
      <c r="N2" s="1177"/>
      <c r="O2" s="1177"/>
      <c r="P2" s="1173"/>
      <c r="Q2" s="1038"/>
    </row>
    <row r="3" spans="1:17" ht="45">
      <c r="A3" s="1169"/>
      <c r="B3" s="1173"/>
      <c r="C3" s="1175"/>
      <c r="D3" s="1038" t="s">
        <v>199</v>
      </c>
      <c r="E3" s="1038" t="s">
        <v>200</v>
      </c>
      <c r="F3" s="1038" t="s">
        <v>201</v>
      </c>
      <c r="G3" s="1038" t="s">
        <v>202</v>
      </c>
      <c r="H3" s="1038" t="s">
        <v>120</v>
      </c>
      <c r="I3" s="1038" t="s">
        <v>203</v>
      </c>
      <c r="J3" s="1038" t="s">
        <v>204</v>
      </c>
      <c r="K3" s="1038" t="s">
        <v>205</v>
      </c>
      <c r="L3" s="1038" t="s">
        <v>206</v>
      </c>
      <c r="M3" s="1038" t="s">
        <v>207</v>
      </c>
      <c r="N3" s="1038" t="s">
        <v>208</v>
      </c>
      <c r="O3" s="1038" t="s">
        <v>209</v>
      </c>
      <c r="P3" s="1038" t="s">
        <v>210</v>
      </c>
      <c r="Q3" s="1038" t="s">
        <v>116</v>
      </c>
    </row>
    <row r="4" spans="1:17">
      <c r="A4" s="476" t="s">
        <v>155</v>
      </c>
      <c r="B4" s="477">
        <f>huishoudens!B8</f>
        <v>22145.282510391015</v>
      </c>
      <c r="C4" s="477">
        <f>huishoudens!C8</f>
        <v>0</v>
      </c>
      <c r="D4" s="477">
        <f>huishoudens!D8</f>
        <v>24756.289880299999</v>
      </c>
      <c r="E4" s="477">
        <f>huishoudens!E8</f>
        <v>2665.8909496741658</v>
      </c>
      <c r="F4" s="477">
        <f>huishoudens!F8</f>
        <v>56470.119651090303</v>
      </c>
      <c r="G4" s="477">
        <f>huishoudens!G8</f>
        <v>0</v>
      </c>
      <c r="H4" s="477">
        <f>huishoudens!H8</f>
        <v>0</v>
      </c>
      <c r="I4" s="477">
        <f>huishoudens!I8</f>
        <v>0</v>
      </c>
      <c r="J4" s="477">
        <f>huishoudens!J8</f>
        <v>0</v>
      </c>
      <c r="K4" s="477">
        <f>huishoudens!K8</f>
        <v>0</v>
      </c>
      <c r="L4" s="477">
        <f>huishoudens!L8</f>
        <v>0</v>
      </c>
      <c r="M4" s="477">
        <f>huishoudens!M8</f>
        <v>0</v>
      </c>
      <c r="N4" s="477">
        <f>huishoudens!N8</f>
        <v>18483.706428375226</v>
      </c>
      <c r="O4" s="477">
        <f>huishoudens!O8</f>
        <v>486.19666666666672</v>
      </c>
      <c r="P4" s="478">
        <f>huishoudens!P8</f>
        <v>877.06666666666661</v>
      </c>
      <c r="Q4" s="479">
        <f>SUM(B4:P4)</f>
        <v>125884.55275316404</v>
      </c>
    </row>
    <row r="5" spans="1:17">
      <c r="A5" s="476" t="s">
        <v>156</v>
      </c>
      <c r="B5" s="477">
        <f ca="1">tertiair!B16</f>
        <v>7724.9530770000001</v>
      </c>
      <c r="C5" s="477">
        <f ca="1">tertiair!C16</f>
        <v>0</v>
      </c>
      <c r="D5" s="477">
        <f ca="1">tertiair!D16</f>
        <v>6592.1183504000001</v>
      </c>
      <c r="E5" s="477">
        <f>tertiair!E16</f>
        <v>134.9310325872884</v>
      </c>
      <c r="F5" s="477">
        <f ca="1">tertiair!F16</f>
        <v>1351.6718776232797</v>
      </c>
      <c r="G5" s="477">
        <f>tertiair!G16</f>
        <v>0</v>
      </c>
      <c r="H5" s="477">
        <f>tertiair!H16</f>
        <v>0</v>
      </c>
      <c r="I5" s="477">
        <f>tertiair!I16</f>
        <v>0</v>
      </c>
      <c r="J5" s="477">
        <f>tertiair!J16</f>
        <v>1.6124784507961783E-2</v>
      </c>
      <c r="K5" s="477">
        <f>tertiair!K16</f>
        <v>0</v>
      </c>
      <c r="L5" s="477">
        <f ca="1">tertiair!L16</f>
        <v>0</v>
      </c>
      <c r="M5" s="477">
        <f>tertiair!M16</f>
        <v>0</v>
      </c>
      <c r="N5" s="477">
        <f ca="1">tertiair!N16</f>
        <v>650.10089917754169</v>
      </c>
      <c r="O5" s="477">
        <f>tertiair!O16</f>
        <v>1.5633333333333335</v>
      </c>
      <c r="P5" s="478">
        <f>tertiair!P16</f>
        <v>38.133333333333333</v>
      </c>
      <c r="Q5" s="476">
        <f t="shared" ref="Q5:Q14" ca="1" si="0">SUM(B5:P5)</f>
        <v>16493.488028239284</v>
      </c>
    </row>
    <row r="6" spans="1:17">
      <c r="A6" s="476" t="s">
        <v>194</v>
      </c>
      <c r="B6" s="477">
        <f>'openbare verlichting'!B8</f>
        <v>773.59500000000003</v>
      </c>
      <c r="C6" s="477"/>
      <c r="D6" s="477"/>
      <c r="E6" s="477"/>
      <c r="F6" s="477"/>
      <c r="G6" s="477"/>
      <c r="H6" s="477"/>
      <c r="I6" s="477"/>
      <c r="J6" s="477"/>
      <c r="K6" s="477"/>
      <c r="L6" s="477"/>
      <c r="M6" s="477"/>
      <c r="N6" s="477"/>
      <c r="O6" s="477"/>
      <c r="P6" s="478"/>
      <c r="Q6" s="476">
        <f t="shared" si="0"/>
        <v>773.59500000000003</v>
      </c>
    </row>
    <row r="7" spans="1:17">
      <c r="A7" s="476" t="s">
        <v>112</v>
      </c>
      <c r="B7" s="477">
        <f>landbouw!B8</f>
        <v>2519.5352620000003</v>
      </c>
      <c r="C7" s="477">
        <f>landbouw!C8</f>
        <v>62.357142857142847</v>
      </c>
      <c r="D7" s="477">
        <f>landbouw!D8</f>
        <v>13.985510000000001</v>
      </c>
      <c r="E7" s="477">
        <f>landbouw!E8</f>
        <v>74.056836899101953</v>
      </c>
      <c r="F7" s="477">
        <f>landbouw!F8</f>
        <v>10496.247752952562</v>
      </c>
      <c r="G7" s="477">
        <f>landbouw!G8</f>
        <v>0</v>
      </c>
      <c r="H7" s="477">
        <f>landbouw!H8</f>
        <v>0</v>
      </c>
      <c r="I7" s="477">
        <f>landbouw!I8</f>
        <v>0</v>
      </c>
      <c r="J7" s="477">
        <f>landbouw!J8</f>
        <v>365.02655182468459</v>
      </c>
      <c r="K7" s="477">
        <f>landbouw!K8</f>
        <v>0</v>
      </c>
      <c r="L7" s="477">
        <f>landbouw!L8</f>
        <v>0</v>
      </c>
      <c r="M7" s="477">
        <f>landbouw!M8</f>
        <v>0</v>
      </c>
      <c r="N7" s="477">
        <f>landbouw!N8</f>
        <v>0</v>
      </c>
      <c r="O7" s="477">
        <f>landbouw!O8</f>
        <v>0</v>
      </c>
      <c r="P7" s="478">
        <f>landbouw!P8</f>
        <v>0</v>
      </c>
      <c r="Q7" s="476">
        <f t="shared" si="0"/>
        <v>13531.209056533493</v>
      </c>
    </row>
    <row r="8" spans="1:17">
      <c r="A8" s="476" t="s">
        <v>635</v>
      </c>
      <c r="B8" s="477">
        <f>industrie!B18</f>
        <v>6994.0912799999987</v>
      </c>
      <c r="C8" s="477">
        <f>industrie!C18</f>
        <v>0</v>
      </c>
      <c r="D8" s="477">
        <f>industrie!D18</f>
        <v>1993.7651052000001</v>
      </c>
      <c r="E8" s="477">
        <f>industrie!E18</f>
        <v>778.78425039684419</v>
      </c>
      <c r="F8" s="477">
        <f>industrie!F18</f>
        <v>2445.5142362763395</v>
      </c>
      <c r="G8" s="477">
        <f>industrie!G18</f>
        <v>0</v>
      </c>
      <c r="H8" s="477">
        <f>industrie!H18</f>
        <v>0</v>
      </c>
      <c r="I8" s="477">
        <f>industrie!I18</f>
        <v>0</v>
      </c>
      <c r="J8" s="477">
        <f>industrie!J18</f>
        <v>8.796197364042857E-2</v>
      </c>
      <c r="K8" s="477">
        <f>industrie!K18</f>
        <v>0</v>
      </c>
      <c r="L8" s="477">
        <f>industrie!L18</f>
        <v>0</v>
      </c>
      <c r="M8" s="477">
        <f>industrie!M18</f>
        <v>0</v>
      </c>
      <c r="N8" s="477">
        <f>industrie!N18</f>
        <v>957.33020072200247</v>
      </c>
      <c r="O8" s="477">
        <f>industrie!O18</f>
        <v>0</v>
      </c>
      <c r="P8" s="478">
        <f>industrie!P18</f>
        <v>0</v>
      </c>
      <c r="Q8" s="476">
        <f t="shared" si="0"/>
        <v>13169.573034568826</v>
      </c>
    </row>
    <row r="9" spans="1:17" s="482" customFormat="1">
      <c r="A9" s="480" t="s">
        <v>561</v>
      </c>
      <c r="B9" s="481">
        <f>transport!B14</f>
        <v>45.745313777347015</v>
      </c>
      <c r="C9" s="481">
        <f>transport!C14</f>
        <v>0</v>
      </c>
      <c r="D9" s="481">
        <f>transport!D14</f>
        <v>163.15151632804628</v>
      </c>
      <c r="E9" s="481">
        <f>transport!E14</f>
        <v>216.90414109991056</v>
      </c>
      <c r="F9" s="481">
        <f>transport!F14</f>
        <v>0</v>
      </c>
      <c r="G9" s="481">
        <f>transport!G14</f>
        <v>77993.424553190343</v>
      </c>
      <c r="H9" s="481">
        <f>transport!H14</f>
        <v>18373.374319710681</v>
      </c>
      <c r="I9" s="481">
        <f>transport!I14</f>
        <v>0</v>
      </c>
      <c r="J9" s="481">
        <f>transport!J14</f>
        <v>0</v>
      </c>
      <c r="K9" s="481">
        <f>transport!K14</f>
        <v>0</v>
      </c>
      <c r="L9" s="481">
        <f>transport!L14</f>
        <v>0</v>
      </c>
      <c r="M9" s="481">
        <f>transport!M14</f>
        <v>5098.8042196294546</v>
      </c>
      <c r="N9" s="481">
        <f>transport!N14</f>
        <v>0</v>
      </c>
      <c r="O9" s="481">
        <f>transport!O14</f>
        <v>0</v>
      </c>
      <c r="P9" s="481">
        <f>transport!P14</f>
        <v>0</v>
      </c>
      <c r="Q9" s="480">
        <f>SUM(B9:P9)</f>
        <v>101891.40406373578</v>
      </c>
    </row>
    <row r="10" spans="1:17">
      <c r="A10" s="476" t="s">
        <v>551</v>
      </c>
      <c r="B10" s="477">
        <f>transport!B54</f>
        <v>0</v>
      </c>
      <c r="C10" s="477">
        <f>transport!C54</f>
        <v>0</v>
      </c>
      <c r="D10" s="477">
        <f>transport!D54</f>
        <v>0</v>
      </c>
      <c r="E10" s="477">
        <f>transport!E54</f>
        <v>0</v>
      </c>
      <c r="F10" s="477">
        <f>transport!F54</f>
        <v>0</v>
      </c>
      <c r="G10" s="477">
        <f>transport!G54</f>
        <v>1741.7099710271948</v>
      </c>
      <c r="H10" s="477">
        <f>transport!H54</f>
        <v>0</v>
      </c>
      <c r="I10" s="477">
        <f>transport!I54</f>
        <v>0</v>
      </c>
      <c r="J10" s="477">
        <f>transport!J54</f>
        <v>0</v>
      </c>
      <c r="K10" s="477">
        <f>transport!K54</f>
        <v>0</v>
      </c>
      <c r="L10" s="477">
        <f>transport!L54</f>
        <v>0</v>
      </c>
      <c r="M10" s="477">
        <f>transport!M54</f>
        <v>98.921437442637796</v>
      </c>
      <c r="N10" s="477">
        <f>transport!N54</f>
        <v>0</v>
      </c>
      <c r="O10" s="477">
        <f>transport!O54</f>
        <v>0</v>
      </c>
      <c r="P10" s="478">
        <f>transport!P54</f>
        <v>0</v>
      </c>
      <c r="Q10" s="476">
        <f t="shared" si="0"/>
        <v>1840.6314084698326</v>
      </c>
    </row>
    <row r="11" spans="1:17">
      <c r="A11" s="476" t="s">
        <v>552</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553</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554</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840</v>
      </c>
      <c r="B14" s="484">
        <f>'SEAP template'!C25</f>
        <v>406.18004999999999</v>
      </c>
      <c r="C14" s="484"/>
      <c r="D14" s="484">
        <f>'SEAP template'!E25</f>
        <v>660.04480000000001</v>
      </c>
      <c r="E14" s="484"/>
      <c r="F14" s="484"/>
      <c r="G14" s="484"/>
      <c r="H14" s="484"/>
      <c r="I14" s="484"/>
      <c r="J14" s="484"/>
      <c r="K14" s="484"/>
      <c r="L14" s="484"/>
      <c r="M14" s="484"/>
      <c r="N14" s="484"/>
      <c r="O14" s="484"/>
      <c r="P14" s="485"/>
      <c r="Q14" s="476">
        <f t="shared" si="0"/>
        <v>1066.2248500000001</v>
      </c>
    </row>
    <row r="15" spans="1:17" s="486" customFormat="1">
      <c r="A15" s="1039" t="s">
        <v>555</v>
      </c>
      <c r="B15" s="987">
        <f ca="1">SUM(B4:B14)</f>
        <v>40609.382493168363</v>
      </c>
      <c r="C15" s="987">
        <f t="shared" ref="C15:Q15" ca="1" si="1">SUM(C4:C14)</f>
        <v>62.357142857142847</v>
      </c>
      <c r="D15" s="987">
        <f t="shared" ca="1" si="1"/>
        <v>34179.35516222805</v>
      </c>
      <c r="E15" s="987">
        <f t="shared" si="1"/>
        <v>3870.5672106573111</v>
      </c>
      <c r="F15" s="987">
        <f t="shared" ca="1" si="1"/>
        <v>70763.553517942491</v>
      </c>
      <c r="G15" s="987">
        <f t="shared" si="1"/>
        <v>79735.134524217545</v>
      </c>
      <c r="H15" s="987">
        <f t="shared" si="1"/>
        <v>18373.374319710681</v>
      </c>
      <c r="I15" s="987">
        <f t="shared" si="1"/>
        <v>0</v>
      </c>
      <c r="J15" s="987">
        <f t="shared" si="1"/>
        <v>365.13063858283294</v>
      </c>
      <c r="K15" s="987">
        <f t="shared" si="1"/>
        <v>0</v>
      </c>
      <c r="L15" s="987">
        <f t="shared" ca="1" si="1"/>
        <v>0</v>
      </c>
      <c r="M15" s="987">
        <f t="shared" si="1"/>
        <v>5197.725657072092</v>
      </c>
      <c r="N15" s="987">
        <f t="shared" ca="1" si="1"/>
        <v>20091.137528274769</v>
      </c>
      <c r="O15" s="987">
        <f t="shared" si="1"/>
        <v>487.76000000000005</v>
      </c>
      <c r="P15" s="987">
        <f t="shared" si="1"/>
        <v>915.19999999999993</v>
      </c>
      <c r="Q15" s="987">
        <f t="shared" ca="1" si="1"/>
        <v>274650.67819471122</v>
      </c>
    </row>
    <row r="17" spans="1:17">
      <c r="A17" s="487" t="s">
        <v>556</v>
      </c>
      <c r="B17" s="786">
        <f ca="1">huishoudens!B10</f>
        <v>0.18268007863413283</v>
      </c>
      <c r="C17" s="786">
        <f ca="1">huishoudens!C10</f>
        <v>0</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9" t="s">
        <v>558</v>
      </c>
      <c r="B19" s="1170" t="s">
        <v>557</v>
      </c>
      <c r="C19" s="1170"/>
      <c r="D19" s="1170"/>
      <c r="E19" s="1170"/>
      <c r="F19" s="1170"/>
      <c r="G19" s="1170"/>
      <c r="H19" s="1170"/>
      <c r="I19" s="1170"/>
      <c r="J19" s="1170"/>
      <c r="K19" s="1170"/>
      <c r="L19" s="1170"/>
      <c r="M19" s="1170"/>
      <c r="N19" s="1170"/>
      <c r="O19" s="1170"/>
      <c r="P19" s="1171"/>
      <c r="Q19" s="1038"/>
    </row>
    <row r="20" spans="1:17" ht="15" customHeight="1">
      <c r="A20" s="1169"/>
      <c r="B20" s="1172" t="s">
        <v>21</v>
      </c>
      <c r="C20" s="1174" t="s">
        <v>196</v>
      </c>
      <c r="D20" s="1176" t="s">
        <v>197</v>
      </c>
      <c r="E20" s="1177"/>
      <c r="F20" s="1177"/>
      <c r="G20" s="1177"/>
      <c r="H20" s="1177"/>
      <c r="I20" s="1177"/>
      <c r="J20" s="1177"/>
      <c r="K20" s="1173"/>
      <c r="L20" s="1176" t="s">
        <v>198</v>
      </c>
      <c r="M20" s="1177"/>
      <c r="N20" s="1177"/>
      <c r="O20" s="1177"/>
      <c r="P20" s="1173"/>
      <c r="Q20" s="1038"/>
    </row>
    <row r="21" spans="1:17" ht="45">
      <c r="A21" s="1169"/>
      <c r="B21" s="1173"/>
      <c r="C21" s="1175"/>
      <c r="D21" s="1038" t="s">
        <v>199</v>
      </c>
      <c r="E21" s="1038" t="s">
        <v>200</v>
      </c>
      <c r="F21" s="1038" t="s">
        <v>201</v>
      </c>
      <c r="G21" s="1038" t="s">
        <v>202</v>
      </c>
      <c r="H21" s="1038" t="s">
        <v>120</v>
      </c>
      <c r="I21" s="1038" t="s">
        <v>203</v>
      </c>
      <c r="J21" s="1038" t="s">
        <v>204</v>
      </c>
      <c r="K21" s="1038" t="s">
        <v>205</v>
      </c>
      <c r="L21" s="1038" t="s">
        <v>206</v>
      </c>
      <c r="M21" s="1038" t="s">
        <v>207</v>
      </c>
      <c r="N21" s="1038" t="s">
        <v>208</v>
      </c>
      <c r="O21" s="1038" t="s">
        <v>209</v>
      </c>
      <c r="P21" s="1038" t="s">
        <v>210</v>
      </c>
      <c r="Q21" s="1038" t="s">
        <v>116</v>
      </c>
    </row>
    <row r="22" spans="1:17">
      <c r="A22" s="476" t="s">
        <v>155</v>
      </c>
      <c r="B22" s="477">
        <f t="shared" ref="B22:B32" ca="1" si="2">B4*$B$17</f>
        <v>4045.501950373317</v>
      </c>
      <c r="C22" s="477">
        <f t="shared" ref="C22:C32" ca="1" si="3">C4*$C$17</f>
        <v>0</v>
      </c>
      <c r="D22" s="477">
        <f t="shared" ref="D22:D32" si="4">D4*$D$17</f>
        <v>5000.7705558205998</v>
      </c>
      <c r="E22" s="477">
        <f t="shared" ref="E22:E32" si="5">E4*$E$17</f>
        <v>605.15724557603562</v>
      </c>
      <c r="F22" s="477">
        <f t="shared" ref="F22:F32" si="6">F4*$F$17</f>
        <v>15077.521946841112</v>
      </c>
      <c r="G22" s="477">
        <f t="shared" ref="G22:G32" si="7">G4*$G$17</f>
        <v>0</v>
      </c>
      <c r="H22" s="477">
        <f t="shared" ref="H22:H32" si="8">H4*$H$17</f>
        <v>0</v>
      </c>
      <c r="I22" s="477">
        <f t="shared" ref="I22:I32" si="9">I4*$I$17</f>
        <v>0</v>
      </c>
      <c r="J22" s="477">
        <f t="shared" ref="J22:J32" si="10">J4*$J$17</f>
        <v>0</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24728.951698611065</v>
      </c>
    </row>
    <row r="23" spans="1:17">
      <c r="A23" s="476" t="s">
        <v>156</v>
      </c>
      <c r="B23" s="477">
        <f t="shared" ca="1" si="2"/>
        <v>1411.1950355513463</v>
      </c>
      <c r="C23" s="477">
        <f t="shared" ca="1" si="3"/>
        <v>0</v>
      </c>
      <c r="D23" s="477">
        <f t="shared" ca="1" si="4"/>
        <v>1331.6079067808</v>
      </c>
      <c r="E23" s="477">
        <f t="shared" si="5"/>
        <v>30.629344397314469</v>
      </c>
      <c r="F23" s="477">
        <f t="shared" ca="1" si="6"/>
        <v>360.89639132541572</v>
      </c>
      <c r="G23" s="477">
        <f t="shared" si="7"/>
        <v>0</v>
      </c>
      <c r="H23" s="477">
        <f t="shared" si="8"/>
        <v>0</v>
      </c>
      <c r="I23" s="477">
        <f t="shared" si="9"/>
        <v>0</v>
      </c>
      <c r="J23" s="477">
        <f t="shared" si="10"/>
        <v>5.7081737158184709E-3</v>
      </c>
      <c r="K23" s="477">
        <f t="shared" si="11"/>
        <v>0</v>
      </c>
      <c r="L23" s="477">
        <f t="shared" ca="1" si="12"/>
        <v>0</v>
      </c>
      <c r="M23" s="477">
        <f t="shared" si="13"/>
        <v>0</v>
      </c>
      <c r="N23" s="477">
        <f t="shared" ca="1" si="14"/>
        <v>0</v>
      </c>
      <c r="O23" s="477">
        <f t="shared" si="15"/>
        <v>0</v>
      </c>
      <c r="P23" s="478">
        <f t="shared" si="16"/>
        <v>0</v>
      </c>
      <c r="Q23" s="476">
        <f t="shared" ref="Q23:Q32" ca="1" si="17">SUM(B23:P23)</f>
        <v>3134.3343862285924</v>
      </c>
    </row>
    <row r="24" spans="1:17">
      <c r="A24" s="476" t="s">
        <v>194</v>
      </c>
      <c r="B24" s="477">
        <f t="shared" ca="1" si="2"/>
        <v>141.32039543097198</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141.32039543097198</v>
      </c>
    </row>
    <row r="25" spans="1:17">
      <c r="A25" s="476" t="s">
        <v>112</v>
      </c>
      <c r="B25" s="477">
        <f t="shared" ca="1" si="2"/>
        <v>460.2688997836305</v>
      </c>
      <c r="C25" s="477">
        <f t="shared" ca="1" si="3"/>
        <v>0</v>
      </c>
      <c r="D25" s="477">
        <f t="shared" si="4"/>
        <v>2.8250730200000005</v>
      </c>
      <c r="E25" s="477">
        <f t="shared" si="5"/>
        <v>16.810901976096144</v>
      </c>
      <c r="F25" s="477">
        <f t="shared" si="6"/>
        <v>2802.4981500383342</v>
      </c>
      <c r="G25" s="477">
        <f t="shared" si="7"/>
        <v>0</v>
      </c>
      <c r="H25" s="477">
        <f t="shared" si="8"/>
        <v>0</v>
      </c>
      <c r="I25" s="477">
        <f t="shared" si="9"/>
        <v>0</v>
      </c>
      <c r="J25" s="477">
        <f t="shared" si="10"/>
        <v>129.21939934593834</v>
      </c>
      <c r="K25" s="477">
        <f t="shared" si="11"/>
        <v>0</v>
      </c>
      <c r="L25" s="477">
        <f t="shared" si="12"/>
        <v>0</v>
      </c>
      <c r="M25" s="477">
        <f t="shared" si="13"/>
        <v>0</v>
      </c>
      <c r="N25" s="477">
        <f t="shared" si="14"/>
        <v>0</v>
      </c>
      <c r="O25" s="477">
        <f t="shared" si="15"/>
        <v>0</v>
      </c>
      <c r="P25" s="478">
        <f t="shared" si="16"/>
        <v>0</v>
      </c>
      <c r="Q25" s="476">
        <f t="shared" ca="1" si="17"/>
        <v>3411.6224241639989</v>
      </c>
    </row>
    <row r="26" spans="1:17">
      <c r="A26" s="476" t="s">
        <v>635</v>
      </c>
      <c r="B26" s="477">
        <f t="shared" ca="1" si="2"/>
        <v>1277.6811450047026</v>
      </c>
      <c r="C26" s="477">
        <f t="shared" ca="1" si="3"/>
        <v>0</v>
      </c>
      <c r="D26" s="477">
        <f t="shared" si="4"/>
        <v>402.74055125040007</v>
      </c>
      <c r="E26" s="477">
        <f t="shared" si="5"/>
        <v>176.78402484008365</v>
      </c>
      <c r="F26" s="477">
        <f t="shared" si="6"/>
        <v>652.95230108578266</v>
      </c>
      <c r="G26" s="477">
        <f t="shared" si="7"/>
        <v>0</v>
      </c>
      <c r="H26" s="477">
        <f t="shared" si="8"/>
        <v>0</v>
      </c>
      <c r="I26" s="477">
        <f t="shared" si="9"/>
        <v>0</v>
      </c>
      <c r="J26" s="477">
        <f t="shared" si="10"/>
        <v>3.1138538668711711E-2</v>
      </c>
      <c r="K26" s="477">
        <f t="shared" si="11"/>
        <v>0</v>
      </c>
      <c r="L26" s="477">
        <f t="shared" si="12"/>
        <v>0</v>
      </c>
      <c r="M26" s="477">
        <f t="shared" si="13"/>
        <v>0</v>
      </c>
      <c r="N26" s="477">
        <f t="shared" si="14"/>
        <v>0</v>
      </c>
      <c r="O26" s="477">
        <f t="shared" si="15"/>
        <v>0</v>
      </c>
      <c r="P26" s="478">
        <f t="shared" si="16"/>
        <v>0</v>
      </c>
      <c r="Q26" s="476">
        <f t="shared" ca="1" si="17"/>
        <v>2510.1891607196376</v>
      </c>
    </row>
    <row r="27" spans="1:17" s="482" customFormat="1">
      <c r="A27" s="480" t="s">
        <v>561</v>
      </c>
      <c r="B27" s="780">
        <f t="shared" ca="1" si="2"/>
        <v>8.3567575179888323</v>
      </c>
      <c r="C27" s="481">
        <f t="shared" ca="1" si="3"/>
        <v>0</v>
      </c>
      <c r="D27" s="481">
        <f t="shared" si="4"/>
        <v>32.956606298265349</v>
      </c>
      <c r="E27" s="481">
        <f t="shared" si="5"/>
        <v>49.237240029679697</v>
      </c>
      <c r="F27" s="481">
        <f t="shared" si="6"/>
        <v>0</v>
      </c>
      <c r="G27" s="481">
        <f t="shared" si="7"/>
        <v>20824.244355701823</v>
      </c>
      <c r="H27" s="481">
        <f t="shared" si="8"/>
        <v>4574.9702056079595</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25489.765165155717</v>
      </c>
    </row>
    <row r="28" spans="1:17">
      <c r="A28" s="476" t="s">
        <v>551</v>
      </c>
      <c r="B28" s="477">
        <f t="shared" ca="1" si="2"/>
        <v>0</v>
      </c>
      <c r="C28" s="477">
        <f t="shared" ca="1" si="3"/>
        <v>0</v>
      </c>
      <c r="D28" s="477">
        <f t="shared" si="4"/>
        <v>0</v>
      </c>
      <c r="E28" s="477">
        <f t="shared" si="5"/>
        <v>0</v>
      </c>
      <c r="F28" s="477">
        <f t="shared" si="6"/>
        <v>0</v>
      </c>
      <c r="G28" s="477">
        <f t="shared" si="7"/>
        <v>465.03656226426102</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465.03656226426102</v>
      </c>
    </row>
    <row r="29" spans="1:17">
      <c r="A29" s="476" t="s">
        <v>552</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553</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554</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840</v>
      </c>
      <c r="B32" s="477">
        <f t="shared" ca="1" si="2"/>
        <v>74.201003473615998</v>
      </c>
      <c r="C32" s="477">
        <f t="shared" ca="1" si="3"/>
        <v>0</v>
      </c>
      <c r="D32" s="477">
        <f t="shared" si="4"/>
        <v>133.32904960000002</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207.53005307361602</v>
      </c>
    </row>
    <row r="33" spans="1:17" s="486" customFormat="1">
      <c r="A33" s="1039" t="s">
        <v>555</v>
      </c>
      <c r="B33" s="987">
        <f ca="1">SUM(B22:B32)</f>
        <v>7418.5251871355731</v>
      </c>
      <c r="C33" s="987">
        <f t="shared" ref="C33:Q33" ca="1" si="18">SUM(C22:C32)</f>
        <v>0</v>
      </c>
      <c r="D33" s="987">
        <f t="shared" ca="1" si="18"/>
        <v>6904.229742770066</v>
      </c>
      <c r="E33" s="987">
        <f t="shared" si="18"/>
        <v>878.61875681920969</v>
      </c>
      <c r="F33" s="987">
        <f t="shared" ca="1" si="18"/>
        <v>18893.868789290642</v>
      </c>
      <c r="G33" s="987">
        <f t="shared" si="18"/>
        <v>21289.280917966084</v>
      </c>
      <c r="H33" s="987">
        <f t="shared" si="18"/>
        <v>4574.9702056079595</v>
      </c>
      <c r="I33" s="987">
        <f t="shared" si="18"/>
        <v>0</v>
      </c>
      <c r="J33" s="987">
        <f t="shared" si="18"/>
        <v>129.25624605832286</v>
      </c>
      <c r="K33" s="987">
        <f t="shared" si="18"/>
        <v>0</v>
      </c>
      <c r="L33" s="987">
        <f t="shared" ca="1" si="18"/>
        <v>0</v>
      </c>
      <c r="M33" s="987">
        <f t="shared" si="18"/>
        <v>0</v>
      </c>
      <c r="N33" s="987">
        <f t="shared" ca="1" si="18"/>
        <v>0</v>
      </c>
      <c r="O33" s="987">
        <f t="shared" si="18"/>
        <v>0</v>
      </c>
      <c r="P33" s="987">
        <f t="shared" si="18"/>
        <v>0</v>
      </c>
      <c r="Q33" s="987">
        <f t="shared" ca="1" si="18"/>
        <v>60088.749845647857</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6" customFormat="1" ht="21">
      <c r="A1" s="1178" t="s">
        <v>550</v>
      </c>
      <c r="B1" s="1179" t="s">
        <v>817</v>
      </c>
      <c r="C1" s="1179"/>
      <c r="D1" s="1179"/>
      <c r="E1" s="1179"/>
      <c r="F1" s="1179"/>
      <c r="G1" s="1179"/>
      <c r="H1" s="1179"/>
      <c r="I1" s="1179"/>
      <c r="J1" s="1179"/>
      <c r="K1" s="1179"/>
      <c r="L1" s="1179"/>
      <c r="M1" s="1179"/>
      <c r="N1" s="1179"/>
      <c r="O1" s="1179"/>
      <c r="P1" s="1180"/>
      <c r="Q1" s="979"/>
    </row>
    <row r="2" spans="1:17" s="946" customFormat="1" ht="21">
      <c r="A2" s="1178"/>
      <c r="B2" s="1181" t="s">
        <v>21</v>
      </c>
      <c r="C2" s="1183" t="s">
        <v>196</v>
      </c>
      <c r="D2" s="1185" t="s">
        <v>197</v>
      </c>
      <c r="E2" s="1186"/>
      <c r="F2" s="1186"/>
      <c r="G2" s="1186"/>
      <c r="H2" s="1186"/>
      <c r="I2" s="1186"/>
      <c r="J2" s="1186"/>
      <c r="K2" s="1182"/>
      <c r="L2" s="1185" t="s">
        <v>198</v>
      </c>
      <c r="M2" s="1186"/>
      <c r="N2" s="1186"/>
      <c r="O2" s="1186"/>
      <c r="P2" s="1182"/>
      <c r="Q2" s="979"/>
    </row>
    <row r="3" spans="1:17" s="946" customFormat="1" ht="42">
      <c r="A3" s="1178"/>
      <c r="B3" s="1182"/>
      <c r="C3" s="1184"/>
      <c r="D3" s="980" t="s">
        <v>199</v>
      </c>
      <c r="E3" s="980" t="s">
        <v>200</v>
      </c>
      <c r="F3" s="980" t="s">
        <v>201</v>
      </c>
      <c r="G3" s="980" t="s">
        <v>202</v>
      </c>
      <c r="H3" s="980" t="s">
        <v>120</v>
      </c>
      <c r="I3" s="980" t="s">
        <v>203</v>
      </c>
      <c r="J3" s="980" t="s">
        <v>204</v>
      </c>
      <c r="K3" s="980" t="s">
        <v>205</v>
      </c>
      <c r="L3" s="980" t="s">
        <v>206</v>
      </c>
      <c r="M3" s="980" t="s">
        <v>207</v>
      </c>
      <c r="N3" s="980" t="s">
        <v>208</v>
      </c>
      <c r="O3" s="980" t="s">
        <v>209</v>
      </c>
      <c r="P3" s="980" t="s">
        <v>210</v>
      </c>
      <c r="Q3" s="979" t="s">
        <v>116</v>
      </c>
    </row>
    <row r="4" spans="1:17" ht="124.15" customHeight="1">
      <c r="A4" s="971" t="s">
        <v>155</v>
      </c>
      <c r="B4" s="972" t="s">
        <v>800</v>
      </c>
      <c r="C4" s="973" t="s">
        <v>821</v>
      </c>
      <c r="D4" s="974" t="s">
        <v>801</v>
      </c>
      <c r="E4" s="975" t="s">
        <v>799</v>
      </c>
      <c r="F4" s="975" t="s">
        <v>803</v>
      </c>
      <c r="G4" s="976" t="s">
        <v>823</v>
      </c>
      <c r="H4" s="976" t="s">
        <v>823</v>
      </c>
      <c r="I4" s="976" t="s">
        <v>823</v>
      </c>
      <c r="J4" s="975" t="s">
        <v>802</v>
      </c>
      <c r="K4" s="976" t="s">
        <v>823</v>
      </c>
      <c r="L4" s="976" t="s">
        <v>823</v>
      </c>
      <c r="M4" s="976" t="s">
        <v>823</v>
      </c>
      <c r="N4" s="975" t="s">
        <v>804</v>
      </c>
      <c r="O4" s="977" t="s">
        <v>805</v>
      </c>
      <c r="P4" s="978" t="s">
        <v>806</v>
      </c>
      <c r="Q4" s="981"/>
    </row>
    <row r="5" spans="1:17" ht="124.15" customHeight="1">
      <c r="A5" s="954" t="s">
        <v>156</v>
      </c>
      <c r="B5" s="955" t="s">
        <v>812</v>
      </c>
      <c r="C5" s="961" t="s">
        <v>822</v>
      </c>
      <c r="D5" s="961" t="s">
        <v>813</v>
      </c>
      <c r="E5" s="957" t="s">
        <v>811</v>
      </c>
      <c r="F5" s="957" t="s">
        <v>810</v>
      </c>
      <c r="G5" s="958" t="s">
        <v>823</v>
      </c>
      <c r="H5" s="958" t="s">
        <v>823</v>
      </c>
      <c r="I5" s="958" t="s">
        <v>823</v>
      </c>
      <c r="J5" s="957" t="s">
        <v>809</v>
      </c>
      <c r="K5" s="955" t="s">
        <v>808</v>
      </c>
      <c r="L5" s="958" t="s">
        <v>823</v>
      </c>
      <c r="M5" s="958" t="s">
        <v>823</v>
      </c>
      <c r="N5" s="957" t="s">
        <v>807</v>
      </c>
      <c r="O5" s="959" t="s">
        <v>805</v>
      </c>
      <c r="P5" s="960" t="s">
        <v>806</v>
      </c>
      <c r="Q5" s="982"/>
    </row>
    <row r="6" spans="1:17" ht="124.15" customHeight="1">
      <c r="A6" s="954" t="s">
        <v>194</v>
      </c>
      <c r="B6" s="962" t="s">
        <v>814</v>
      </c>
      <c r="C6" s="956" t="s">
        <v>820</v>
      </c>
      <c r="D6" s="958" t="s">
        <v>820</v>
      </c>
      <c r="E6" s="958" t="s">
        <v>820</v>
      </c>
      <c r="F6" s="958" t="s">
        <v>820</v>
      </c>
      <c r="G6" s="958" t="s">
        <v>820</v>
      </c>
      <c r="H6" s="958" t="s">
        <v>820</v>
      </c>
      <c r="I6" s="958" t="s">
        <v>820</v>
      </c>
      <c r="J6" s="958" t="s">
        <v>820</v>
      </c>
      <c r="K6" s="958" t="s">
        <v>820</v>
      </c>
      <c r="L6" s="958" t="s">
        <v>820</v>
      </c>
      <c r="M6" s="958" t="s">
        <v>820</v>
      </c>
      <c r="N6" s="958" t="s">
        <v>820</v>
      </c>
      <c r="O6" s="963" t="s">
        <v>820</v>
      </c>
      <c r="P6" s="964" t="s">
        <v>820</v>
      </c>
      <c r="Q6" s="983"/>
    </row>
    <row r="7" spans="1:17" ht="124.15" customHeight="1">
      <c r="A7" s="954" t="s">
        <v>112</v>
      </c>
      <c r="B7" s="962" t="s">
        <v>814</v>
      </c>
      <c r="C7" s="961" t="s">
        <v>822</v>
      </c>
      <c r="D7" s="961" t="s">
        <v>813</v>
      </c>
      <c r="E7" s="957" t="s">
        <v>811</v>
      </c>
      <c r="F7" s="957" t="s">
        <v>810</v>
      </c>
      <c r="G7" s="958" t="s">
        <v>823</v>
      </c>
      <c r="H7" s="958" t="s">
        <v>823</v>
      </c>
      <c r="I7" s="958" t="s">
        <v>823</v>
      </c>
      <c r="J7" s="957" t="s">
        <v>809</v>
      </c>
      <c r="K7" s="958" t="s">
        <v>823</v>
      </c>
      <c r="L7" s="958" t="s">
        <v>823</v>
      </c>
      <c r="M7" s="958" t="s">
        <v>823</v>
      </c>
      <c r="N7" s="965" t="s">
        <v>823</v>
      </c>
      <c r="O7" s="956" t="s">
        <v>823</v>
      </c>
      <c r="P7" s="966" t="s">
        <v>823</v>
      </c>
      <c r="Q7" s="982"/>
    </row>
    <row r="8" spans="1:17" ht="124.15" customHeight="1">
      <c r="A8" s="954" t="s">
        <v>635</v>
      </c>
      <c r="B8" s="955" t="s">
        <v>815</v>
      </c>
      <c r="C8" s="961" t="s">
        <v>822</v>
      </c>
      <c r="D8" s="961" t="s">
        <v>813</v>
      </c>
      <c r="E8" s="957" t="s">
        <v>811</v>
      </c>
      <c r="F8" s="957" t="s">
        <v>810</v>
      </c>
      <c r="G8" s="958" t="s">
        <v>823</v>
      </c>
      <c r="H8" s="958" t="s">
        <v>823</v>
      </c>
      <c r="I8" s="958" t="s">
        <v>823</v>
      </c>
      <c r="J8" s="957" t="s">
        <v>809</v>
      </c>
      <c r="K8" s="955" t="s">
        <v>808</v>
      </c>
      <c r="L8" s="958" t="s">
        <v>823</v>
      </c>
      <c r="M8" s="958" t="s">
        <v>823</v>
      </c>
      <c r="N8" s="957" t="s">
        <v>807</v>
      </c>
      <c r="O8" s="959" t="s">
        <v>805</v>
      </c>
      <c r="P8" s="960" t="s">
        <v>806</v>
      </c>
      <c r="Q8" s="982"/>
    </row>
    <row r="9" spans="1:17" s="482" customFormat="1" ht="124.15" customHeight="1">
      <c r="A9" s="967" t="s">
        <v>561</v>
      </c>
      <c r="B9" s="957" t="s">
        <v>825</v>
      </c>
      <c r="C9" s="963" t="s">
        <v>820</v>
      </c>
      <c r="D9" s="957" t="s">
        <v>826</v>
      </c>
      <c r="E9" s="957" t="s">
        <v>827</v>
      </c>
      <c r="F9" s="958" t="s">
        <v>820</v>
      </c>
      <c r="G9" s="957" t="s">
        <v>828</v>
      </c>
      <c r="H9" s="957" t="s">
        <v>829</v>
      </c>
      <c r="I9" s="958" t="s">
        <v>820</v>
      </c>
      <c r="J9" s="958" t="s">
        <v>820</v>
      </c>
      <c r="K9" s="958" t="s">
        <v>820</v>
      </c>
      <c r="L9" s="958" t="s">
        <v>820</v>
      </c>
      <c r="M9" s="957" t="s">
        <v>825</v>
      </c>
      <c r="N9" s="958" t="s">
        <v>820</v>
      </c>
      <c r="O9" s="958" t="s">
        <v>820</v>
      </c>
      <c r="P9" s="968" t="s">
        <v>820</v>
      </c>
      <c r="Q9" s="984"/>
    </row>
    <row r="10" spans="1:17" ht="124.15" customHeight="1">
      <c r="A10" s="954" t="s">
        <v>551</v>
      </c>
      <c r="B10" s="955" t="s">
        <v>833</v>
      </c>
      <c r="C10" s="963" t="s">
        <v>820</v>
      </c>
      <c r="D10" s="963" t="s">
        <v>820</v>
      </c>
      <c r="E10" s="963" t="s">
        <v>820</v>
      </c>
      <c r="F10" s="958" t="s">
        <v>820</v>
      </c>
      <c r="G10" s="955" t="s">
        <v>830</v>
      </c>
      <c r="H10" s="958" t="s">
        <v>820</v>
      </c>
      <c r="I10" s="958" t="s">
        <v>820</v>
      </c>
      <c r="J10" s="958" t="s">
        <v>820</v>
      </c>
      <c r="K10" s="958" t="s">
        <v>820</v>
      </c>
      <c r="L10" s="958" t="s">
        <v>820</v>
      </c>
      <c r="M10" s="955" t="s">
        <v>816</v>
      </c>
      <c r="N10" s="958" t="s">
        <v>820</v>
      </c>
      <c r="O10" s="958" t="s">
        <v>820</v>
      </c>
      <c r="P10" s="968" t="s">
        <v>820</v>
      </c>
      <c r="Q10" s="982"/>
    </row>
    <row r="11" spans="1:17" ht="21">
      <c r="A11" s="954" t="s">
        <v>552</v>
      </c>
      <c r="B11" s="969" t="s">
        <v>824</v>
      </c>
      <c r="C11" s="969" t="s">
        <v>824</v>
      </c>
      <c r="D11" s="969" t="s">
        <v>824</v>
      </c>
      <c r="E11" s="969" t="s">
        <v>824</v>
      </c>
      <c r="F11" s="969" t="s">
        <v>824</v>
      </c>
      <c r="G11" s="969" t="s">
        <v>824</v>
      </c>
      <c r="H11" s="969" t="s">
        <v>824</v>
      </c>
      <c r="I11" s="969" t="s">
        <v>824</v>
      </c>
      <c r="J11" s="969" t="s">
        <v>824</v>
      </c>
      <c r="K11" s="969" t="s">
        <v>824</v>
      </c>
      <c r="L11" s="969" t="s">
        <v>824</v>
      </c>
      <c r="M11" s="969" t="s">
        <v>824</v>
      </c>
      <c r="N11" s="969" t="s">
        <v>824</v>
      </c>
      <c r="O11" s="969" t="s">
        <v>824</v>
      </c>
      <c r="P11" s="991" t="s">
        <v>824</v>
      </c>
      <c r="Q11" s="992"/>
    </row>
    <row r="12" spans="1:17" ht="21">
      <c r="A12" s="954" t="s">
        <v>553</v>
      </c>
      <c r="B12" s="969" t="s">
        <v>824</v>
      </c>
      <c r="C12" s="969" t="s">
        <v>820</v>
      </c>
      <c r="D12" s="969" t="s">
        <v>820</v>
      </c>
      <c r="E12" s="969" t="s">
        <v>820</v>
      </c>
      <c r="F12" s="969" t="s">
        <v>820</v>
      </c>
      <c r="G12" s="969" t="s">
        <v>820</v>
      </c>
      <c r="H12" s="969" t="s">
        <v>820</v>
      </c>
      <c r="I12" s="969" t="s">
        <v>820</v>
      </c>
      <c r="J12" s="969" t="s">
        <v>820</v>
      </c>
      <c r="K12" s="969" t="s">
        <v>820</v>
      </c>
      <c r="L12" s="969" t="s">
        <v>820</v>
      </c>
      <c r="M12" s="969" t="s">
        <v>820</v>
      </c>
      <c r="N12" s="969" t="s">
        <v>820</v>
      </c>
      <c r="O12" s="969" t="s">
        <v>820</v>
      </c>
      <c r="P12" s="970" t="s">
        <v>820</v>
      </c>
      <c r="Q12" s="478"/>
    </row>
    <row r="13" spans="1:17" ht="21">
      <c r="A13" s="954" t="s">
        <v>554</v>
      </c>
      <c r="B13" s="969" t="s">
        <v>824</v>
      </c>
      <c r="C13" s="969" t="s">
        <v>820</v>
      </c>
      <c r="D13" s="969" t="s">
        <v>824</v>
      </c>
      <c r="E13" s="969" t="s">
        <v>824</v>
      </c>
      <c r="F13" s="969" t="s">
        <v>820</v>
      </c>
      <c r="G13" s="969" t="s">
        <v>824</v>
      </c>
      <c r="H13" s="969" t="s">
        <v>824</v>
      </c>
      <c r="I13" s="969" t="s">
        <v>820</v>
      </c>
      <c r="J13" s="969" t="s">
        <v>820</v>
      </c>
      <c r="K13" s="969" t="s">
        <v>820</v>
      </c>
      <c r="L13" s="969" t="s">
        <v>820</v>
      </c>
      <c r="M13" s="969" t="s">
        <v>824</v>
      </c>
      <c r="N13" s="969" t="s">
        <v>820</v>
      </c>
      <c r="O13" s="969" t="s">
        <v>820</v>
      </c>
      <c r="P13" s="970" t="s">
        <v>820</v>
      </c>
      <c r="Q13" s="478"/>
    </row>
    <row r="14" spans="1:17" ht="30">
      <c r="A14" s="985" t="s">
        <v>840</v>
      </c>
      <c r="B14" s="962" t="s">
        <v>814</v>
      </c>
      <c r="C14" s="969" t="s">
        <v>820</v>
      </c>
      <c r="D14" s="962" t="s">
        <v>814</v>
      </c>
      <c r="E14" s="969" t="s">
        <v>820</v>
      </c>
      <c r="F14" s="969" t="s">
        <v>820</v>
      </c>
      <c r="G14" s="969" t="s">
        <v>820</v>
      </c>
      <c r="H14" s="969" t="s">
        <v>820</v>
      </c>
      <c r="I14" s="969" t="s">
        <v>820</v>
      </c>
      <c r="J14" s="969" t="s">
        <v>820</v>
      </c>
      <c r="K14" s="969" t="s">
        <v>820</v>
      </c>
      <c r="L14" s="969" t="s">
        <v>820</v>
      </c>
      <c r="M14" s="969" t="s">
        <v>820</v>
      </c>
      <c r="N14" s="969" t="s">
        <v>820</v>
      </c>
      <c r="O14" s="969" t="s">
        <v>820</v>
      </c>
      <c r="P14" s="991" t="s">
        <v>820</v>
      </c>
      <c r="Q14" s="1040"/>
    </row>
    <row r="15" spans="1:17" s="486" customFormat="1" ht="21">
      <c r="A15" s="986" t="s">
        <v>555</v>
      </c>
      <c r="B15" s="987"/>
      <c r="C15" s="987"/>
      <c r="D15" s="987"/>
      <c r="E15" s="987"/>
      <c r="F15" s="987"/>
      <c r="G15" s="987"/>
      <c r="H15" s="987"/>
      <c r="I15" s="987"/>
      <c r="J15" s="987"/>
      <c r="K15" s="987"/>
      <c r="L15" s="987"/>
      <c r="M15" s="988"/>
      <c r="N15" s="987"/>
      <c r="O15" s="987"/>
      <c r="P15" s="989"/>
      <c r="Q15" s="990"/>
    </row>
    <row r="16" spans="1:17">
      <c r="M16" s="945"/>
    </row>
    <row r="17" spans="1:4">
      <c r="B17" s="951">
        <v>1</v>
      </c>
      <c r="C17" s="952">
        <v>2</v>
      </c>
      <c r="D17" s="953">
        <v>3</v>
      </c>
    </row>
    <row r="18" spans="1:4" ht="257.25" customHeight="1">
      <c r="A18" s="949" t="s">
        <v>818</v>
      </c>
      <c r="B18" s="948" t="s">
        <v>819</v>
      </c>
      <c r="C18" s="947" t="s">
        <v>831</v>
      </c>
      <c r="D18" s="950" t="s">
        <v>832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22" sqref="C22"/>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60">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c r="A4" s="1055" t="s">
        <v>249</v>
      </c>
      <c r="B4" s="1056">
        <f>'SEAP template'!B72</f>
        <v>0</v>
      </c>
      <c r="C4" s="1056"/>
      <c r="D4" s="1056"/>
      <c r="E4" s="1056"/>
      <c r="F4" s="1056"/>
      <c r="G4" s="1056"/>
      <c r="H4" s="1056"/>
      <c r="I4" s="1056"/>
      <c r="J4" s="1056"/>
      <c r="K4" s="1056"/>
      <c r="L4" s="1056"/>
      <c r="M4" s="1056"/>
      <c r="N4" s="1056"/>
      <c r="O4" s="1056"/>
      <c r="P4" s="1057">
        <f>'SEAP template'!Q72</f>
        <v>0</v>
      </c>
    </row>
    <row r="5" spans="1:16">
      <c r="A5" s="1058" t="s">
        <v>250</v>
      </c>
      <c r="B5" s="1056">
        <f>'SEAP template'!B73</f>
        <v>0</v>
      </c>
      <c r="C5" s="1056"/>
      <c r="D5" s="1056"/>
      <c r="E5" s="1056"/>
      <c r="F5" s="1056"/>
      <c r="G5" s="1056"/>
      <c r="H5" s="1056"/>
      <c r="I5" s="1056"/>
      <c r="J5" s="1056"/>
      <c r="K5" s="1056"/>
      <c r="L5" s="1056"/>
      <c r="M5" s="1056"/>
      <c r="N5" s="1056"/>
      <c r="O5" s="1056"/>
      <c r="P5" s="1057">
        <f>'SEAP template'!Q73</f>
        <v>0</v>
      </c>
    </row>
    <row r="6" spans="1:16">
      <c r="A6" s="1058" t="s">
        <v>251</v>
      </c>
      <c r="B6" s="1056">
        <f>'SEAP template'!B74</f>
        <v>6997.7452210617012</v>
      </c>
      <c r="C6" s="1056"/>
      <c r="D6" s="1056"/>
      <c r="E6" s="1056"/>
      <c r="F6" s="1056"/>
      <c r="G6" s="1056"/>
      <c r="H6" s="1056"/>
      <c r="I6" s="1056"/>
      <c r="J6" s="1056"/>
      <c r="K6" s="1056"/>
      <c r="L6" s="1056"/>
      <c r="M6" s="1056"/>
      <c r="N6" s="1056"/>
      <c r="O6" s="1056"/>
      <c r="P6" s="1057">
        <f>'SEAP template'!Q74</f>
        <v>0</v>
      </c>
    </row>
    <row r="7" spans="1:16">
      <c r="A7" s="1058" t="s">
        <v>839</v>
      </c>
      <c r="B7" s="1056">
        <f>'SEAP template'!B75</f>
        <v>0</v>
      </c>
      <c r="C7" s="1056"/>
      <c r="D7" s="1056"/>
      <c r="E7" s="1056"/>
      <c r="F7" s="1056"/>
      <c r="G7" s="1056"/>
      <c r="H7" s="1056"/>
      <c r="I7" s="1056"/>
      <c r="J7" s="1056"/>
      <c r="K7" s="1056"/>
      <c r="L7" s="1056"/>
      <c r="M7" s="1056"/>
      <c r="N7" s="1056"/>
      <c r="O7" s="1056"/>
      <c r="P7" s="1057">
        <f>'SEAP template'!Q75</f>
        <v>0</v>
      </c>
    </row>
    <row r="8" spans="1:16">
      <c r="A8" s="1055" t="s">
        <v>252</v>
      </c>
      <c r="B8" s="1056">
        <f>'SEAP template'!B76</f>
        <v>43.649999999999991</v>
      </c>
      <c r="C8" s="1056">
        <f>'SEAP template'!C76</f>
        <v>0</v>
      </c>
      <c r="D8" s="1056">
        <f>'SEAP template'!D76</f>
        <v>0</v>
      </c>
      <c r="E8" s="1056">
        <f>'SEAP template'!E76</f>
        <v>0</v>
      </c>
      <c r="F8" s="1056">
        <f>'SEAP template'!F76</f>
        <v>0</v>
      </c>
      <c r="G8" s="1056">
        <f>'SEAP template'!G76</f>
        <v>0</v>
      </c>
      <c r="H8" s="1056">
        <f>'SEAP template'!H76</f>
        <v>0</v>
      </c>
      <c r="I8" s="1056">
        <f>'SEAP template'!I76</f>
        <v>0</v>
      </c>
      <c r="J8" s="1056">
        <f>'SEAP template'!J76</f>
        <v>51.35294117647058</v>
      </c>
      <c r="K8" s="1056">
        <f>'SEAP template'!K76</f>
        <v>0</v>
      </c>
      <c r="L8" s="1056">
        <f>'SEAP template'!L76</f>
        <v>0</v>
      </c>
      <c r="M8" s="1056">
        <f>'SEAP template'!M76</f>
        <v>0</v>
      </c>
      <c r="N8" s="1056">
        <f>'SEAP template'!N76</f>
        <v>0</v>
      </c>
      <c r="O8" s="1056">
        <f>'SEAP template'!O76</f>
        <v>0</v>
      </c>
      <c r="P8" s="1057">
        <f>'SEAP template'!Q76</f>
        <v>0</v>
      </c>
    </row>
    <row r="9" spans="1:16">
      <c r="A9" s="1059" t="s">
        <v>854</v>
      </c>
      <c r="B9" s="1056">
        <f>'SEAP template'!B77</f>
        <v>0</v>
      </c>
      <c r="C9" s="1056">
        <f>'SEAP template'!C77</f>
        <v>0</v>
      </c>
      <c r="D9" s="1056">
        <f>'SEAP template'!D77</f>
        <v>0</v>
      </c>
      <c r="E9" s="1056">
        <f>'SEAP template'!E77</f>
        <v>0</v>
      </c>
      <c r="F9" s="1056">
        <f>'SEAP template'!F77</f>
        <v>0</v>
      </c>
      <c r="G9" s="1056">
        <f>'SEAP template'!G77</f>
        <v>0</v>
      </c>
      <c r="H9" s="1056">
        <f>'SEAP template'!H77</f>
        <v>0</v>
      </c>
      <c r="I9" s="1056">
        <f>'SEAP template'!I77</f>
        <v>0</v>
      </c>
      <c r="J9" s="1056">
        <f>'SEAP template'!J77</f>
        <v>0</v>
      </c>
      <c r="K9" s="1056">
        <f>'SEAP template'!K77</f>
        <v>0</v>
      </c>
      <c r="L9" s="1056">
        <f>'SEAP template'!L77</f>
        <v>0</v>
      </c>
      <c r="M9" s="1056">
        <f>'SEAP template'!M77</f>
        <v>0</v>
      </c>
      <c r="N9" s="1056">
        <f>'SEAP template'!N77</f>
        <v>0</v>
      </c>
      <c r="O9" s="1056">
        <f>'SEAP template'!O77</f>
        <v>0</v>
      </c>
      <c r="P9" s="1057">
        <f>'SEAP template'!Q77</f>
        <v>0</v>
      </c>
    </row>
    <row r="10" spans="1:16">
      <c r="A10" s="1058" t="s">
        <v>116</v>
      </c>
      <c r="B10" s="1060">
        <f>SUM(B4:B9)</f>
        <v>7041.3952210617008</v>
      </c>
      <c r="C10" s="1060">
        <f>SUM(C4:C9)</f>
        <v>0</v>
      </c>
      <c r="D10" s="1060">
        <f t="shared" ref="D10:H10" si="0">SUM(D8:D9)</f>
        <v>0</v>
      </c>
      <c r="E10" s="1060">
        <f t="shared" si="0"/>
        <v>0</v>
      </c>
      <c r="F10" s="1060">
        <f t="shared" si="0"/>
        <v>0</v>
      </c>
      <c r="G10" s="1060">
        <f t="shared" si="0"/>
        <v>0</v>
      </c>
      <c r="H10" s="1060">
        <f t="shared" si="0"/>
        <v>0</v>
      </c>
      <c r="I10" s="1060">
        <f>SUM(I8:I9)</f>
        <v>0</v>
      </c>
      <c r="J10" s="1060">
        <f>SUM(J8:J9)</f>
        <v>51.35294117647058</v>
      </c>
      <c r="K10" s="1060">
        <f t="shared" ref="K10:L10" si="1">SUM(K8:K9)</f>
        <v>0</v>
      </c>
      <c r="L10" s="1060">
        <f t="shared" si="1"/>
        <v>0</v>
      </c>
      <c r="M10" s="1060">
        <f>SUM(M8:M9)</f>
        <v>0</v>
      </c>
      <c r="N10" s="1060">
        <f>SUM(N8:N9)</f>
        <v>0</v>
      </c>
      <c r="O10" s="1060">
        <f>SUM(O8:O9)</f>
        <v>0</v>
      </c>
      <c r="P10" s="1060">
        <f>SUM(P8:P9)</f>
        <v>0</v>
      </c>
    </row>
    <row r="11" spans="1:16">
      <c r="A11" s="896"/>
      <c r="B11" s="896"/>
      <c r="C11" s="896"/>
      <c r="D11" s="896"/>
      <c r="E11" s="896"/>
      <c r="F11" s="896"/>
      <c r="G11" s="896"/>
      <c r="H11" s="896"/>
      <c r="I11" s="896"/>
      <c r="J11" s="896"/>
      <c r="K11" s="896"/>
      <c r="L11" s="896"/>
      <c r="M11" s="896"/>
      <c r="N11" s="896"/>
      <c r="O11" s="896"/>
      <c r="P11" s="896"/>
    </row>
    <row r="12" spans="1:16">
      <c r="A12" s="487" t="s">
        <v>855</v>
      </c>
      <c r="B12" s="786" t="s">
        <v>856</v>
      </c>
      <c r="C12" s="786">
        <f ca="1">'EF ele_warmte'!B12</f>
        <v>0.18268007863413283</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c r="A17" s="1061" t="s">
        <v>252</v>
      </c>
      <c r="B17" s="1062">
        <f>'SEAP template'!B87</f>
        <v>62.357142857142847</v>
      </c>
      <c r="C17" s="1062">
        <f>'SEAP template'!C87</f>
        <v>0</v>
      </c>
      <c r="D17" s="1057">
        <f>'SEAP template'!D87</f>
        <v>0</v>
      </c>
      <c r="E17" s="1057">
        <f>'SEAP template'!E87</f>
        <v>0</v>
      </c>
      <c r="F17" s="1057">
        <f>'SEAP template'!F87</f>
        <v>0</v>
      </c>
      <c r="G17" s="1057">
        <f>'SEAP template'!G87</f>
        <v>0</v>
      </c>
      <c r="H17" s="1057">
        <f>'SEAP template'!H87</f>
        <v>0</v>
      </c>
      <c r="I17" s="1057">
        <f>'SEAP template'!I87</f>
        <v>0</v>
      </c>
      <c r="J17" s="1057">
        <f>'SEAP template'!J87</f>
        <v>73.361344537815114</v>
      </c>
      <c r="K17" s="1057">
        <f>'SEAP template'!K87</f>
        <v>0</v>
      </c>
      <c r="L17" s="1057">
        <f>'SEAP template'!L87</f>
        <v>0</v>
      </c>
      <c r="M17" s="1057">
        <f>'SEAP template'!M87</f>
        <v>0</v>
      </c>
      <c r="N17" s="1057">
        <f>'SEAP template'!N87</f>
        <v>0</v>
      </c>
      <c r="O17" s="1057">
        <f>'SEAP template'!O87</f>
        <v>0</v>
      </c>
      <c r="P17" s="1057">
        <f>'SEAP template'!Q87</f>
        <v>0</v>
      </c>
    </row>
    <row r="18" spans="1:16">
      <c r="A18" s="1063" t="s">
        <v>258</v>
      </c>
      <c r="B18" s="1062">
        <f>'SEAP template'!B88</f>
        <v>0</v>
      </c>
      <c r="C18" s="1062">
        <f>'SEAP template'!C88</f>
        <v>0</v>
      </c>
      <c r="D18" s="1057">
        <f>'SEAP template'!D88</f>
        <v>0</v>
      </c>
      <c r="E18" s="1057">
        <f>'SEAP template'!E88</f>
        <v>0</v>
      </c>
      <c r="F18" s="1057">
        <f>'SEAP template'!F88</f>
        <v>0</v>
      </c>
      <c r="G18" s="1057">
        <f>'SEAP template'!G88</f>
        <v>0</v>
      </c>
      <c r="H18" s="1057">
        <f>'SEAP template'!H88</f>
        <v>0</v>
      </c>
      <c r="I18" s="1057">
        <f>'SEAP template'!I88</f>
        <v>0</v>
      </c>
      <c r="J18" s="1057">
        <f>'SEAP template'!J88</f>
        <v>0</v>
      </c>
      <c r="K18" s="1057">
        <f>'SEAP template'!K88</f>
        <v>0</v>
      </c>
      <c r="L18" s="1057">
        <f>'SEAP template'!L88</f>
        <v>0</v>
      </c>
      <c r="M18" s="1057">
        <f>'SEAP template'!M88</f>
        <v>0</v>
      </c>
      <c r="N18" s="1057">
        <f>'SEAP template'!N88</f>
        <v>0</v>
      </c>
      <c r="O18" s="1057">
        <f>'SEAP template'!O88</f>
        <v>0</v>
      </c>
      <c r="P18" s="1057">
        <f>'SEAP template'!Q88</f>
        <v>0</v>
      </c>
    </row>
    <row r="19" spans="1:16">
      <c r="A19" s="1059" t="s">
        <v>861</v>
      </c>
      <c r="B19" s="1062">
        <f>'SEAP template'!B89</f>
        <v>0</v>
      </c>
      <c r="C19" s="1062">
        <f>'SEAP template'!C89</f>
        <v>0</v>
      </c>
      <c r="D19" s="1057">
        <f>'SEAP template'!D89</f>
        <v>0</v>
      </c>
      <c r="E19" s="1057">
        <f>'SEAP template'!E89</f>
        <v>0</v>
      </c>
      <c r="F19" s="1057">
        <f>'SEAP template'!F89</f>
        <v>0</v>
      </c>
      <c r="G19" s="1057">
        <f>'SEAP template'!G89</f>
        <v>0</v>
      </c>
      <c r="H19" s="1057">
        <f>'SEAP template'!H89</f>
        <v>0</v>
      </c>
      <c r="I19" s="1057">
        <f>'SEAP template'!I89</f>
        <v>0</v>
      </c>
      <c r="J19" s="1057">
        <f>'SEAP template'!J89</f>
        <v>0</v>
      </c>
      <c r="K19" s="1057">
        <f>'SEAP template'!K89</f>
        <v>0</v>
      </c>
      <c r="L19" s="1057">
        <f>'SEAP template'!L89</f>
        <v>0</v>
      </c>
      <c r="M19" s="1057">
        <f>'SEAP template'!M89</f>
        <v>0</v>
      </c>
      <c r="N19" s="1057">
        <f>'SEAP template'!N89</f>
        <v>0</v>
      </c>
      <c r="O19" s="1057">
        <f>'SEAP template'!O89</f>
        <v>0</v>
      </c>
      <c r="P19" s="1057">
        <f>'SEAP template'!Q89</f>
        <v>0</v>
      </c>
    </row>
    <row r="20" spans="1:16">
      <c r="A20" s="1064" t="s">
        <v>116</v>
      </c>
      <c r="B20" s="1060">
        <f>SUM(B17:B19)</f>
        <v>62.357142857142847</v>
      </c>
      <c r="C20" s="1060">
        <f>SUM(C17:C19)</f>
        <v>0</v>
      </c>
      <c r="D20" s="1060">
        <f t="shared" ref="D20:H20" si="2">SUM(D17:D19)</f>
        <v>0</v>
      </c>
      <c r="E20" s="1060">
        <f t="shared" si="2"/>
        <v>0</v>
      </c>
      <c r="F20" s="1060">
        <f t="shared" si="2"/>
        <v>0</v>
      </c>
      <c r="G20" s="1060">
        <f t="shared" si="2"/>
        <v>0</v>
      </c>
      <c r="H20" s="1060">
        <f t="shared" si="2"/>
        <v>0</v>
      </c>
      <c r="I20" s="1060">
        <f>SUM(I17:I19)</f>
        <v>0</v>
      </c>
      <c r="J20" s="1060">
        <f>SUM(J17:J19)</f>
        <v>73.361344537815114</v>
      </c>
      <c r="K20" s="1060">
        <f t="shared" ref="K20:L20" si="3">SUM(K17:K19)</f>
        <v>0</v>
      </c>
      <c r="L20" s="1060">
        <f t="shared" si="3"/>
        <v>0</v>
      </c>
      <c r="M20" s="1060">
        <f>SUM(M17:M19)</f>
        <v>0</v>
      </c>
      <c r="N20" s="1060">
        <f>SUM(N17:N19)</f>
        <v>0</v>
      </c>
      <c r="O20" s="1060">
        <f>SUM(O17:O19)</f>
        <v>0</v>
      </c>
      <c r="P20" s="1060">
        <f>SUM(P17:P19)</f>
        <v>0</v>
      </c>
    </row>
    <row r="22" spans="1:16">
      <c r="A22" s="487" t="s">
        <v>862</v>
      </c>
      <c r="B22" s="786" t="s">
        <v>856</v>
      </c>
      <c r="C22" s="786">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22" workbookViewId="0">
      <selection activeCell="B48" sqref="B48"/>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15.75">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ht="135">
      <c r="A4" s="1065" t="s">
        <v>249</v>
      </c>
      <c r="B4" s="1066" t="s">
        <v>863</v>
      </c>
      <c r="C4" s="1067" t="s">
        <v>820</v>
      </c>
      <c r="D4" s="1067" t="s">
        <v>820</v>
      </c>
      <c r="E4" s="1067" t="s">
        <v>820</v>
      </c>
      <c r="F4" s="1067" t="s">
        <v>820</v>
      </c>
      <c r="G4" s="1067" t="s">
        <v>820</v>
      </c>
      <c r="H4" s="1067" t="s">
        <v>820</v>
      </c>
      <c r="I4" s="1067" t="s">
        <v>820</v>
      </c>
      <c r="J4" s="1067" t="s">
        <v>820</v>
      </c>
      <c r="K4" s="1067" t="s">
        <v>820</v>
      </c>
      <c r="L4" s="1067" t="s">
        <v>820</v>
      </c>
      <c r="M4" s="1067" t="s">
        <v>820</v>
      </c>
      <c r="N4" s="1067" t="s">
        <v>820</v>
      </c>
      <c r="O4" s="1067" t="s">
        <v>820</v>
      </c>
      <c r="P4" s="1068" t="s">
        <v>864</v>
      </c>
    </row>
    <row r="5" spans="1:16" ht="135">
      <c r="A5" s="1069" t="s">
        <v>250</v>
      </c>
      <c r="B5" s="1066" t="s">
        <v>863</v>
      </c>
      <c r="C5" s="1067" t="s">
        <v>820</v>
      </c>
      <c r="D5" s="1067" t="s">
        <v>820</v>
      </c>
      <c r="E5" s="1067" t="s">
        <v>820</v>
      </c>
      <c r="F5" s="1067" t="s">
        <v>820</v>
      </c>
      <c r="G5" s="1067" t="s">
        <v>820</v>
      </c>
      <c r="H5" s="1067" t="s">
        <v>820</v>
      </c>
      <c r="I5" s="1067" t="s">
        <v>820</v>
      </c>
      <c r="J5" s="1067" t="s">
        <v>820</v>
      </c>
      <c r="K5" s="1067" t="s">
        <v>820</v>
      </c>
      <c r="L5" s="1067" t="s">
        <v>820</v>
      </c>
      <c r="M5" s="1067" t="s">
        <v>820</v>
      </c>
      <c r="N5" s="1067" t="s">
        <v>820</v>
      </c>
      <c r="O5" s="1067" t="s">
        <v>820</v>
      </c>
      <c r="P5" s="1068" t="s">
        <v>864</v>
      </c>
    </row>
    <row r="6" spans="1:16" ht="135">
      <c r="A6" s="1069" t="s">
        <v>251</v>
      </c>
      <c r="B6" s="1066" t="s">
        <v>863</v>
      </c>
      <c r="C6" s="1067" t="s">
        <v>820</v>
      </c>
      <c r="D6" s="1067" t="s">
        <v>820</v>
      </c>
      <c r="E6" s="1067" t="s">
        <v>820</v>
      </c>
      <c r="F6" s="1067" t="s">
        <v>820</v>
      </c>
      <c r="G6" s="1067" t="s">
        <v>820</v>
      </c>
      <c r="H6" s="1067" t="s">
        <v>820</v>
      </c>
      <c r="I6" s="1067" t="s">
        <v>820</v>
      </c>
      <c r="J6" s="1067" t="s">
        <v>820</v>
      </c>
      <c r="K6" s="1067" t="s">
        <v>820</v>
      </c>
      <c r="L6" s="1067" t="s">
        <v>820</v>
      </c>
      <c r="M6" s="1067" t="s">
        <v>820</v>
      </c>
      <c r="N6" s="1067" t="s">
        <v>820</v>
      </c>
      <c r="O6" s="1067" t="s">
        <v>820</v>
      </c>
      <c r="P6" s="1068" t="s">
        <v>864</v>
      </c>
    </row>
    <row r="7" spans="1:16" ht="135">
      <c r="A7" s="1069" t="s">
        <v>839</v>
      </c>
      <c r="B7" s="1067" t="s">
        <v>820</v>
      </c>
      <c r="C7" s="1067" t="s">
        <v>820</v>
      </c>
      <c r="D7" s="1067" t="s">
        <v>820</v>
      </c>
      <c r="E7" s="1067" t="s">
        <v>820</v>
      </c>
      <c r="F7" s="1067" t="s">
        <v>820</v>
      </c>
      <c r="G7" s="1067" t="s">
        <v>820</v>
      </c>
      <c r="H7" s="1067" t="s">
        <v>820</v>
      </c>
      <c r="I7" s="1067" t="s">
        <v>820</v>
      </c>
      <c r="J7" s="1067" t="s">
        <v>820</v>
      </c>
      <c r="K7" s="1067" t="s">
        <v>820</v>
      </c>
      <c r="L7" s="1067" t="s">
        <v>820</v>
      </c>
      <c r="M7" s="1067" t="s">
        <v>820</v>
      </c>
      <c r="N7" s="1067" t="s">
        <v>820</v>
      </c>
      <c r="O7" s="1067" t="s">
        <v>820</v>
      </c>
      <c r="P7" s="1068" t="s">
        <v>864</v>
      </c>
    </row>
    <row r="8" spans="1:16" ht="210">
      <c r="A8" s="1065" t="s">
        <v>252</v>
      </c>
      <c r="B8" s="1066" t="s">
        <v>865</v>
      </c>
      <c r="C8" s="1066" t="s">
        <v>865</v>
      </c>
      <c r="D8" s="1066" t="s">
        <v>865</v>
      </c>
      <c r="E8" s="1066" t="s">
        <v>865</v>
      </c>
      <c r="F8" s="1066" t="s">
        <v>865</v>
      </c>
      <c r="G8" s="1066" t="s">
        <v>865</v>
      </c>
      <c r="H8" s="1066" t="s">
        <v>865</v>
      </c>
      <c r="I8" s="1066" t="s">
        <v>865</v>
      </c>
      <c r="J8" s="1066" t="s">
        <v>865</v>
      </c>
      <c r="K8" s="1067" t="s">
        <v>820</v>
      </c>
      <c r="L8" s="1067" t="s">
        <v>820</v>
      </c>
      <c r="M8" s="1067" t="s">
        <v>820</v>
      </c>
      <c r="N8" s="1066" t="s">
        <v>866</v>
      </c>
      <c r="O8" s="1066" t="s">
        <v>866</v>
      </c>
      <c r="P8" s="1070"/>
    </row>
    <row r="9" spans="1:16" ht="210">
      <c r="A9" s="1071" t="s">
        <v>854</v>
      </c>
      <c r="B9" s="1066" t="s">
        <v>866</v>
      </c>
      <c r="C9" s="1066" t="s">
        <v>866</v>
      </c>
      <c r="D9" s="1066" t="s">
        <v>866</v>
      </c>
      <c r="E9" s="1066" t="s">
        <v>866</v>
      </c>
      <c r="F9" s="1066" t="s">
        <v>866</v>
      </c>
      <c r="G9" s="1066" t="s">
        <v>866</v>
      </c>
      <c r="H9" s="1066" t="s">
        <v>866</v>
      </c>
      <c r="I9" s="1066" t="s">
        <v>866</v>
      </c>
      <c r="J9" s="1066" t="s">
        <v>866</v>
      </c>
      <c r="K9" s="1067" t="s">
        <v>820</v>
      </c>
      <c r="L9" s="1066" t="s">
        <v>866</v>
      </c>
      <c r="M9" s="1066" t="s">
        <v>866</v>
      </c>
      <c r="N9" s="1066" t="s">
        <v>866</v>
      </c>
      <c r="O9" s="1066" t="s">
        <v>866</v>
      </c>
      <c r="P9" s="1070"/>
    </row>
    <row r="10" spans="1:16">
      <c r="A10" s="1069" t="s">
        <v>116</v>
      </c>
      <c r="B10" s="1072"/>
      <c r="C10" s="1072"/>
      <c r="D10" s="1072"/>
      <c r="E10" s="1072"/>
      <c r="F10" s="1072"/>
      <c r="G10" s="1072"/>
      <c r="H10" s="1072"/>
      <c r="I10" s="1072"/>
      <c r="J10" s="1072"/>
      <c r="K10" s="1072"/>
      <c r="L10" s="1072"/>
      <c r="M10" s="1072"/>
      <c r="N10" s="1072"/>
      <c r="O10" s="1072"/>
      <c r="P10" s="1072"/>
    </row>
    <row r="11" spans="1:16">
      <c r="A11" s="896"/>
      <c r="B11" s="896"/>
      <c r="C11" s="896"/>
      <c r="D11" s="896"/>
      <c r="E11" s="896"/>
      <c r="F11" s="896"/>
      <c r="G11" s="896"/>
      <c r="H11" s="896"/>
      <c r="I11" s="896"/>
      <c r="J11" s="896"/>
      <c r="K11" s="896"/>
      <c r="L11" s="896"/>
      <c r="M11" s="896"/>
      <c r="N11" s="896"/>
      <c r="O11" s="896"/>
      <c r="P11" s="896"/>
    </row>
    <row r="12" spans="1:16" ht="150">
      <c r="A12" s="487" t="s">
        <v>855</v>
      </c>
      <c r="B12" s="786" t="s">
        <v>856</v>
      </c>
      <c r="C12" s="1073" t="s">
        <v>867</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ht="210">
      <c r="A17" s="1061" t="s">
        <v>252</v>
      </c>
      <c r="B17" s="1066" t="s">
        <v>866</v>
      </c>
      <c r="C17" s="1066" t="s">
        <v>866</v>
      </c>
      <c r="D17" s="1066" t="s">
        <v>866</v>
      </c>
      <c r="E17" s="1066" t="s">
        <v>866</v>
      </c>
      <c r="F17" s="1066" t="s">
        <v>866</v>
      </c>
      <c r="G17" s="1066" t="s">
        <v>866</v>
      </c>
      <c r="H17" s="1066" t="s">
        <v>866</v>
      </c>
      <c r="I17" s="1066" t="s">
        <v>866</v>
      </c>
      <c r="J17" s="1066" t="s">
        <v>866</v>
      </c>
      <c r="K17" s="1067" t="s">
        <v>820</v>
      </c>
      <c r="L17" s="1067" t="s">
        <v>820</v>
      </c>
      <c r="M17" s="1067" t="s">
        <v>820</v>
      </c>
      <c r="N17" s="1066" t="s">
        <v>866</v>
      </c>
      <c r="O17" s="1066" t="s">
        <v>866</v>
      </c>
      <c r="P17" s="1074"/>
    </row>
    <row r="18" spans="1:16" ht="45">
      <c r="A18" s="1063" t="s">
        <v>258</v>
      </c>
      <c r="B18" s="1068" t="s">
        <v>824</v>
      </c>
      <c r="C18" s="1068" t="s">
        <v>824</v>
      </c>
      <c r="D18" s="1068" t="s">
        <v>824</v>
      </c>
      <c r="E18" s="1068" t="s">
        <v>824</v>
      </c>
      <c r="F18" s="1068" t="s">
        <v>824</v>
      </c>
      <c r="G18" s="1068" t="s">
        <v>824</v>
      </c>
      <c r="H18" s="1068" t="s">
        <v>824</v>
      </c>
      <c r="I18" s="1068" t="s">
        <v>824</v>
      </c>
      <c r="J18" s="1068" t="s">
        <v>824</v>
      </c>
      <c r="K18" s="1068" t="s">
        <v>824</v>
      </c>
      <c r="L18" s="1068" t="s">
        <v>824</v>
      </c>
      <c r="M18" s="1068" t="s">
        <v>824</v>
      </c>
      <c r="N18" s="1068" t="s">
        <v>824</v>
      </c>
      <c r="O18" s="1068" t="s">
        <v>824</v>
      </c>
      <c r="P18" s="1068" t="s">
        <v>824</v>
      </c>
    </row>
    <row r="19" spans="1:16" ht="45">
      <c r="A19" s="1059" t="s">
        <v>861</v>
      </c>
      <c r="B19" s="1068" t="s">
        <v>824</v>
      </c>
      <c r="C19" s="1068" t="s">
        <v>824</v>
      </c>
      <c r="D19" s="1068" t="s">
        <v>824</v>
      </c>
      <c r="E19" s="1068" t="s">
        <v>824</v>
      </c>
      <c r="F19" s="1068" t="s">
        <v>824</v>
      </c>
      <c r="G19" s="1068" t="s">
        <v>824</v>
      </c>
      <c r="H19" s="1068" t="s">
        <v>824</v>
      </c>
      <c r="I19" s="1068" t="s">
        <v>824</v>
      </c>
      <c r="J19" s="1068" t="s">
        <v>824</v>
      </c>
      <c r="K19" s="1068" t="s">
        <v>824</v>
      </c>
      <c r="L19" s="1068" t="s">
        <v>824</v>
      </c>
      <c r="M19" s="1068" t="s">
        <v>824</v>
      </c>
      <c r="N19" s="1068" t="s">
        <v>824</v>
      </c>
      <c r="O19" s="1068" t="s">
        <v>824</v>
      </c>
      <c r="P19" s="1068" t="s">
        <v>824</v>
      </c>
    </row>
    <row r="20" spans="1:16">
      <c r="A20" s="1064" t="s">
        <v>116</v>
      </c>
      <c r="B20" s="1060"/>
      <c r="C20" s="1060"/>
      <c r="D20" s="1060"/>
      <c r="E20" s="1060"/>
      <c r="F20" s="1060"/>
      <c r="G20" s="1060"/>
      <c r="H20" s="1060"/>
      <c r="I20" s="1060"/>
      <c r="J20" s="1060"/>
      <c r="K20" s="1060"/>
      <c r="L20" s="1060"/>
      <c r="M20" s="1060"/>
      <c r="N20" s="1060"/>
      <c r="O20" s="1060"/>
      <c r="P20" s="1060"/>
    </row>
    <row r="22" spans="1:16" ht="90">
      <c r="A22" s="487" t="s">
        <v>862</v>
      </c>
      <c r="B22" s="786" t="s">
        <v>856</v>
      </c>
      <c r="C22" s="1073" t="s">
        <v>868</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610</v>
      </c>
      <c r="B4" s="490"/>
      <c r="C4" s="490"/>
      <c r="D4" s="490"/>
      <c r="E4" s="490"/>
      <c r="F4" s="490"/>
      <c r="G4" s="522"/>
      <c r="H4" s="522"/>
      <c r="I4" s="490"/>
      <c r="J4" s="490"/>
      <c r="K4" s="490"/>
      <c r="L4" s="490"/>
      <c r="M4" s="490"/>
      <c r="N4" s="490"/>
      <c r="O4" s="490"/>
      <c r="P4" s="490"/>
    </row>
    <row r="5" spans="1:16" outlineLevel="1">
      <c r="A5" s="694" t="s">
        <v>611</v>
      </c>
      <c r="B5" s="490"/>
      <c r="C5" s="490"/>
      <c r="D5" s="490"/>
      <c r="E5" s="490"/>
      <c r="F5" s="490"/>
      <c r="G5" s="522"/>
      <c r="H5" s="522"/>
      <c r="I5" s="490"/>
      <c r="J5" s="490"/>
      <c r="K5" s="490"/>
      <c r="L5" s="490"/>
      <c r="M5" s="490"/>
      <c r="N5" s="490"/>
      <c r="O5" s="490"/>
      <c r="P5" s="490"/>
    </row>
    <row r="6" spans="1:16" outlineLevel="1">
      <c r="A6" s="694" t="s">
        <v>612</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613</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614</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576</v>
      </c>
      <c r="B13" s="477"/>
      <c r="C13" s="494"/>
      <c r="D13" s="494"/>
      <c r="E13" s="494"/>
      <c r="F13" s="494"/>
      <c r="G13" s="494"/>
      <c r="H13" s="494"/>
      <c r="I13" s="494"/>
      <c r="J13" s="494"/>
      <c r="K13" s="494"/>
      <c r="L13" s="494"/>
      <c r="M13" s="494"/>
      <c r="N13" s="494"/>
      <c r="O13" s="787" t="s">
        <v>631</v>
      </c>
      <c r="P13" s="787" t="s">
        <v>630</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0.18268007863413283</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483</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652</v>
      </c>
      <c r="E24" s="478"/>
    </row>
    <row r="25" spans="1:16" s="477" customFormat="1" outlineLevel="1">
      <c r="A25" s="511" t="s">
        <v>450</v>
      </c>
      <c r="B25" s="48">
        <v>4.2</v>
      </c>
      <c r="C25" s="512"/>
      <c r="D25" s="513" t="s">
        <v>507</v>
      </c>
      <c r="E25" s="489"/>
    </row>
    <row r="26" spans="1:16" s="477" customFormat="1" outlineLevel="1">
      <c r="A26" s="791" t="s">
        <v>451</v>
      </c>
      <c r="B26" s="792">
        <f>1.34/3.6</f>
        <v>0.37222222222222223</v>
      </c>
      <c r="C26" s="512" t="s">
        <v>218</v>
      </c>
      <c r="D26" s="513" t="s">
        <v>507</v>
      </c>
      <c r="E26" s="489"/>
    </row>
    <row r="27" spans="1:16" s="477" customFormat="1" outlineLevel="1">
      <c r="A27" s="514" t="s">
        <v>622</v>
      </c>
      <c r="B27" s="794">
        <f>B24*B25*B26</f>
        <v>0</v>
      </c>
      <c r="C27" s="515" t="s">
        <v>623</v>
      </c>
      <c r="D27" s="516"/>
      <c r="E27" s="517"/>
    </row>
    <row r="28" spans="1:16" s="477" customFormat="1" outlineLevel="1">
      <c r="A28" s="48"/>
      <c r="B28" s="48"/>
      <c r="C28" s="518"/>
      <c r="D28" s="512"/>
    </row>
    <row r="29" spans="1:16" s="477" customFormat="1" outlineLevel="1">
      <c r="A29" s="519" t="s">
        <v>484</v>
      </c>
      <c r="B29" s="503"/>
      <c r="C29" s="504"/>
      <c r="D29" s="505"/>
      <c r="E29" s="506"/>
    </row>
    <row r="30" spans="1:16" s="48" customFormat="1" outlineLevel="1">
      <c r="A30" s="520"/>
      <c r="B30" s="508"/>
      <c r="C30" s="509" t="s">
        <v>377</v>
      </c>
      <c r="D30" s="509" t="s">
        <v>182</v>
      </c>
      <c r="E30" s="510"/>
    </row>
    <row r="31" spans="1:16" s="477" customFormat="1" outlineLevel="1">
      <c r="A31" s="511" t="s">
        <v>449</v>
      </c>
      <c r="B31" s="47">
        <f>EigenWP</f>
        <v>0</v>
      </c>
      <c r="C31" s="512"/>
      <c r="D31" s="894" t="s">
        <v>652</v>
      </c>
      <c r="E31" s="478"/>
    </row>
    <row r="32" spans="1:16" s="477" customFormat="1" outlineLevel="1">
      <c r="A32" s="511" t="s">
        <v>447</v>
      </c>
      <c r="B32" s="48">
        <v>13</v>
      </c>
      <c r="C32" s="518" t="s">
        <v>263</v>
      </c>
      <c r="D32" s="513" t="s">
        <v>507</v>
      </c>
      <c r="E32" s="478"/>
    </row>
    <row r="33" spans="1:5" s="477" customFormat="1" outlineLevel="1">
      <c r="A33" s="511" t="s">
        <v>448</v>
      </c>
      <c r="B33" s="48">
        <v>2000</v>
      </c>
      <c r="C33" s="518" t="s">
        <v>265</v>
      </c>
      <c r="D33" s="513" t="s">
        <v>507</v>
      </c>
      <c r="E33" s="478"/>
    </row>
    <row r="34" spans="1:5" s="477" customFormat="1" outlineLevel="1">
      <c r="A34" s="791" t="s">
        <v>382</v>
      </c>
      <c r="B34" s="48">
        <v>3.75</v>
      </c>
      <c r="C34" s="518"/>
      <c r="D34" s="513" t="s">
        <v>507</v>
      </c>
      <c r="E34" s="478"/>
    </row>
    <row r="35" spans="1:5" s="477" customFormat="1" outlineLevel="1">
      <c r="A35" s="514" t="s">
        <v>622</v>
      </c>
      <c r="B35" s="793">
        <f>B31*B32*B33/1000-B31*B32*B33/1000/B34</f>
        <v>0</v>
      </c>
      <c r="C35" s="521" t="s">
        <v>623</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2019-08-12T08:35:34Z</dcterms:modified>
</cp:coreProperties>
</file>