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C98" i="18"/>
  <c r="O77" i="14"/>
  <c r="O9" i="61" s="1"/>
  <c r="O10" s="1"/>
  <c r="N20"/>
  <c r="K90" i="14"/>
  <c r="K22"/>
  <c r="N77"/>
  <c r="O89"/>
  <c r="O19" i="61" s="1"/>
  <c r="P27" i="48"/>
  <c r="B10" i="18"/>
  <c r="M77" i="14"/>
  <c r="M9" i="61" s="1"/>
  <c r="H9" i="18"/>
  <c r="O9" s="1"/>
  <c r="E20" i="61"/>
  <c r="L20"/>
  <c r="P22" i="14"/>
  <c r="E10" i="61"/>
  <c r="B17" i="18"/>
  <c r="B20" s="1"/>
  <c r="F13" i="15"/>
  <c r="O22" i="14"/>
  <c r="G77"/>
  <c r="G9" i="61" s="1"/>
  <c r="G10"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O29" i="48"/>
  <c r="O27"/>
  <c r="P29"/>
  <c r="P32"/>
  <c r="O24"/>
  <c r="P24"/>
  <c r="P30"/>
  <c r="G78" i="14"/>
  <c r="R9"/>
  <c r="D22"/>
  <c r="E55"/>
  <c r="R25"/>
  <c r="E78"/>
  <c r="N78" l="1"/>
  <c r="N9" i="61"/>
  <c r="N10" s="1"/>
  <c r="H78" i="14"/>
  <c r="H9" i="61"/>
  <c r="H10" s="1"/>
  <c r="O90" i="14"/>
  <c r="O18" i="61"/>
  <c r="O20"/>
  <c r="Q89" i="14"/>
  <c r="P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78" i="14"/>
  <c r="M8" i="61"/>
  <c r="M1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G5" i="48"/>
  <c r="H10" i="14"/>
  <c r="H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4"/>
  <c r="I28"/>
  <c r="I30"/>
  <c r="I27"/>
  <c r="I31"/>
  <c r="I22"/>
  <c r="I32"/>
  <c r="I26"/>
  <c r="I29"/>
  <c r="H29"/>
  <c r="H32"/>
  <c r="H28"/>
  <c r="H30"/>
  <c r="H22"/>
  <c r="H25"/>
  <c r="H24"/>
  <c r="H26"/>
  <c r="H23"/>
  <c r="C4"/>
  <c r="D11" i="14"/>
  <c r="G23" i="48"/>
  <c r="G30"/>
  <c r="G32"/>
  <c r="G24"/>
  <c r="G25"/>
  <c r="G26"/>
  <c r="G29"/>
  <c r="G22"/>
  <c r="B4"/>
  <c r="C11" i="14"/>
  <c r="F30" i="48"/>
  <c r="F32"/>
  <c r="F31"/>
  <c r="F29"/>
  <c r="F24"/>
  <c r="F28"/>
  <c r="F27"/>
  <c r="N31"/>
  <c r="N24"/>
  <c r="N30"/>
  <c r="N32"/>
  <c r="N28"/>
  <c r="N27"/>
  <c r="N29"/>
  <c r="B10"/>
  <c r="C19" i="14"/>
  <c r="E29" i="48"/>
  <c r="E31"/>
  <c r="E24"/>
  <c r="E30"/>
  <c r="E28"/>
  <c r="E32"/>
  <c r="M29"/>
  <c r="M22"/>
  <c r="M25"/>
  <c r="M26"/>
  <c r="M24"/>
  <c r="M30"/>
  <c r="M32"/>
  <c r="M23"/>
  <c r="B8" i="9"/>
  <c r="B6" i="48" s="1"/>
  <c r="Q6" s="1"/>
  <c r="P11" i="14"/>
  <c r="O4" i="48"/>
  <c r="D4"/>
  <c r="D22" s="1"/>
  <c r="E11" i="14"/>
  <c r="K5" i="48"/>
  <c r="L10" i="14"/>
  <c r="L16" s="1"/>
  <c r="L27" s="1"/>
  <c r="D30" i="48"/>
  <c r="D28"/>
  <c r="D29"/>
  <c r="D31"/>
  <c r="D32"/>
  <c r="D24"/>
  <c r="L29"/>
  <c r="L32"/>
  <c r="L30"/>
  <c r="L28"/>
  <c r="L22"/>
  <c r="L27"/>
  <c r="L24"/>
  <c r="L31"/>
  <c r="Q10" i="14"/>
  <c r="P5" i="48"/>
  <c r="P23" s="1"/>
  <c r="K32"/>
  <c r="K24"/>
  <c r="K27"/>
  <c r="K25"/>
  <c r="K26"/>
  <c r="K28"/>
  <c r="K31"/>
  <c r="K22"/>
  <c r="K29"/>
  <c r="K30"/>
  <c r="C24" i="14"/>
  <c r="C26" s="1"/>
  <c r="B7" i="48"/>
  <c r="J31"/>
  <c r="J30"/>
  <c r="J32"/>
  <c r="J24"/>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Q13" i="14" l="1"/>
  <c r="P8" i="48"/>
  <c r="P26" s="1"/>
  <c r="E20" i="14"/>
  <c r="E22" s="1"/>
  <c r="D9" i="48"/>
  <c r="D27" s="1"/>
  <c r="P10" i="14"/>
  <c r="O5" i="48"/>
  <c r="O23" s="1"/>
  <c r="C22" i="14"/>
  <c r="B9" i="48"/>
  <c r="C20" i="14"/>
  <c r="J7" i="48"/>
  <c r="J25" s="1"/>
  <c r="K24" i="14"/>
  <c r="K26" s="1"/>
  <c r="G11"/>
  <c r="F4" i="48"/>
  <c r="F22" s="1"/>
  <c r="I5"/>
  <c r="J10" i="14"/>
  <c r="J16" s="1"/>
  <c r="J27" s="1"/>
  <c r="L61"/>
  <c r="L63" s="1"/>
  <c r="F20"/>
  <c r="F22" s="1"/>
  <c r="E9" i="48"/>
  <c r="E27" s="1"/>
  <c r="O22"/>
  <c r="H18" i="14"/>
  <c r="G13" i="48"/>
  <c r="G31" s="1"/>
  <c r="P22"/>
  <c r="P33" s="1"/>
  <c r="P15"/>
  <c r="K23"/>
  <c r="K33" s="1"/>
  <c r="K15"/>
  <c r="J61" i="14"/>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H19" l="1"/>
  <c r="G10" i="48"/>
  <c r="E7"/>
  <c r="E25" s="1"/>
  <c r="F24" i="14"/>
  <c r="F26" s="1"/>
  <c r="I23" i="48"/>
  <c r="I33" s="1"/>
  <c r="I15"/>
  <c r="M10"/>
  <c r="M28" s="1"/>
  <c r="N19" i="14"/>
  <c r="E4" i="48"/>
  <c r="F11" i="14"/>
  <c r="P13"/>
  <c r="P16" s="1"/>
  <c r="P27" s="1"/>
  <c r="O8" i="48"/>
  <c r="O26" s="1"/>
  <c r="J4"/>
  <c r="K11" i="14"/>
  <c r="O11"/>
  <c r="N4" i="48"/>
  <c r="N22" s="1"/>
  <c r="J63" i="14"/>
  <c r="Q63"/>
  <c r="O33" i="48"/>
  <c r="M14" i="22"/>
  <c r="N20" i="14" s="1"/>
  <c r="N22" s="1"/>
  <c r="N27" s="1"/>
  <c r="I20"/>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R19" i="14"/>
  <c r="Q7" i="48"/>
  <c r="M18" i="22"/>
  <c r="N50" i="14" s="1"/>
  <c r="N52" s="1"/>
  <c r="N61" s="1"/>
  <c r="N63" s="1"/>
  <c r="G9" i="48"/>
  <c r="H20" i="14"/>
  <c r="H22" s="1"/>
  <c r="H27" s="1"/>
  <c r="G28" i="48"/>
  <c r="Q10"/>
  <c r="J5"/>
  <c r="J23" s="1"/>
  <c r="K10" i="14"/>
  <c r="F10"/>
  <c r="E5" i="48"/>
  <c r="E23" s="1"/>
  <c r="J22"/>
  <c r="R11" i="14"/>
  <c r="O15" i="48"/>
  <c r="M15"/>
  <c r="M27"/>
  <c r="M33" s="1"/>
  <c r="Q9"/>
  <c r="H15"/>
  <c r="H27"/>
  <c r="H33" s="1"/>
  <c r="R24" i="14"/>
  <c r="R26" s="1"/>
  <c r="N18" i="16"/>
  <c r="E20" i="15"/>
  <c r="F40" i="14" s="1"/>
  <c r="F18" i="16"/>
  <c r="J18"/>
  <c r="E18"/>
  <c r="G18" i="22"/>
  <c r="H50" i="14" s="1"/>
  <c r="H52" s="1"/>
  <c r="H61" s="1"/>
  <c r="H18" i="22"/>
  <c r="I50" i="14" s="1"/>
  <c r="I52" s="1"/>
  <c r="I61" s="1"/>
  <c r="I63" s="1"/>
  <c r="H63" l="1"/>
  <c r="G27" i="48"/>
  <c r="G33" s="1"/>
  <c r="G15"/>
  <c r="F16" i="14"/>
  <c r="F27" s="1"/>
  <c r="F63" s="1"/>
  <c r="F46"/>
  <c r="F61" s="1"/>
  <c r="J8" i="48"/>
  <c r="K13" i="14"/>
  <c r="K16" s="1"/>
  <c r="K27" s="1"/>
  <c r="K63" s="1"/>
  <c r="F13"/>
  <c r="E8" i="48"/>
  <c r="R20" i="14"/>
  <c r="R22" s="1"/>
  <c r="N8" i="48"/>
  <c r="N26" s="1"/>
  <c r="O13" i="14"/>
  <c r="F8" i="48"/>
  <c r="G13" i="14"/>
  <c r="R13" s="1"/>
  <c r="E22" i="16"/>
  <c r="F43" i="14" s="1"/>
  <c r="F22" i="16"/>
  <c r="G43" i="14" s="1"/>
  <c r="N22" i="16"/>
  <c r="O43" i="14" s="1"/>
  <c r="J22" i="16"/>
  <c r="K43" i="14" s="1"/>
  <c r="K46" s="1"/>
  <c r="K61" s="1"/>
  <c r="J26" i="48" l="1"/>
  <c r="J33" s="1"/>
  <c r="J15"/>
  <c r="E26"/>
  <c r="E33" s="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<sst xmlns="http://schemas.openxmlformats.org/spreadsheetml/2006/main" count="2410" uniqueCount="896">
  <si>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</si>
  <si>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</si>
  <si>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</si>
  <si>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</si>
  <si>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</si>
  <si>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</si>
  <si>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</si>
  <si>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</si>
  <si>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</si>
  <si>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</si>
  <si>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</si>
  <si>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</si>
  <si>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</si>
  <si>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</si>
  <si>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</si>
  <si>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</si>
  <si>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</si>
  <si>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</si>
  <si>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</si>
  <si>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</si>
  <si>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</si>
  <si>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</si>
  <si>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</si>
  <si>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</si>
  <si>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</si>
  <si>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</si>
  <si>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</si>
  <si>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</si>
  <si>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</si>
  <si>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</si>
  <si>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</si>
  <si>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</si>
  <si>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</si>
  <si>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</si>
  <si>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</si>
  <si>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</si>
  <si>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</si>
  <si>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</si>
  <si>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</si>
  <si>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</si>
  <si>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</si>
  <si>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</si>
  <si>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</si>
  <si>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</si>
  <si>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</si>
  <si>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</si>
  <si>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</si>
  <si>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</si>
  <si>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</si>
  <si>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</si>
  <si>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</si>
  <si>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</si>
  <si>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</si>
  <si>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</si>
  <si>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</si>
  <si>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</si>
  <si>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</si>
  <si>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</si>
  <si>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</si>
  <si>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</si>
  <si>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</si>
  <si>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</si>
  <si>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</si>
  <si>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</si>
  <si>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</si>
  <si>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</si>
  <si>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</si>
  <si>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</si>
  <si>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</si>
  <si>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</si>
  <si>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</si>
  <si>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</si>
  <si>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</si>
  <si>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</si>
  <si>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</si>
  <si>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</si>
  <si>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</si>
  <si>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</si>
  <si>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</si>
  <si>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</si>
  <si>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</si>
  <si>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</si>
  <si>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</si>
  <si>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</si>
  <si>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</si>
  <si>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</si>
  <si>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</si>
  <si>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</si>
  <si>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</si>
  <si>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</si>
  <si>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</si>
  <si>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</si>
  <si>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</si>
  <si>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</si>
  <si>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</si>
  <si>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</si>
  <si>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</si>
  <si>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</si>
  <si>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</si>
  <si>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</si>
  <si>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</si>
  <si>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</si>
  <si>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</si>
  <si>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</si>
  <si>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</si>
  <si>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</si>
  <si>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</si>
  <si>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</si>
  <si>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</si>
  <si>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</si>
  <si>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</si>
  <si>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</si>
  <si>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</si>
  <si>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</si>
  <si>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</si>
  <si>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</si>
  <si>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</si>
  <si>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</si>
  <si>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</si>
  <si>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</si>
  <si>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</si>
  <si>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</si>
  <si>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</si>
  <si>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</si>
  <si>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</si>
  <si>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</si>
  <si>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</si>
  <si>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</si>
  <si>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</si>
  <si>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</si>
  <si>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</si>
  <si>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</si>
  <si>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</si>
  <si>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</si>
  <si>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</si>
  <si>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</si>
  <si>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</si>
  <si>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</si>
  <si>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</si>
  <si>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</si>
  <si>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</si>
  <si>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</si>
  <si>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</si>
  <si>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</si>
  <si>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</si>
  <si>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</si>
  <si>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</si>
  <si>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</si>
  <si>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</si>
  <si>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</si>
  <si>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</si>
  <si>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</si>
  <si>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</si>
  <si>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</si>
  <si>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</si>
  <si>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</si>
  <si>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</si>
  <si>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</si>
  <si>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</si>
  <si>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</si>
  <si>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</si>
  <si>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</si>
  <si>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</si>
  <si>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</si>
  <si>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</si>
  <si>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</si>
  <si>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</si>
  <si>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</si>
  <si>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</si>
  <si>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</si>
  <si>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</si>
  <si>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</si>
  <si>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</si>
  <si>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</si>
  <si>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</si>
  <si>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</si>
  <si>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</si>
  <si>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</si>
  <si>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</si>
  <si>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</si>
  <si>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</si>
  <si>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</si>
  <si>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</si>
  <si>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</si>
  <si>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</si>
  <si>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</si>
  <si>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</si>
  <si>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</si>
  <si>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</si>
  <si>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</si>
  <si>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</si>
  <si>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</si>
  <si>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</si>
  <si>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</si>
  <si>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</si>
  <si>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</si>
  <si>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</si>
  <si>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</si>
  <si>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</si>
  <si>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</si>
  <si>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</si>
  <si>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</si>
  <si>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</si>
  <si>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</si>
  <si>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</si>
  <si>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</si>
  <si>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</si>
  <si>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</si>
  <si>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</si>
  <si>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</si>
  <si>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</si>
  <si>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</si>
  <si>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</si>
  <si>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</si>
  <si>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</si>
  <si>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</si>
  <si>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</si>
  <si>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</si>
  <si>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</si>
  <si>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</si>
  <si>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</si>
  <si>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</si>
  <si>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</si>
  <si>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</si>
  <si>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</si>
  <si>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</si>
  <si>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</si>
  <si>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</si>
  <si>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</si>
  <si>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</si>
  <si>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</si>
  <si>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</si>
  <si>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</si>
  <si>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</si>
  <si>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</si>
  <si>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</si>
  <si>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</si>
  <si>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</si>
  <si>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</si>
  <si>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</si>
  <si>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</si>
  <si>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</si>
  <si>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</si>
  <si>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</si>
  <si>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</si>
  <si>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</si>
  <si>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</si>
  <si>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</si>
  <si>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</si>
  <si>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</si>
  <si>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</si>
  <si>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</si>
  <si>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</si>
  <si>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</si>
  <si>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</si>
  <si>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</si>
  <si>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</si>
  <si>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</si>
  <si>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</si>
  <si>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</si>
  <si>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</si>
  <si>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</si>
  <si>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</si>
  <si>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</si>
  <si>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</si>
  <si>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</si>
  <si>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</si>
  <si>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</si>
  <si>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</si>
  <si>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</si>
  <si>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</si>
  <si>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</si>
  <si>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</si>
  <si>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</si>
  <si>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</si>
  <si>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</si>
  <si>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</si>
  <si>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</si>
  <si>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</si>
  <si>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</si>
  <si>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</si>
  <si>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</si>
  <si>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</si>
  <si>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</si>
  <si>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</si>
  <si>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</si>
  <si>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</si>
  <si>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</si>
  <si>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</si>
  <si>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</si>
  <si>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</si>
  <si>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</si>
  <si>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</si>
  <si>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</si>
  <si>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</si>
  <si>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</si>
  <si>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</si>
  <si>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</si>
  <si>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</si>
  <si>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</si>
  <si>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</si>
  <si>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</si>
  <si>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</si>
  <si>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</si>
  <si>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</si>
  <si>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</si>
  <si>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</si>
  <si>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</si>
  <si>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</si>
  <si>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</si>
  <si>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</si>
  <si>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</si>
  <si>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</si>
  <si>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</si>
  <si>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</si>
  <si>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</si>
  <si>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</si>
  <si>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</si>
  <si>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</si>
  <si>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</si>
  <si>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</si>
  <si>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</si>
  <si>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</si>
  <si>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</si>
  <si>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</si>
  <si>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</si>
  <si>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</si>
  <si>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</si>
  <si>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</si>
  <si>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</si>
  <si>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</si>
  <si>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</si>
  <si>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</si>
  <si>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</si>
  <si>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</si>
  <si>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</si>
  <si>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</si>
  <si>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</si>
  <si>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</si>
  <si>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</si>
  <si>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</si>
  <si>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</si>
  <si>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</si>
  <si>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</si>
  <si>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</si>
  <si>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</si>
  <si>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</si>
  <si>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</si>
  <si>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</si>
  <si>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</si>
  <si>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</si>
  <si>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</si>
  <si>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</si>
  <si>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</si>
  <si>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</si>
  <si>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</si>
  <si>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</si>
  <si>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</si>
  <si>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</si>
  <si>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</si>
  <si>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</si>
  <si>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</si>
  <si>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</si>
  <si>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</si>
  <si>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</si>
  <si>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</si>
  <si>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</si>
  <si>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</si>
  <si>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</si>
  <si>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</si>
  <si>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</si>
  <si>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</si>
  <si>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</si>
  <si>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</si>
  <si>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</si>
  <si>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</si>
  <si>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</si>
  <si>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</si>
  <si>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</si>
  <si>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</si>
  <si>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</si>
  <si>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</si>
  <si>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</si>
  <si>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</si>
  <si>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</si>
  <si>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</si>
  <si>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</si>
  <si>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</si>
  <si>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</si>
  <si>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</si>
  <si>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</si>
  <si>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</si>
  <si>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</si>
  <si>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</si>
  <si>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</si>
  <si>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</si>
  <si>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</si>
  <si>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</si>
  <si>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</si>
  <si>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</si>
  <si>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</si>
  <si>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</si>
  <si>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</si>
  <si>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</si>
  <si>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</si>
  <si>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</si>
  <si>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</si>
  <si>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</si>
  <si>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</si>
  <si>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</si>
  <si>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</si>
  <si>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</si>
  <si>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</si>
  <si>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</si>
  <si>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</si>
  <si>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</si>
  <si>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</si>
  <si>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</si>
  <si>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</si>
  <si>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</si>
  <si>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</si>
  <si>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</si>
  <si>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</si>
  <si>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</si>
  <si>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</si>
  <si>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</si>
  <si>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</si>
  <si>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</si>
  <si>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</si>
  <si>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</si>
  <si>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</si>
  <si>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</si>
  <si>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</si>
  <si>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</si>
  <si>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</si>
  <si>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</si>
  <si>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</si>
  <si>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</si>
  <si>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</si>
  <si>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</si>
  <si>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</si>
  <si>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</si>
  <si>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</si>
  <si>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</si>
  <si>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</si>
  <si>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</si>
  <si>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</si>
  <si>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</si>
  <si>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</si>
  <si>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</si>
  <si>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</si>
  <si>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</si>
  <si>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</si>
  <si>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</si>
  <si>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</si>
  <si>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</si>
  <si>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</si>
  <si>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</si>
  <si>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</si>
  <si>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</si>
  <si>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</si>
  <si>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</si>
  <si>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</si>
  <si>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</si>
  <si>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</si>
  <si>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</si>
  <si>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</si>
  <si>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</si>
  <si>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</si>
  <si>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</si>
  <si>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</si>
  <si>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</si>
  <si>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</si>
  <si>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</si>
  <si>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</si>
  <si>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</si>
  <si>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</si>
  <si>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</si>
  <si>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</si>
  <si>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</si>
  <si>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</si>
  <si>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</si>
  <si>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</si>
  <si>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</si>
  <si>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</si>
  <si>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</si>
  <si>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</si>
  <si>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</si>
  <si>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</si>
  <si>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</si>
  <si>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</si>
  <si>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</si>
  <si>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</si>
  <si>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</si>
  <si>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</si>
  <si>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</si>
  <si>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</si>
  <si>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</si>
  <si>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</si>
  <si>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</si>
  <si>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</si>
  <si>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</si>
  <si>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</si>
  <si>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</si>
  <si>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</si>
  <si>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</si>
  <si>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</si>
  <si>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</si>
  <si>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</si>
  <si>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</si>
  <si>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</si>
  <si>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</si>
  <si>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</si>
  <si>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</si>
  <si>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</si>
  <si>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</si>
  <si>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</si>
  <si>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</si>
  <si>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</si>
  <si>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</si>
  <si>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</si>
  <si>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</si>
  <si>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</si>
  <si>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</si>
  <si>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</si>
  <si>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</si>
  <si>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</si>
  <si>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</si>
  <si>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</si>
  <si>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</si>
  <si>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</si>
  <si>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</si>
  <si>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</si>
  <si>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</si>
  <si>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</si>
  <si>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</si>
  <si>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</si>
  <si>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</si>
  <si>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</si>
  <si>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</si>
  <si>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</si>
  <si>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</si>
  <si>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</si>
  <si>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</si>
  <si>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</si>
  <si>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</si>
  <si>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</si>
  <si>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</si>
  <si>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</si>
  <si>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</si>
  <si>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</si>
  <si>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</si>
  <si>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</si>
  <si>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</si>
  <si>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</si>
  <si>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</si>
  <si>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</si>
  <si>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</si>
  <si>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</si>
  <si>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</si>
  <si>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</si>
  <si>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</si>
  <si>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</si>
  <si>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</si>
  <si>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</si>
  <si>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</si>
  <si>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</si>
  <si>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</si>
  <si>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</si>
  <si>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</si>
  <si>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</si>
  <si>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</si>
  <si>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</si>
  <si>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</si>
  <si>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</si>
  <si>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</si>
  <si>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</si>
  <si>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</si>
  <si>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</si>
  <si>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</si>
  <si>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</si>
  <si>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</si>
  <si>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</si>
  <si>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</si>
  <si>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</si>
  <si>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</si>
  <si>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</si>
  <si>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</si>
  <si>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</si>
  <si>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</si>
  <si>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</si>
  <si>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</si>
  <si>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</si>
  <si>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</si>
  <si>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</si>
  <si>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</si>
  <si>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</si>
  <si>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</si>
  <si>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</si>
  <si>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</si>
  <si>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</si>
  <si>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</si>
  <si>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</si>
  <si>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</si>
  <si>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</si>
  <si>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</si>
  <si>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</si>
  <si>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</si>
  <si>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</si>
  <si>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</si>
  <si>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</si>
  <si>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</si>
  <si>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</si>
  <si>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</si>
  <si>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</si>
  <si>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</si>
  <si>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</si>
  <si>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</si>
  <si>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</si>
  <si>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</si>
  <si>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</si>
  <si>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</si>
  <si>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</si>
  <si>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</si>
  <si>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</si>
  <si>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</si>
  <si>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</si>
  <si>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</si>
  <si>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</si>
  <si>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</si>
  <si>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</si>
  <si>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</si>
  <si>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</si>
  <si>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</si>
  <si>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</si>
  <si>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</si>
  <si>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</si>
  <si>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</si>
  <si>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</si>
  <si>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</si>
  <si>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</si>
  <si>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</si>
  <si>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</si>
  <si>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</si>
  <si>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</si>
  <si>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</si>
  <si>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</si>
  <si>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</si>
  <si>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</si>
  <si>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</si>
  <si>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</si>
  <si>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</si>
  <si>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</si>
  <si>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</si>
  <si>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</si>
  <si>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</si>
  <si>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</si>
  <si>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</si>
  <si>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</si>
  <si>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</si>
  <si>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</si>
  <si>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</si>
  <si>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</si>
  <si>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</si>
  <si>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</si>
  <si>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</si>
  <si>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</si>
  <si>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</si>
  <si>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</si>
  <si>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</si>
  <si>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</si>
  <si>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</si>
  <si>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</si>
  <si>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</si>
  <si>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</si>
  <si>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</si>
  <si>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</si>
  <si>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</si>
  <si>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</si>
  <si>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</si>
  <si>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</si>
  <si>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</si>
  <si>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</si>
  <si>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</si>
  <si>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</si>
  <si>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</si>
  <si>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</si>
  <si>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</si>
  <si>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</si>
  <si>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</si>
  <si>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</si>
  <si>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</si>
  <si>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</si>
  <si>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</si>
  <si>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</si>
  <si>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</si>
  <si>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</si>
  <si>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</si>
  <si>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</si>
  <si>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</si>
  <si>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</si>
  <si>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</si>
  <si>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</si>
  <si>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</si>
  <si>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</si>
  <si>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</si>
  <si>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</si>
  <si>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</si>
  <si>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</si>
  <si>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</si>
  <si>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</si>
  <si>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</si>
  <si>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</si>
  <si>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</si>
  <si>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</si>
  <si>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</si>
  <si>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</si>
  <si>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</si>
  <si>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</si>
  <si>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</si>
  <si>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</si>
  <si>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</si>
  <si>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</si>
  <si>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</si>
  <si>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</si>
  <si>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</si>
  <si>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</si>
  <si>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</si>
  <si>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</si>
  <si>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</si>
  <si>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</si>
  <si>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</si>
  <si>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</si>
  <si>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</si>
  <si>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</si>
  <si>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</si>
  <si>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</si>
  <si>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</si>
  <si>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</si>
  <si>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</si>
  <si>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</si>
  <si>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</si>
  <si>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</si>
  <si>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</si>
  <si>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</si>
  <si>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</si>
  <si>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</si>
  <si>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</si>
  <si>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</si>
  <si>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</si>
  <si>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</si>
  <si>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</si>
  <si>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</si>
  <si>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</si>
  <si>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</si>
  <si>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</si>
  <si>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</si>
  <si>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</si>
  <si>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</si>
  <si>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</si>
  <si>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</si>
  <si>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</si>
  <si>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</si>
  <si>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</si>
  <si>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</si>
  <si>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</si>
  <si>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</si>
  <si>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</si>
  <si>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</si>
  <si>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</si>
  <si>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</si>
  <si>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</si>
  <si>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</si>
  <si>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</si>
  <si>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</si>
  <si>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</si>
  <si>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</si>
  <si>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</si>
  <si>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</si>
  <si>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</si>
  <si>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</si>
  <si>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</si>
  <si>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</si>
  <si>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</si>
  <si>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</si>
  <si>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</si>
  <si>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</si>
  <si>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</si>
  <si>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</si>
  <si>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</si>
  <si>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</si>
  <si>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</si>
  <si>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</si>
  <si>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</si>
  <si>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</si>
  <si>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</si>
  <si>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</si>
  <si>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</si>
  <si>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</si>
  <si>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</si>
  <si>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</si>
  <si>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</si>
  <si>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</si>
  <si>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</si>
  <si>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</si>
  <si>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</si>
  <si>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</si>
  <si>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</si>
  <si>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</si>
  <si>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</si>
  <si>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</si>
  <si>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</si>
  <si>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</si>
  <si>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</si>
  <si>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</si>
  <si>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</si>
  <si>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</si>
  <si>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</si>
  <si>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</si>
  <si>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</si>
  <si>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</si>
  <si>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</si>
  <si>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</si>
  <si>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</si>
  <si>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</si>
  <si>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</si>
  <si>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</si>
  <si>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</si>
  <si>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</si>
  <si>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</si>
  <si>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</si>
  <si>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</si>
  <si>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</si>
  <si>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</si>
  <si>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</si>
  <si>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</si>
  <si>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</si>
  <si>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</si>
  <si>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</si>
  <si>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</si>
  <si>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</si>
  <si>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</si>
  <si>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</si>
  <si>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</si>
  <si>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</si>
  <si>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</si>
  <si>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</si>
  <si>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</si>
  <si>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</si>
  <si>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</si>
  <si>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</si>
  <si>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</si>
  <si>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</si>
  <si>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</si>
  <si>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</si>
  <si>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</si>
  <si>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</si>
  <si>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</si>
  <si>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</si>
  <si>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</si>
  <si>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</si>
  <si>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</si>
  <si>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</si>
  <si>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</si>
  <si>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</si>
  <si>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</si>
  <si>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</si>
  <si>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</si>
  <si>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</si>
  <si>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</si>
  <si>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</si>
  <si>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</si>
  <si>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</si>
  <si>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72039</t>
  </si>
  <si>
    <t>HOUTHALEN-HELCHTEREN</t>
  </si>
  <si>
    <t>Eandis (januari 2018); Infrax (juni 2018)</t>
  </si>
  <si>
    <t>MOW (september 2017)</t>
  </si>
  <si>
    <t>referentietaak LNE (2017); Jaarverslag De Lijn (2016)</t>
  </si>
  <si>
    <t>VEA (april 2018)</t>
  </si>
  <si>
    <t>VEA (januari 2017)</t>
  </si>
  <si>
    <t>VEA (juni 2018)</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</si>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</sst>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252485.03073972443</c:v>
                </c:pt>
                <c:pt idx="1">
                  <c:v>124592.46592018494</c:v>
                </c:pt>
                <c:pt idx="2">
                  <c:v>1630.0340000000001</c:v>
                </c:pt>
                <c:pt idx="3">
                  <c:v>21193.875250294921</c:v>
                </c:pt>
                <c:pt idx="4">
                  <c:v>69134.020697602478</c:v>
                </c:pt>
                <c:pt idx="5">
                  <c:v>220146.85177888157</c:v>
                </c:pt>
                <c:pt idx="6">
                  <c:v>3937.998470478582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4096"/>
        <c:axId val="75765632"/>
      </c:barChart>
      <c:catAx>
        <c:axId val="75764096"/>
        <c:scaling>
          <c:orientation val="minMax"/>
        </c:scaling>
        <c:axPos val="b"/>
        <c:numFmt formatCode="General" sourceLinked="0"/>
        <c:tickLblPos val="nextTo"/>
        <c:crossAx val="75765632"/>
        <c:crosses val="autoZero"/>
        <c:auto val="1"/>
        <c:lblAlgn val="ctr"/>
        <c:lblOffset val="100"/>
      </c:catAx>
      <c:valAx>
        <c:axId val="75765632"/>
        <c:scaling>
          <c:orientation val="minMax"/>
        </c:scaling>
        <c:axPos val="l"/>
        <c:majorGridlines>
          <c:spPr>
            <a:ln>
              <a:noFill/>
            </a:ln>
          </c:spPr>
        </c:majorGridlines>
        <c:numFmt formatCode="#,##0" sourceLinked="1"/>
        <c:tickLblPos val="nextTo"/>
        <c:crossAx val="75764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252485.03073972443</c:v>
                </c:pt>
                <c:pt idx="1">
                  <c:v>124592.46592018494</c:v>
                </c:pt>
                <c:pt idx="2">
                  <c:v>1630.0340000000001</c:v>
                </c:pt>
                <c:pt idx="3">
                  <c:v>21193.875250294921</c:v>
                </c:pt>
                <c:pt idx="4">
                  <c:v>69134.020697602478</c:v>
                </c:pt>
                <c:pt idx="5">
                  <c:v>220146.85177888157</c:v>
                </c:pt>
                <c:pt idx="6">
                  <c:v>3937.998470478582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47998.595169088105</c:v>
                </c:pt>
                <c:pt idx="2">
                  <c:v>22714.938790774017</c:v>
                </c:pt>
                <c:pt idx="3">
                  <c:v>249.90560298165329</c:v>
                </c:pt>
                <c:pt idx="4">
                  <c:v>672.50583519098006</c:v>
                </c:pt>
                <c:pt idx="5">
                  <c:v>11895.63262297077</c:v>
                </c:pt>
                <c:pt idx="6">
                  <c:v>55084.558413128951</c:v>
                </c:pt>
                <c:pt idx="7">
                  <c:v>994.93753202641415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3504"/>
        <c:axId val="156455296"/>
      </c:barChart>
      <c:catAx>
        <c:axId val="156453504"/>
        <c:scaling>
          <c:orientation val="minMax"/>
        </c:scaling>
        <c:axPos val="b"/>
        <c:numFmt formatCode="General" sourceLinked="0"/>
        <c:tickLblPos val="nextTo"/>
        <c:crossAx val="156455296"/>
        <c:crosses val="autoZero"/>
        <c:auto val="1"/>
        <c:lblAlgn val="ctr"/>
        <c:lblOffset val="100"/>
      </c:catAx>
      <c:valAx>
        <c:axId val="156455296"/>
        <c:scaling>
          <c:orientation val="minMax"/>
        </c:scaling>
        <c:axPos val="l"/>
        <c:majorGridlines>
          <c:spPr>
            <a:ln>
              <a:noFill/>
            </a:ln>
          </c:spPr>
        </c:majorGridlines>
        <c:numFmt formatCode="#,##0" sourceLinked="1"/>
        <c:tickLblPos val="nextTo"/>
        <c:crossAx val="1564535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47998.595169088105</c:v>
                </c:pt>
                <c:pt idx="2">
                  <c:v>22714.938790774017</c:v>
                </c:pt>
                <c:pt idx="3">
                  <c:v>249.90560298165329</c:v>
                </c:pt>
                <c:pt idx="4">
                  <c:v>672.50583519098006</c:v>
                </c:pt>
                <c:pt idx="5">
                  <c:v>11895.63262297077</c:v>
                </c:pt>
                <c:pt idx="6">
                  <c:v>55084.558413128951</c:v>
                </c:pt>
                <c:pt idx="7">
                  <c:v>994.93753202641415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72039</v>
      </c>
      <c r="B6" s="415"/>
      <c r="C6" s="416"/>
    </row>
    <row r="7" spans="1:7" s="413" customFormat="1" ht="15.75" customHeight="1">
      <c r="A7" s="417" t="str">
        <f>txtMunicipality</f>
        <v>HOUTHALEN-HELCHTEREN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65775.216769999999</v>
      </c>
      <c r="D10" s="1013">
        <f ca="1">tertiair!C16</f>
        <v>0</v>
      </c>
      <c r="E10" s="1013">
        <f ca="1">tertiair!D16</f>
        <v>49478.060985496006</v>
      </c>
      <c r="F10" s="1013">
        <f>tertiair!E16</f>
        <v>549.29295585014256</v>
      </c>
      <c r="G10" s="1013">
        <f ca="1">tertiair!F16</f>
        <v>10341.614241339761</v>
      </c>
      <c r="H10" s="1013">
        <f>tertiair!G16</f>
        <v>0</v>
      </c>
      <c r="I10" s="1013">
        <f>tertiair!H16</f>
        <v>0</v>
      </c>
      <c r="J10" s="1013">
        <f>tertiair!I16</f>
        <v>0</v>
      </c>
      <c r="K10" s="1013">
        <f>tertiair!J16</f>
        <v>0.48496749902977349</v>
      </c>
      <c r="L10" s="1013">
        <f>tertiair!K16</f>
        <v>0</v>
      </c>
      <c r="M10" s="1013">
        <f ca="1">tertiair!L16</f>
        <v>0</v>
      </c>
      <c r="N10" s="1013">
        <f>tertiair!M16</f>
        <v>0</v>
      </c>
      <c r="O10" s="1013">
        <f ca="1">tertiair!N16</f>
        <v>0</v>
      </c>
      <c r="P10" s="1013">
        <f>tertiair!O16</f>
        <v>1.5633333333333335</v>
      </c>
      <c r="Q10" s="1014">
        <f>tertiair!P16</f>
        <v>76.266666666666666</v>
      </c>
      <c r="R10" s="700">
        <f ca="1">SUM(C10:Q10)</f>
        <v>126222.49992018494</v>
      </c>
      <c r="S10" s="67"/>
    </row>
    <row r="11" spans="1:19" s="473" customFormat="1">
      <c r="A11" s="809" t="s">
        <v>225</v>
      </c>
      <c r="B11" s="814"/>
      <c r="C11" s="1013">
        <f>huishoudens!B8</f>
        <v>45962.965124753624</v>
      </c>
      <c r="D11" s="1013">
        <f>huishoudens!C8</f>
        <v>0</v>
      </c>
      <c r="E11" s="1013">
        <f>huishoudens!D8</f>
        <v>82100.023312999998</v>
      </c>
      <c r="F11" s="1013">
        <f>huishoudens!E8</f>
        <v>4093.2990991550209</v>
      </c>
      <c r="G11" s="1013">
        <f>huishoudens!F8</f>
        <v>87784.591172641129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30515.058696841334</v>
      </c>
      <c r="P11" s="1013">
        <f>huishoudens!O8</f>
        <v>675.36</v>
      </c>
      <c r="Q11" s="1014">
        <f>huishoudens!P8</f>
        <v>1353.7333333333333</v>
      </c>
      <c r="R11" s="700">
        <f>SUM(C11:Q11)</f>
        <v>252485.03073972443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25102.237684</v>
      </c>
      <c r="D13" s="1013">
        <f>industrie!C18</f>
        <v>900.00000000000023</v>
      </c>
      <c r="E13" s="1013">
        <f>industrie!D18</f>
        <v>25525.186987053999</v>
      </c>
      <c r="F13" s="1013">
        <f>industrie!E18</f>
        <v>2478.9196156628454</v>
      </c>
      <c r="G13" s="1013">
        <f>industrie!F18</f>
        <v>8675.5522971949795</v>
      </c>
      <c r="H13" s="1013">
        <f>industrie!G18</f>
        <v>0</v>
      </c>
      <c r="I13" s="1013">
        <f>industrie!H18</f>
        <v>0</v>
      </c>
      <c r="J13" s="1013">
        <f>industrie!I18</f>
        <v>0</v>
      </c>
      <c r="K13" s="1013">
        <f>industrie!J18</f>
        <v>6.8334134833490179</v>
      </c>
      <c r="L13" s="1013">
        <f>industrie!K18</f>
        <v>0</v>
      </c>
      <c r="M13" s="1013">
        <f>industrie!L18</f>
        <v>0</v>
      </c>
      <c r="N13" s="1013">
        <f>industrie!M18</f>
        <v>0</v>
      </c>
      <c r="O13" s="1013">
        <f>industrie!N18</f>
        <v>6445.2907002072989</v>
      </c>
      <c r="P13" s="1013">
        <f>industrie!O18</f>
        <v>0</v>
      </c>
      <c r="Q13" s="1014">
        <f>industrie!P18</f>
        <v>0</v>
      </c>
      <c r="R13" s="700">
        <f>SUM(C13:Q13)</f>
        <v>69134.020697602478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136840.41957875362</v>
      </c>
      <c r="D16" s="732">
        <f t="shared" ref="D16:R16" ca="1" si="0">SUM(D9:D15)</f>
        <v>900.00000000000023</v>
      </c>
      <c r="E16" s="732">
        <f t="shared" ca="1" si="0"/>
        <v>157103.27128555003</v>
      </c>
      <c r="F16" s="732">
        <f t="shared" si="0"/>
        <v>7121.5116706680092</v>
      </c>
      <c r="G16" s="732">
        <f t="shared" ca="1" si="0"/>
        <v>106801.75771117587</v>
      </c>
      <c r="H16" s="732">
        <f t="shared" si="0"/>
        <v>0</v>
      </c>
      <c r="I16" s="732">
        <f t="shared" si="0"/>
        <v>0</v>
      </c>
      <c r="J16" s="732">
        <f t="shared" si="0"/>
        <v>0</v>
      </c>
      <c r="K16" s="732">
        <f t="shared" si="0"/>
        <v>7.3183809823787911</v>
      </c>
      <c r="L16" s="732">
        <f t="shared" si="0"/>
        <v>0</v>
      </c>
      <c r="M16" s="732">
        <f t="shared" ca="1" si="0"/>
        <v>0</v>
      </c>
      <c r="N16" s="732">
        <f t="shared" si="0"/>
        <v>0</v>
      </c>
      <c r="O16" s="732">
        <f t="shared" ca="1" si="0"/>
        <v>36960.349397048631</v>
      </c>
      <c r="P16" s="732">
        <f t="shared" si="0"/>
        <v>676.9233333333334</v>
      </c>
      <c r="Q16" s="732">
        <f t="shared" si="0"/>
        <v>1430</v>
      </c>
      <c r="R16" s="732">
        <f t="shared" ca="1" si="0"/>
        <v>447841.55135751184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3726.3577978517383</v>
      </c>
      <c r="I19" s="1013">
        <f>transport!H54</f>
        <v>0</v>
      </c>
      <c r="J19" s="1013">
        <f>transport!I54</f>
        <v>0</v>
      </c>
      <c r="K19" s="1013">
        <f>transport!J54</f>
        <v>0</v>
      </c>
      <c r="L19" s="1013">
        <f>transport!K54</f>
        <v>0</v>
      </c>
      <c r="M19" s="1013">
        <f>transport!L54</f>
        <v>0</v>
      </c>
      <c r="N19" s="1013">
        <f>transport!M54</f>
        <v>211.64067262684387</v>
      </c>
      <c r="O19" s="1013">
        <f>transport!N54</f>
        <v>0</v>
      </c>
      <c r="P19" s="1013">
        <f>transport!O54</f>
        <v>0</v>
      </c>
      <c r="Q19" s="1014">
        <f>transport!P54</f>
        <v>0</v>
      </c>
      <c r="R19" s="700">
        <f>SUM(C19:Q19)</f>
        <v>3937.998470478582</v>
      </c>
      <c r="S19" s="67"/>
    </row>
    <row r="20" spans="1:19" s="473" customFormat="1">
      <c r="A20" s="809" t="s">
        <v>307</v>
      </c>
      <c r="B20" s="814"/>
      <c r="C20" s="1013">
        <f>transport!B14</f>
        <v>96.389727405952527</v>
      </c>
      <c r="D20" s="1013">
        <f>transport!C14</f>
        <v>0</v>
      </c>
      <c r="E20" s="1013">
        <f>transport!D14</f>
        <v>338.49305233339771</v>
      </c>
      <c r="F20" s="1013">
        <f>transport!E14</f>
        <v>471.36743107689989</v>
      </c>
      <c r="G20" s="1013">
        <f>transport!F14</f>
        <v>0</v>
      </c>
      <c r="H20" s="1013">
        <f>transport!G14</f>
        <v>169737.10068835958</v>
      </c>
      <c r="I20" s="1013">
        <f>transport!H14</f>
        <v>38452.203677857637</v>
      </c>
      <c r="J20" s="1013">
        <f>transport!I14</f>
        <v>0</v>
      </c>
      <c r="K20" s="1013">
        <f>transport!J14</f>
        <v>0</v>
      </c>
      <c r="L20" s="1013">
        <f>transport!K14</f>
        <v>0</v>
      </c>
      <c r="M20" s="1013">
        <f>transport!L14</f>
        <v>0</v>
      </c>
      <c r="N20" s="1013">
        <f>transport!M14</f>
        <v>11051.297201848092</v>
      </c>
      <c r="O20" s="1013">
        <f>transport!N14</f>
        <v>0</v>
      </c>
      <c r="P20" s="1013">
        <f>transport!O14</f>
        <v>0</v>
      </c>
      <c r="Q20" s="1014">
        <f>transport!P14</f>
        <v>0</v>
      </c>
      <c r="R20" s="700">
        <f>SUM(C20:Q20)</f>
        <v>220146.85177888157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96.389727405952527</v>
      </c>
      <c r="D22" s="812">
        <f t="shared" ref="D22:R22" si="1">SUM(D18:D21)</f>
        <v>0</v>
      </c>
      <c r="E22" s="812">
        <f t="shared" si="1"/>
        <v>338.49305233339771</v>
      </c>
      <c r="F22" s="812">
        <f t="shared" si="1"/>
        <v>471.36743107689989</v>
      </c>
      <c r="G22" s="812">
        <f t="shared" si="1"/>
        <v>0</v>
      </c>
      <c r="H22" s="812">
        <f t="shared" si="1"/>
        <v>173463.45848621131</v>
      </c>
      <c r="I22" s="812">
        <f t="shared" si="1"/>
        <v>38452.203677857637</v>
      </c>
      <c r="J22" s="812">
        <f t="shared" si="1"/>
        <v>0</v>
      </c>
      <c r="K22" s="812">
        <f t="shared" si="1"/>
        <v>0</v>
      </c>
      <c r="L22" s="812">
        <f t="shared" si="1"/>
        <v>0</v>
      </c>
      <c r="M22" s="812">
        <f t="shared" si="1"/>
        <v>0</v>
      </c>
      <c r="N22" s="812">
        <f t="shared" si="1"/>
        <v>11262.937874474936</v>
      </c>
      <c r="O22" s="812">
        <f t="shared" si="1"/>
        <v>0</v>
      </c>
      <c r="P22" s="812">
        <f t="shared" si="1"/>
        <v>0</v>
      </c>
      <c r="Q22" s="812">
        <f t="shared" si="1"/>
        <v>0</v>
      </c>
      <c r="R22" s="812">
        <f t="shared" si="1"/>
        <v>224084.85024936014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337.79500000000002</v>
      </c>
      <c r="D24" s="1013">
        <f>+landbouw!C8</f>
        <v>19285.714285714286</v>
      </c>
      <c r="E24" s="1013">
        <f>+landbouw!D8</f>
        <v>104.26218</v>
      </c>
      <c r="F24" s="1013">
        <f>+landbouw!E8</f>
        <v>9.9288267950155564</v>
      </c>
      <c r="G24" s="1013">
        <f>+landbouw!F8</f>
        <v>1407.2357165162828</v>
      </c>
      <c r="H24" s="1013">
        <f>+landbouw!G8</f>
        <v>0</v>
      </c>
      <c r="I24" s="1013">
        <f>+landbouw!H8</f>
        <v>0</v>
      </c>
      <c r="J24" s="1013">
        <f>+landbouw!I8</f>
        <v>0</v>
      </c>
      <c r="K24" s="1013">
        <f>+landbouw!J8</f>
        <v>48.939241269336634</v>
      </c>
      <c r="L24" s="1013">
        <f>+landbouw!K8</f>
        <v>0</v>
      </c>
      <c r="M24" s="1013">
        <f>+landbouw!L8</f>
        <v>0</v>
      </c>
      <c r="N24" s="1013">
        <f>+landbouw!M8</f>
        <v>0</v>
      </c>
      <c r="O24" s="1013">
        <f>+landbouw!N8</f>
        <v>0</v>
      </c>
      <c r="P24" s="1013">
        <f>+landbouw!O8</f>
        <v>0</v>
      </c>
      <c r="Q24" s="1014">
        <f>+landbouw!P8</f>
        <v>0</v>
      </c>
      <c r="R24" s="700">
        <f>SUM(C24:Q24)</f>
        <v>21193.875250294921</v>
      </c>
      <c r="S24" s="67"/>
    </row>
    <row r="25" spans="1:19" s="473" customFormat="1" ht="15" thickBot="1">
      <c r="A25" s="831" t="s">
        <v>836</v>
      </c>
      <c r="B25" s="1016"/>
      <c r="C25" s="1017">
        <f>IF(Onbekend_ele_kWh="---",0,Onbekend_ele_kWh)/1000+IF(REST_rest_ele_kWh="---",0,REST_rest_ele_kWh)/1000</f>
        <v>4615.1157000000003</v>
      </c>
      <c r="D25" s="1017"/>
      <c r="E25" s="1017">
        <f>IF(onbekend_gas_kWh="---",0,onbekend_gas_kWh)/1000+IF(REST_rest_gas_kWh="---",0,REST_rest_gas_kWh)/1000</f>
        <v>5098.5039999999999</v>
      </c>
      <c r="F25" s="1017"/>
      <c r="G25" s="1017"/>
      <c r="H25" s="1017"/>
      <c r="I25" s="1017"/>
      <c r="J25" s="1017"/>
      <c r="K25" s="1017"/>
      <c r="L25" s="1017"/>
      <c r="M25" s="1017"/>
      <c r="N25" s="1017"/>
      <c r="O25" s="1017"/>
      <c r="P25" s="1017"/>
      <c r="Q25" s="1018"/>
      <c r="R25" s="700">
        <f>SUM(C25:Q25)</f>
        <v>9713.6196999999993</v>
      </c>
      <c r="S25" s="67"/>
    </row>
    <row r="26" spans="1:19" s="473" customFormat="1" ht="15.75" thickBot="1">
      <c r="A26" s="705" t="s">
        <v>837</v>
      </c>
      <c r="B26" s="817"/>
      <c r="C26" s="812">
        <f>SUM(C24:C25)</f>
        <v>4952.9107000000004</v>
      </c>
      <c r="D26" s="812">
        <f t="shared" ref="D26:R26" si="2">SUM(D24:D25)</f>
        <v>19285.714285714286</v>
      </c>
      <c r="E26" s="812">
        <f t="shared" si="2"/>
        <v>5202.7661799999996</v>
      </c>
      <c r="F26" s="812">
        <f t="shared" si="2"/>
        <v>9.9288267950155564</v>
      </c>
      <c r="G26" s="812">
        <f t="shared" si="2"/>
        <v>1407.2357165162828</v>
      </c>
      <c r="H26" s="812">
        <f t="shared" si="2"/>
        <v>0</v>
      </c>
      <c r="I26" s="812">
        <f t="shared" si="2"/>
        <v>0</v>
      </c>
      <c r="J26" s="812">
        <f t="shared" si="2"/>
        <v>0</v>
      </c>
      <c r="K26" s="812">
        <f t="shared" si="2"/>
        <v>48.939241269336634</v>
      </c>
      <c r="L26" s="812">
        <f t="shared" si="2"/>
        <v>0</v>
      </c>
      <c r="M26" s="812">
        <f t="shared" si="2"/>
        <v>0</v>
      </c>
      <c r="N26" s="812">
        <f t="shared" si="2"/>
        <v>0</v>
      </c>
      <c r="O26" s="812">
        <f t="shared" si="2"/>
        <v>0</v>
      </c>
      <c r="P26" s="812">
        <f t="shared" si="2"/>
        <v>0</v>
      </c>
      <c r="Q26" s="812">
        <f t="shared" si="2"/>
        <v>0</v>
      </c>
      <c r="R26" s="812">
        <f t="shared" si="2"/>
        <v>30907.49495029492</v>
      </c>
      <c r="S26" s="67"/>
    </row>
    <row r="27" spans="1:19" s="473" customFormat="1" ht="17.25" thickTop="1" thickBot="1">
      <c r="A27" s="706" t="s">
        <v>116</v>
      </c>
      <c r="B27" s="805"/>
      <c r="C27" s="707">
        <f ca="1">C22+C16+C26</f>
        <v>141889.72000615956</v>
      </c>
      <c r="D27" s="707">
        <f t="shared" ref="D27:R27" ca="1" si="3">D22+D16+D26</f>
        <v>20185.714285714286</v>
      </c>
      <c r="E27" s="707">
        <f t="shared" ca="1" si="3"/>
        <v>162644.53051788342</v>
      </c>
      <c r="F27" s="707">
        <f t="shared" si="3"/>
        <v>7602.8079285399253</v>
      </c>
      <c r="G27" s="707">
        <f t="shared" ca="1" si="3"/>
        <v>108208.99342769216</v>
      </c>
      <c r="H27" s="707">
        <f t="shared" si="3"/>
        <v>173463.45848621131</v>
      </c>
      <c r="I27" s="707">
        <f t="shared" si="3"/>
        <v>38452.203677857637</v>
      </c>
      <c r="J27" s="707">
        <f t="shared" si="3"/>
        <v>0</v>
      </c>
      <c r="K27" s="707">
        <f t="shared" si="3"/>
        <v>56.257622251715425</v>
      </c>
      <c r="L27" s="707">
        <f t="shared" si="3"/>
        <v>0</v>
      </c>
      <c r="M27" s="707">
        <f t="shared" ca="1" si="3"/>
        <v>0</v>
      </c>
      <c r="N27" s="707">
        <f t="shared" si="3"/>
        <v>11262.937874474936</v>
      </c>
      <c r="O27" s="707">
        <f t="shared" ca="1" si="3"/>
        <v>36960.349397048631</v>
      </c>
      <c r="P27" s="707">
        <f t="shared" si="3"/>
        <v>676.9233333333334</v>
      </c>
      <c r="Q27" s="707">
        <f t="shared" si="3"/>
        <v>1430</v>
      </c>
      <c r="R27" s="707">
        <f t="shared" ca="1" si="3"/>
        <v>702833.89655716694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10084.203892775122</v>
      </c>
      <c r="D40" s="1013">
        <f ca="1">tertiair!C20</f>
        <v>0</v>
      </c>
      <c r="E40" s="1013">
        <f ca="1">tertiair!D20</f>
        <v>9994.568319070193</v>
      </c>
      <c r="F40" s="1013">
        <f>tertiair!E20</f>
        <v>124.68950097798236</v>
      </c>
      <c r="G40" s="1013">
        <f ca="1">tertiair!F20</f>
        <v>2761.2110024377162</v>
      </c>
      <c r="H40" s="1013">
        <f>tertiair!G20</f>
        <v>0</v>
      </c>
      <c r="I40" s="1013">
        <f>tertiair!H20</f>
        <v>0</v>
      </c>
      <c r="J40" s="1013">
        <f>tertiair!I20</f>
        <v>0</v>
      </c>
      <c r="K40" s="1013">
        <f>tertiair!J20</f>
        <v>0.17167849465653981</v>
      </c>
      <c r="L40" s="1013">
        <f>tertiair!K20</f>
        <v>0</v>
      </c>
      <c r="M40" s="1013">
        <f ca="1">tertiair!L20</f>
        <v>0</v>
      </c>
      <c r="N40" s="1013">
        <f>tertiair!M20</f>
        <v>0</v>
      </c>
      <c r="O40" s="1013">
        <f ca="1">tertiair!N20</f>
        <v>0</v>
      </c>
      <c r="P40" s="1013">
        <f>tertiair!O20</f>
        <v>0</v>
      </c>
      <c r="Q40" s="774">
        <f>tertiair!P20</f>
        <v>0</v>
      </c>
      <c r="R40" s="850">
        <f t="shared" ca="1" si="4"/>
        <v>22964.844393755673</v>
      </c>
    </row>
    <row r="41" spans="1:18">
      <c r="A41" s="822" t="s">
        <v>225</v>
      </c>
      <c r="B41" s="829"/>
      <c r="C41" s="1013">
        <f ca="1">huishoudens!B12</f>
        <v>7046.725721258731</v>
      </c>
      <c r="D41" s="1013">
        <f ca="1">huishoudens!C12</f>
        <v>0</v>
      </c>
      <c r="E41" s="1013">
        <f>huishoudens!D12</f>
        <v>16584.204709226</v>
      </c>
      <c r="F41" s="1013">
        <f>huishoudens!E12</f>
        <v>929.17889550818984</v>
      </c>
      <c r="G41" s="1013">
        <f>huishoudens!F12</f>
        <v>23438.485843095183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47998.595169088105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3848.5024512426116</v>
      </c>
      <c r="D43" s="1013">
        <f ca="1">industrie!C22</f>
        <v>9.5361558636193369</v>
      </c>
      <c r="E43" s="1013">
        <f>industrie!D22</f>
        <v>5156.0877713849086</v>
      </c>
      <c r="F43" s="1013">
        <f>industrie!E22</f>
        <v>562.71475275546595</v>
      </c>
      <c r="G43" s="1013">
        <f>industrie!F22</f>
        <v>2316.3724633510597</v>
      </c>
      <c r="H43" s="1013">
        <f>industrie!G22</f>
        <v>0</v>
      </c>
      <c r="I43" s="1013">
        <f>industrie!H22</f>
        <v>0</v>
      </c>
      <c r="J43" s="1013">
        <f>industrie!I22</f>
        <v>0</v>
      </c>
      <c r="K43" s="1013">
        <f>industrie!J22</f>
        <v>2.4190283731055522</v>
      </c>
      <c r="L43" s="1013">
        <f>industrie!K22</f>
        <v>0</v>
      </c>
      <c r="M43" s="1013">
        <f>industrie!L22</f>
        <v>0</v>
      </c>
      <c r="N43" s="1013">
        <f>industrie!M22</f>
        <v>0</v>
      </c>
      <c r="O43" s="1013">
        <f>industrie!N22</f>
        <v>0</v>
      </c>
      <c r="P43" s="1013">
        <f>industrie!O22</f>
        <v>0</v>
      </c>
      <c r="Q43" s="774">
        <f>industrie!P22</f>
        <v>0</v>
      </c>
      <c r="R43" s="849">
        <f t="shared" ca="1" si="4"/>
        <v>11895.63262297077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20979.432065276465</v>
      </c>
      <c r="D46" s="732">
        <f t="shared" ref="D46:Q46" ca="1" si="5">SUM(D39:D45)</f>
        <v>9.5361558636193369</v>
      </c>
      <c r="E46" s="732">
        <f t="shared" ca="1" si="5"/>
        <v>31734.860799681101</v>
      </c>
      <c r="F46" s="732">
        <f t="shared" si="5"/>
        <v>1616.5831492416382</v>
      </c>
      <c r="G46" s="732">
        <f t="shared" ca="1" si="5"/>
        <v>28516.069308883958</v>
      </c>
      <c r="H46" s="732">
        <f t="shared" si="5"/>
        <v>0</v>
      </c>
      <c r="I46" s="732">
        <f t="shared" si="5"/>
        <v>0</v>
      </c>
      <c r="J46" s="732">
        <f t="shared" si="5"/>
        <v>0</v>
      </c>
      <c r="K46" s="732">
        <f t="shared" si="5"/>
        <v>2.5907068677620919</v>
      </c>
      <c r="L46" s="732">
        <f t="shared" si="5"/>
        <v>0</v>
      </c>
      <c r="M46" s="732">
        <f t="shared" ca="1" si="5"/>
        <v>0</v>
      </c>
      <c r="N46" s="732">
        <f t="shared" si="5"/>
        <v>0</v>
      </c>
      <c r="O46" s="732">
        <f t="shared" ca="1" si="5"/>
        <v>0</v>
      </c>
      <c r="P46" s="732">
        <f t="shared" si="5"/>
        <v>0</v>
      </c>
      <c r="Q46" s="732">
        <f t="shared" si="5"/>
        <v>0</v>
      </c>
      <c r="R46" s="732">
        <f ca="1">SUM(R39:R45)</f>
        <v>82859.072185814555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994.93753202641415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994.93753202641415</v>
      </c>
    </row>
    <row r="50" spans="1:18">
      <c r="A50" s="825" t="s">
        <v>307</v>
      </c>
      <c r="B50" s="835"/>
      <c r="C50" s="703">
        <f ca="1">transport!B18</f>
        <v>14.777810124587436</v>
      </c>
      <c r="D50" s="703">
        <f>transport!C18</f>
        <v>0</v>
      </c>
      <c r="E50" s="703">
        <f>transport!D18</f>
        <v>68.375596571346335</v>
      </c>
      <c r="F50" s="703">
        <f>transport!E18</f>
        <v>107.00040685445627</v>
      </c>
      <c r="G50" s="703">
        <f>transport!F18</f>
        <v>0</v>
      </c>
      <c r="H50" s="703">
        <f>transport!G18</f>
        <v>45319.805883792011</v>
      </c>
      <c r="I50" s="703">
        <f>transport!H18</f>
        <v>9574.5987157865511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55084.558413128951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14.777810124587436</v>
      </c>
      <c r="D52" s="732">
        <f t="shared" ref="D52:Q52" ca="1" si="6">SUM(D48:D51)</f>
        <v>0</v>
      </c>
      <c r="E52" s="732">
        <f t="shared" si="6"/>
        <v>68.375596571346335</v>
      </c>
      <c r="F52" s="732">
        <f t="shared" si="6"/>
        <v>107.00040685445627</v>
      </c>
      <c r="G52" s="732">
        <f t="shared" si="6"/>
        <v>0</v>
      </c>
      <c r="H52" s="732">
        <f t="shared" si="6"/>
        <v>46314.743415818426</v>
      </c>
      <c r="I52" s="732">
        <f t="shared" si="6"/>
        <v>9574.5987157865511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56079.495945155366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51.788406351761722</v>
      </c>
      <c r="D54" s="703">
        <f ca="1">+landbouw!C12</f>
        <v>204.34619707755718</v>
      </c>
      <c r="E54" s="703">
        <f>+landbouw!D12</f>
        <v>21.060960360000003</v>
      </c>
      <c r="F54" s="703">
        <f>+landbouw!E12</f>
        <v>2.2538436824685313</v>
      </c>
      <c r="G54" s="703">
        <f>+landbouw!F12</f>
        <v>375.73193630984753</v>
      </c>
      <c r="H54" s="703">
        <f>+landbouw!G12</f>
        <v>0</v>
      </c>
      <c r="I54" s="703">
        <f>+landbouw!H12</f>
        <v>0</v>
      </c>
      <c r="J54" s="703">
        <f>+landbouw!I12</f>
        <v>0</v>
      </c>
      <c r="K54" s="703">
        <f>+landbouw!J12</f>
        <v>17.324491409345168</v>
      </c>
      <c r="L54" s="703">
        <f>+landbouw!K12</f>
        <v>0</v>
      </c>
      <c r="M54" s="703">
        <f>+landbouw!L12</f>
        <v>0</v>
      </c>
      <c r="N54" s="703">
        <f>+landbouw!M12</f>
        <v>0</v>
      </c>
      <c r="O54" s="703">
        <f>+landbouw!N12</f>
        <v>0</v>
      </c>
      <c r="P54" s="703">
        <f>+landbouw!O12</f>
        <v>0</v>
      </c>
      <c r="Q54" s="704">
        <f>+landbouw!P12</f>
        <v>0</v>
      </c>
      <c r="R54" s="731">
        <f ca="1">SUM(C54:Q54)</f>
        <v>672.50583519098006</v>
      </c>
    </row>
    <row r="55" spans="1:18" ht="15" thickBot="1">
      <c r="A55" s="825" t="s">
        <v>836</v>
      </c>
      <c r="B55" s="835"/>
      <c r="C55" s="703">
        <f ca="1">C25*'EF ele_warmte'!B12</f>
        <v>707.55780053581395</v>
      </c>
      <c r="D55" s="703"/>
      <c r="E55" s="703">
        <f>E25*EF_CO2_aardgas</f>
        <v>1029.8978079999999</v>
      </c>
      <c r="F55" s="703"/>
      <c r="G55" s="703"/>
      <c r="H55" s="703"/>
      <c r="I55" s="703"/>
      <c r="J55" s="703"/>
      <c r="K55" s="703"/>
      <c r="L55" s="703"/>
      <c r="M55" s="703"/>
      <c r="N55" s="703"/>
      <c r="O55" s="703"/>
      <c r="P55" s="703"/>
      <c r="Q55" s="704"/>
      <c r="R55" s="731">
        <f ca="1">SUM(C55:Q55)</f>
        <v>1737.455608535814</v>
      </c>
    </row>
    <row r="56" spans="1:18" ht="15.75" thickBot="1">
      <c r="A56" s="823" t="s">
        <v>837</v>
      </c>
      <c r="B56" s="836"/>
      <c r="C56" s="732">
        <f ca="1">SUM(C54:C55)</f>
        <v>759.3462068875757</v>
      </c>
      <c r="D56" s="732">
        <f t="shared" ref="D56:Q56" ca="1" si="7">SUM(D54:D55)</f>
        <v>204.34619707755718</v>
      </c>
      <c r="E56" s="732">
        <f t="shared" si="7"/>
        <v>1050.95876836</v>
      </c>
      <c r="F56" s="732">
        <f t="shared" si="7"/>
        <v>2.2538436824685313</v>
      </c>
      <c r="G56" s="732">
        <f t="shared" si="7"/>
        <v>375.73193630984753</v>
      </c>
      <c r="H56" s="732">
        <f t="shared" si="7"/>
        <v>0</v>
      </c>
      <c r="I56" s="732">
        <f t="shared" si="7"/>
        <v>0</v>
      </c>
      <c r="J56" s="732">
        <f t="shared" si="7"/>
        <v>0</v>
      </c>
      <c r="K56" s="732">
        <f t="shared" si="7"/>
        <v>17.324491409345168</v>
      </c>
      <c r="L56" s="732">
        <f t="shared" si="7"/>
        <v>0</v>
      </c>
      <c r="M56" s="732">
        <f t="shared" si="7"/>
        <v>0</v>
      </c>
      <c r="N56" s="732">
        <f t="shared" si="7"/>
        <v>0</v>
      </c>
      <c r="O56" s="732">
        <f t="shared" si="7"/>
        <v>0</v>
      </c>
      <c r="P56" s="732">
        <f t="shared" si="7"/>
        <v>0</v>
      </c>
      <c r="Q56" s="733">
        <f t="shared" si="7"/>
        <v>0</v>
      </c>
      <c r="R56" s="734">
        <f ca="1">SUM(R54:R55)</f>
        <v>2409.9614437267942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21753.556082288625</v>
      </c>
      <c r="D61" s="740">
        <f t="shared" ref="D61:Q61" ca="1" si="8">D46+D52+D56</f>
        <v>213.88235294117652</v>
      </c>
      <c r="E61" s="740">
        <f t="shared" ca="1" si="8"/>
        <v>32854.195164612443</v>
      </c>
      <c r="F61" s="740">
        <f t="shared" si="8"/>
        <v>1725.8373997785632</v>
      </c>
      <c r="G61" s="740">
        <f t="shared" ca="1" si="8"/>
        <v>28891.801245193805</v>
      </c>
      <c r="H61" s="740">
        <f t="shared" si="8"/>
        <v>46314.743415818426</v>
      </c>
      <c r="I61" s="740">
        <f t="shared" si="8"/>
        <v>9574.5987157865511</v>
      </c>
      <c r="J61" s="740">
        <f t="shared" si="8"/>
        <v>0</v>
      </c>
      <c r="K61" s="740">
        <f t="shared" si="8"/>
        <v>19.915198277107258</v>
      </c>
      <c r="L61" s="740">
        <f t="shared" si="8"/>
        <v>0</v>
      </c>
      <c r="M61" s="740">
        <f t="shared" ca="1" si="8"/>
        <v>0</v>
      </c>
      <c r="N61" s="740">
        <f t="shared" si="8"/>
        <v>0</v>
      </c>
      <c r="O61" s="740">
        <f t="shared" ca="1" si="8"/>
        <v>0</v>
      </c>
      <c r="P61" s="740">
        <f t="shared" si="8"/>
        <v>0</v>
      </c>
      <c r="Q61" s="740">
        <f t="shared" si="8"/>
        <v>0</v>
      </c>
      <c r="R61" s="740">
        <f ca="1">R46+R52+R56</f>
        <v>141348.5295746967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0.15331312290519908</v>
      </c>
      <c r="D63" s="781">
        <f t="shared" ca="1" si="9"/>
        <v>1.0595728737354817E-2</v>
      </c>
      <c r="E63" s="1024">
        <f t="shared" ca="1" si="9"/>
        <v>0.20199999999999996</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15672.294959870869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13500</v>
      </c>
      <c r="C76" s="750">
        <f>'lokale energieproductie'!B8*IFERROR(SUM(D76:H76)/SUM(D76:O76),0)</f>
        <v>630.00000000000011</v>
      </c>
      <c r="D76" s="1034">
        <f>'lokale energieproductie'!C8</f>
        <v>741.17647058823536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15882.352941176468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149.71764705882356</v>
      </c>
      <c r="R76" s="852">
        <v>0</v>
      </c>
    </row>
    <row r="77" spans="1:18" ht="30.75" thickBot="1">
      <c r="A77" s="753" t="s">
        <v>353</v>
      </c>
      <c r="B77" s="750">
        <f>'lokale energieproductie'!B9*IFERROR(SUM(I77:O77)/SUM(D77:O77),0)</f>
        <v>14332.5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40950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43504.794959870866</v>
      </c>
      <c r="C78" s="755">
        <f>SUM(C72:C77)</f>
        <v>630.00000000000011</v>
      </c>
      <c r="D78" s="756">
        <f t="shared" ref="D78:H78" si="10">SUM(D76:D77)</f>
        <v>741.17647058823536</v>
      </c>
      <c r="E78" s="756">
        <f t="shared" si="10"/>
        <v>0</v>
      </c>
      <c r="F78" s="756">
        <f t="shared" si="10"/>
        <v>0</v>
      </c>
      <c r="G78" s="756">
        <f t="shared" si="10"/>
        <v>0</v>
      </c>
      <c r="H78" s="756">
        <f t="shared" si="10"/>
        <v>0</v>
      </c>
      <c r="I78" s="756">
        <f>SUM(I76:I77)</f>
        <v>0</v>
      </c>
      <c r="J78" s="756">
        <f>SUM(J76:J77)</f>
        <v>56832.352941176468</v>
      </c>
      <c r="K78" s="756">
        <f t="shared" ref="K78:L78" si="11">SUM(K76:K77)</f>
        <v>0</v>
      </c>
      <c r="L78" s="756">
        <f t="shared" si="11"/>
        <v>0</v>
      </c>
      <c r="M78" s="756">
        <f>SUM(M76:M77)</f>
        <v>0</v>
      </c>
      <c r="N78" s="756">
        <f>SUM(N76:N77)</f>
        <v>0</v>
      </c>
      <c r="O78" s="860">
        <f>SUM(O76:O77)</f>
        <v>0</v>
      </c>
      <c r="P78" s="757">
        <v>0</v>
      </c>
      <c r="Q78" s="757">
        <f>SUM(Q76:Q77)</f>
        <v>149.71764705882356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19285.714285714283</v>
      </c>
      <c r="C87" s="766">
        <f>'lokale energieproductie'!B17*IFERROR(SUM(D87:H87)/SUM(D87:O87),0)</f>
        <v>900.00000000000023</v>
      </c>
      <c r="D87" s="777">
        <f>'lokale energieproductie'!C17</f>
        <v>1058.8235294117649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22689.075630252097</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213.88235294117652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19285.714285714283</v>
      </c>
      <c r="C90" s="755">
        <f>SUM(C87:C89)</f>
        <v>900.00000000000023</v>
      </c>
      <c r="D90" s="755">
        <f t="shared" ref="D90:H90" si="12">SUM(D87:D89)</f>
        <v>1058.8235294117649</v>
      </c>
      <c r="E90" s="755">
        <f t="shared" si="12"/>
        <v>0</v>
      </c>
      <c r="F90" s="755">
        <f t="shared" si="12"/>
        <v>0</v>
      </c>
      <c r="G90" s="755">
        <f t="shared" si="12"/>
        <v>0</v>
      </c>
      <c r="H90" s="755">
        <f t="shared" si="12"/>
        <v>0</v>
      </c>
      <c r="I90" s="755">
        <f>SUM(I87:I89)</f>
        <v>0</v>
      </c>
      <c r="J90" s="755">
        <f>SUM(J87:J89)</f>
        <v>22689.075630252097</v>
      </c>
      <c r="K90" s="755">
        <f t="shared" ref="K90:L90" si="13">SUM(K87:K89)</f>
        <v>0</v>
      </c>
      <c r="L90" s="755">
        <f t="shared" si="13"/>
        <v>0</v>
      </c>
      <c r="M90" s="755">
        <f>SUM(M87:M89)</f>
        <v>0</v>
      </c>
      <c r="N90" s="755">
        <f>SUM(N87:N89)</f>
        <v>0</v>
      </c>
      <c r="O90" s="755">
        <f>SUM(O87:O89)</f>
        <v>0</v>
      </c>
      <c r="P90" s="755">
        <v>0</v>
      </c>
      <c r="Q90" s="755">
        <f>SUM(Q87:Q89)</f>
        <v>213.88235294117652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45962.965124753624</v>
      </c>
      <c r="C4" s="477">
        <f>huishoudens!C8</f>
        <v>0</v>
      </c>
      <c r="D4" s="477">
        <f>huishoudens!D8</f>
        <v>82100.023312999998</v>
      </c>
      <c r="E4" s="477">
        <f>huishoudens!E8</f>
        <v>4093.2990991550209</v>
      </c>
      <c r="F4" s="477">
        <f>huishoudens!F8</f>
        <v>87784.591172641129</v>
      </c>
      <c r="G4" s="477">
        <f>huishoudens!G8</f>
        <v>0</v>
      </c>
      <c r="H4" s="477">
        <f>huishoudens!H8</f>
        <v>0</v>
      </c>
      <c r="I4" s="477">
        <f>huishoudens!I8</f>
        <v>0</v>
      </c>
      <c r="J4" s="477">
        <f>huishoudens!J8</f>
        <v>0</v>
      </c>
      <c r="K4" s="477">
        <f>huishoudens!K8</f>
        <v>0</v>
      </c>
      <c r="L4" s="477">
        <f>huishoudens!L8</f>
        <v>0</v>
      </c>
      <c r="M4" s="477">
        <f>huishoudens!M8</f>
        <v>0</v>
      </c>
      <c r="N4" s="477">
        <f>huishoudens!N8</f>
        <v>30515.058696841334</v>
      </c>
      <c r="O4" s="477">
        <f>huishoudens!O8</f>
        <v>675.36</v>
      </c>
      <c r="P4" s="478">
        <f>huishoudens!P8</f>
        <v>1353.7333333333333</v>
      </c>
      <c r="Q4" s="479">
        <f>SUM(B4:P4)</f>
        <v>252485.03073972443</v>
      </c>
    </row>
    <row r="5" spans="1:17">
      <c r="A5" s="476" t="s">
        <v>156</v>
      </c>
      <c r="B5" s="477">
        <f ca="1">tertiair!B16</f>
        <v>64145.182769999999</v>
      </c>
      <c r="C5" s="477">
        <f ca="1">tertiair!C16</f>
        <v>0</v>
      </c>
      <c r="D5" s="477">
        <f ca="1">tertiair!D16</f>
        <v>49478.060985496006</v>
      </c>
      <c r="E5" s="477">
        <f>tertiair!E16</f>
        <v>549.29295585014256</v>
      </c>
      <c r="F5" s="477">
        <f ca="1">tertiair!F16</f>
        <v>10341.614241339761</v>
      </c>
      <c r="G5" s="477">
        <f>tertiair!G16</f>
        <v>0</v>
      </c>
      <c r="H5" s="477">
        <f>tertiair!H16</f>
        <v>0</v>
      </c>
      <c r="I5" s="477">
        <f>tertiair!I16</f>
        <v>0</v>
      </c>
      <c r="J5" s="477">
        <f>tertiair!J16</f>
        <v>0.48496749902977349</v>
      </c>
      <c r="K5" s="477">
        <f>tertiair!K16</f>
        <v>0</v>
      </c>
      <c r="L5" s="477">
        <f ca="1">tertiair!L16</f>
        <v>0</v>
      </c>
      <c r="M5" s="477">
        <f>tertiair!M16</f>
        <v>0</v>
      </c>
      <c r="N5" s="477">
        <f ca="1">tertiair!N16</f>
        <v>0</v>
      </c>
      <c r="O5" s="477">
        <f>tertiair!O16</f>
        <v>1.5633333333333335</v>
      </c>
      <c r="P5" s="478">
        <f>tertiair!P16</f>
        <v>76.266666666666666</v>
      </c>
      <c r="Q5" s="476">
        <f t="shared" ref="Q5:Q14" ca="1" si="0">SUM(B5:P5)</f>
        <v>124592.46592018494</v>
      </c>
    </row>
    <row r="6" spans="1:17">
      <c r="A6" s="476" t="s">
        <v>194</v>
      </c>
      <c r="B6" s="477">
        <f>'openbare verlichting'!B8</f>
        <v>1630.0340000000001</v>
      </c>
      <c r="C6" s="477"/>
      <c r="D6" s="477"/>
      <c r="E6" s="477"/>
      <c r="F6" s="477"/>
      <c r="G6" s="477"/>
      <c r="H6" s="477"/>
      <c r="I6" s="477"/>
      <c r="J6" s="477"/>
      <c r="K6" s="477"/>
      <c r="L6" s="477"/>
      <c r="M6" s="477"/>
      <c r="N6" s="477"/>
      <c r="O6" s="477"/>
      <c r="P6" s="478"/>
      <c r="Q6" s="476">
        <f t="shared" si="0"/>
        <v>1630.0340000000001</v>
      </c>
    </row>
    <row r="7" spans="1:17">
      <c r="A7" s="476" t="s">
        <v>112</v>
      </c>
      <c r="B7" s="477">
        <f>landbouw!B8</f>
        <v>337.79500000000002</v>
      </c>
      <c r="C7" s="477">
        <f>landbouw!C8</f>
        <v>19285.714285714286</v>
      </c>
      <c r="D7" s="477">
        <f>landbouw!D8</f>
        <v>104.26218</v>
      </c>
      <c r="E7" s="477">
        <f>landbouw!E8</f>
        <v>9.9288267950155564</v>
      </c>
      <c r="F7" s="477">
        <f>landbouw!F8</f>
        <v>1407.2357165162828</v>
      </c>
      <c r="G7" s="477">
        <f>landbouw!G8</f>
        <v>0</v>
      </c>
      <c r="H7" s="477">
        <f>landbouw!H8</f>
        <v>0</v>
      </c>
      <c r="I7" s="477">
        <f>landbouw!I8</f>
        <v>0</v>
      </c>
      <c r="J7" s="477">
        <f>landbouw!J8</f>
        <v>48.939241269336634</v>
      </c>
      <c r="K7" s="477">
        <f>landbouw!K8</f>
        <v>0</v>
      </c>
      <c r="L7" s="477">
        <f>landbouw!L8</f>
        <v>0</v>
      </c>
      <c r="M7" s="477">
        <f>landbouw!M8</f>
        <v>0</v>
      </c>
      <c r="N7" s="477">
        <f>landbouw!N8</f>
        <v>0</v>
      </c>
      <c r="O7" s="477">
        <f>landbouw!O8</f>
        <v>0</v>
      </c>
      <c r="P7" s="478">
        <f>landbouw!P8</f>
        <v>0</v>
      </c>
      <c r="Q7" s="476">
        <f t="shared" si="0"/>
        <v>21193.875250294921</v>
      </c>
    </row>
    <row r="8" spans="1:17">
      <c r="A8" s="476" t="s">
        <v>635</v>
      </c>
      <c r="B8" s="477">
        <f>industrie!B18</f>
        <v>25102.237684</v>
      </c>
      <c r="C8" s="477">
        <f>industrie!C18</f>
        <v>900.00000000000023</v>
      </c>
      <c r="D8" s="477">
        <f>industrie!D18</f>
        <v>25525.186987053999</v>
      </c>
      <c r="E8" s="477">
        <f>industrie!E18</f>
        <v>2478.9196156628454</v>
      </c>
      <c r="F8" s="477">
        <f>industrie!F18</f>
        <v>8675.5522971949795</v>
      </c>
      <c r="G8" s="477">
        <f>industrie!G18</f>
        <v>0</v>
      </c>
      <c r="H8" s="477">
        <f>industrie!H18</f>
        <v>0</v>
      </c>
      <c r="I8" s="477">
        <f>industrie!I18</f>
        <v>0</v>
      </c>
      <c r="J8" s="477">
        <f>industrie!J18</f>
        <v>6.8334134833490179</v>
      </c>
      <c r="K8" s="477">
        <f>industrie!K18</f>
        <v>0</v>
      </c>
      <c r="L8" s="477">
        <f>industrie!L18</f>
        <v>0</v>
      </c>
      <c r="M8" s="477">
        <f>industrie!M18</f>
        <v>0</v>
      </c>
      <c r="N8" s="477">
        <f>industrie!N18</f>
        <v>6445.2907002072989</v>
      </c>
      <c r="O8" s="477">
        <f>industrie!O18</f>
        <v>0</v>
      </c>
      <c r="P8" s="478">
        <f>industrie!P18</f>
        <v>0</v>
      </c>
      <c r="Q8" s="476">
        <f t="shared" si="0"/>
        <v>69134.020697602478</v>
      </c>
    </row>
    <row r="9" spans="1:17" s="482" customFormat="1">
      <c r="A9" s="480" t="s">
        <v>561</v>
      </c>
      <c r="B9" s="481">
        <f>transport!B14</f>
        <v>96.389727405952527</v>
      </c>
      <c r="C9" s="481">
        <f>transport!C14</f>
        <v>0</v>
      </c>
      <c r="D9" s="481">
        <f>transport!D14</f>
        <v>338.49305233339771</v>
      </c>
      <c r="E9" s="481">
        <f>transport!E14</f>
        <v>471.36743107689989</v>
      </c>
      <c r="F9" s="481">
        <f>transport!F14</f>
        <v>0</v>
      </c>
      <c r="G9" s="481">
        <f>transport!G14</f>
        <v>169737.10068835958</v>
      </c>
      <c r="H9" s="481">
        <f>transport!H14</f>
        <v>38452.203677857637</v>
      </c>
      <c r="I9" s="481">
        <f>transport!I14</f>
        <v>0</v>
      </c>
      <c r="J9" s="481">
        <f>transport!J14</f>
        <v>0</v>
      </c>
      <c r="K9" s="481">
        <f>transport!K14</f>
        <v>0</v>
      </c>
      <c r="L9" s="481">
        <f>transport!L14</f>
        <v>0</v>
      </c>
      <c r="M9" s="481">
        <f>transport!M14</f>
        <v>11051.297201848092</v>
      </c>
      <c r="N9" s="481">
        <f>transport!N14</f>
        <v>0</v>
      </c>
      <c r="O9" s="481">
        <f>transport!O14</f>
        <v>0</v>
      </c>
      <c r="P9" s="481">
        <f>transport!P14</f>
        <v>0</v>
      </c>
      <c r="Q9" s="480">
        <f>SUM(B9:P9)</f>
        <v>220146.85177888157</v>
      </c>
    </row>
    <row r="10" spans="1:17">
      <c r="A10" s="476" t="s">
        <v>551</v>
      </c>
      <c r="B10" s="477">
        <f>transport!B54</f>
        <v>0</v>
      </c>
      <c r="C10" s="477">
        <f>transport!C54</f>
        <v>0</v>
      </c>
      <c r="D10" s="477">
        <f>transport!D54</f>
        <v>0</v>
      </c>
      <c r="E10" s="477">
        <f>transport!E54</f>
        <v>0</v>
      </c>
      <c r="F10" s="477">
        <f>transport!F54</f>
        <v>0</v>
      </c>
      <c r="G10" s="477">
        <f>transport!G54</f>
        <v>3726.3577978517383</v>
      </c>
      <c r="H10" s="477">
        <f>transport!H54</f>
        <v>0</v>
      </c>
      <c r="I10" s="477">
        <f>transport!I54</f>
        <v>0</v>
      </c>
      <c r="J10" s="477">
        <f>transport!J54</f>
        <v>0</v>
      </c>
      <c r="K10" s="477">
        <f>transport!K54</f>
        <v>0</v>
      </c>
      <c r="L10" s="477">
        <f>transport!L54</f>
        <v>0</v>
      </c>
      <c r="M10" s="477">
        <f>transport!M54</f>
        <v>211.64067262684387</v>
      </c>
      <c r="N10" s="477">
        <f>transport!N54</f>
        <v>0</v>
      </c>
      <c r="O10" s="477">
        <f>transport!O54</f>
        <v>0</v>
      </c>
      <c r="P10" s="478">
        <f>transport!P54</f>
        <v>0</v>
      </c>
      <c r="Q10" s="476">
        <f t="shared" si="0"/>
        <v>3937.998470478582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4615.1157000000003</v>
      </c>
      <c r="C14" s="484"/>
      <c r="D14" s="484">
        <f>'SEAP template'!E25</f>
        <v>5098.5039999999999</v>
      </c>
      <c r="E14" s="484"/>
      <c r="F14" s="484"/>
      <c r="G14" s="484"/>
      <c r="H14" s="484"/>
      <c r="I14" s="484"/>
      <c r="J14" s="484"/>
      <c r="K14" s="484"/>
      <c r="L14" s="484"/>
      <c r="M14" s="484"/>
      <c r="N14" s="484"/>
      <c r="O14" s="484"/>
      <c r="P14" s="485"/>
      <c r="Q14" s="476">
        <f t="shared" si="0"/>
        <v>9713.6196999999993</v>
      </c>
    </row>
    <row r="15" spans="1:17" s="486" customFormat="1">
      <c r="A15" s="1039" t="s">
        <v>555</v>
      </c>
      <c r="B15" s="987">
        <f ca="1">SUM(B4:B14)</f>
        <v>141889.72000615956</v>
      </c>
      <c r="C15" s="987">
        <f t="shared" ref="C15:Q15" ca="1" si="1">SUM(C4:C14)</f>
        <v>20185.714285714286</v>
      </c>
      <c r="D15" s="987">
        <f t="shared" ca="1" si="1"/>
        <v>162644.5305178834</v>
      </c>
      <c r="E15" s="987">
        <f t="shared" si="1"/>
        <v>7602.8079285399253</v>
      </c>
      <c r="F15" s="987">
        <f t="shared" ca="1" si="1"/>
        <v>108208.99342769216</v>
      </c>
      <c r="G15" s="987">
        <f t="shared" si="1"/>
        <v>173463.45848621131</v>
      </c>
      <c r="H15" s="987">
        <f t="shared" si="1"/>
        <v>38452.203677857637</v>
      </c>
      <c r="I15" s="987">
        <f t="shared" si="1"/>
        <v>0</v>
      </c>
      <c r="J15" s="987">
        <f t="shared" si="1"/>
        <v>56.257622251715425</v>
      </c>
      <c r="K15" s="987">
        <f t="shared" si="1"/>
        <v>0</v>
      </c>
      <c r="L15" s="987">
        <f t="shared" ca="1" si="1"/>
        <v>0</v>
      </c>
      <c r="M15" s="987">
        <f t="shared" si="1"/>
        <v>11262.937874474936</v>
      </c>
      <c r="N15" s="987">
        <f t="shared" ca="1" si="1"/>
        <v>36960.349397048631</v>
      </c>
      <c r="O15" s="987">
        <f t="shared" si="1"/>
        <v>676.9233333333334</v>
      </c>
      <c r="P15" s="987">
        <f t="shared" si="1"/>
        <v>1430</v>
      </c>
      <c r="Q15" s="987">
        <f t="shared" ca="1" si="1"/>
        <v>702833.89655716694</v>
      </c>
    </row>
    <row r="17" spans="1:17">
      <c r="A17" s="487" t="s">
        <v>556</v>
      </c>
      <c r="B17" s="786">
        <f ca="1">huishoudens!B10</f>
        <v>0.15331312290519908</v>
      </c>
      <c r="C17" s="786">
        <f ca="1">huishoudens!C10</f>
        <v>1.0595728737354817E-2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7046.725721258731</v>
      </c>
      <c r="C22" s="477">
        <f t="shared" ref="C22:C32" ca="1" si="3">C4*$C$17</f>
        <v>0</v>
      </c>
      <c r="D22" s="477">
        <f t="shared" ref="D22:D32" si="4">D4*$D$17</f>
        <v>16584.204709226</v>
      </c>
      <c r="E22" s="477">
        <f t="shared" ref="E22:E32" si="5">E4*$E$17</f>
        <v>929.17889550818984</v>
      </c>
      <c r="F22" s="477">
        <f t="shared" ref="F22:F32" si="6">F4*$F$17</f>
        <v>23438.485843095183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47998.595169088105</v>
      </c>
    </row>
    <row r="23" spans="1:17">
      <c r="A23" s="476" t="s">
        <v>156</v>
      </c>
      <c r="B23" s="477">
        <f t="shared" ca="1" si="2"/>
        <v>9834.2982897934689</v>
      </c>
      <c r="C23" s="477">
        <f t="shared" ca="1" si="3"/>
        <v>0</v>
      </c>
      <c r="D23" s="477">
        <f t="shared" ca="1" si="4"/>
        <v>9994.568319070193</v>
      </c>
      <c r="E23" s="477">
        <f t="shared" si="5"/>
        <v>124.68950097798236</v>
      </c>
      <c r="F23" s="477">
        <f t="shared" ca="1" si="6"/>
        <v>2761.2110024377162</v>
      </c>
      <c r="G23" s="477">
        <f t="shared" si="7"/>
        <v>0</v>
      </c>
      <c r="H23" s="477">
        <f t="shared" si="8"/>
        <v>0</v>
      </c>
      <c r="I23" s="477">
        <f t="shared" si="9"/>
        <v>0</v>
      </c>
      <c r="J23" s="477">
        <f t="shared" si="10"/>
        <v>0.17167849465653981</v>
      </c>
      <c r="K23" s="477">
        <f t="shared" si="11"/>
        <v>0</v>
      </c>
      <c r="L23" s="477">
        <f t="shared" ca="1" si="12"/>
        <v>0</v>
      </c>
      <c r="M23" s="477">
        <f t="shared" si="13"/>
        <v>0</v>
      </c>
      <c r="N23" s="477">
        <f t="shared" ca="1" si="14"/>
        <v>0</v>
      </c>
      <c r="O23" s="477">
        <f t="shared" si="15"/>
        <v>0</v>
      </c>
      <c r="P23" s="478">
        <f t="shared" si="16"/>
        <v>0</v>
      </c>
      <c r="Q23" s="476">
        <f t="shared" ref="Q23:Q32" ca="1" si="17">SUM(B23:P23)</f>
        <v>22714.938790774017</v>
      </c>
    </row>
    <row r="24" spans="1:17">
      <c r="A24" s="476" t="s">
        <v>194</v>
      </c>
      <c r="B24" s="477">
        <f t="shared" ca="1" si="2"/>
        <v>249.90560298165329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249.90560298165329</v>
      </c>
    </row>
    <row r="25" spans="1:17">
      <c r="A25" s="476" t="s">
        <v>112</v>
      </c>
      <c r="B25" s="477">
        <f t="shared" ca="1" si="2"/>
        <v>51.788406351761722</v>
      </c>
      <c r="C25" s="477">
        <f t="shared" ca="1" si="3"/>
        <v>204.34619707755718</v>
      </c>
      <c r="D25" s="477">
        <f t="shared" si="4"/>
        <v>21.060960360000003</v>
      </c>
      <c r="E25" s="477">
        <f t="shared" si="5"/>
        <v>2.2538436824685313</v>
      </c>
      <c r="F25" s="477">
        <f t="shared" si="6"/>
        <v>375.73193630984753</v>
      </c>
      <c r="G25" s="477">
        <f t="shared" si="7"/>
        <v>0</v>
      </c>
      <c r="H25" s="477">
        <f t="shared" si="8"/>
        <v>0</v>
      </c>
      <c r="I25" s="477">
        <f t="shared" si="9"/>
        <v>0</v>
      </c>
      <c r="J25" s="477">
        <f t="shared" si="10"/>
        <v>17.324491409345168</v>
      </c>
      <c r="K25" s="477">
        <f t="shared" si="11"/>
        <v>0</v>
      </c>
      <c r="L25" s="477">
        <f t="shared" si="12"/>
        <v>0</v>
      </c>
      <c r="M25" s="477">
        <f t="shared" si="13"/>
        <v>0</v>
      </c>
      <c r="N25" s="477">
        <f t="shared" si="14"/>
        <v>0</v>
      </c>
      <c r="O25" s="477">
        <f t="shared" si="15"/>
        <v>0</v>
      </c>
      <c r="P25" s="478">
        <f t="shared" si="16"/>
        <v>0</v>
      </c>
      <c r="Q25" s="476">
        <f t="shared" ca="1" si="17"/>
        <v>672.50583519098006</v>
      </c>
    </row>
    <row r="26" spans="1:17">
      <c r="A26" s="476" t="s">
        <v>635</v>
      </c>
      <c r="B26" s="477">
        <f t="shared" ca="1" si="2"/>
        <v>3848.5024512426116</v>
      </c>
      <c r="C26" s="477">
        <f t="shared" ca="1" si="3"/>
        <v>9.5361558636193369</v>
      </c>
      <c r="D26" s="477">
        <f t="shared" si="4"/>
        <v>5156.0877713849086</v>
      </c>
      <c r="E26" s="477">
        <f t="shared" si="5"/>
        <v>562.71475275546595</v>
      </c>
      <c r="F26" s="477">
        <f t="shared" si="6"/>
        <v>2316.3724633510597</v>
      </c>
      <c r="G26" s="477">
        <f t="shared" si="7"/>
        <v>0</v>
      </c>
      <c r="H26" s="477">
        <f t="shared" si="8"/>
        <v>0</v>
      </c>
      <c r="I26" s="477">
        <f t="shared" si="9"/>
        <v>0</v>
      </c>
      <c r="J26" s="477">
        <f t="shared" si="10"/>
        <v>2.4190283731055522</v>
      </c>
      <c r="K26" s="477">
        <f t="shared" si="11"/>
        <v>0</v>
      </c>
      <c r="L26" s="477">
        <f t="shared" si="12"/>
        <v>0</v>
      </c>
      <c r="M26" s="477">
        <f t="shared" si="13"/>
        <v>0</v>
      </c>
      <c r="N26" s="477">
        <f t="shared" si="14"/>
        <v>0</v>
      </c>
      <c r="O26" s="477">
        <f t="shared" si="15"/>
        <v>0</v>
      </c>
      <c r="P26" s="478">
        <f t="shared" si="16"/>
        <v>0</v>
      </c>
      <c r="Q26" s="476">
        <f t="shared" ca="1" si="17"/>
        <v>11895.63262297077</v>
      </c>
    </row>
    <row r="27" spans="1:17" s="482" customFormat="1">
      <c r="A27" s="480" t="s">
        <v>561</v>
      </c>
      <c r="B27" s="780">
        <f t="shared" ca="1" si="2"/>
        <v>14.777810124587436</v>
      </c>
      <c r="C27" s="481">
        <f t="shared" ca="1" si="3"/>
        <v>0</v>
      </c>
      <c r="D27" s="481">
        <f t="shared" si="4"/>
        <v>68.375596571346335</v>
      </c>
      <c r="E27" s="481">
        <f t="shared" si="5"/>
        <v>107.00040685445627</v>
      </c>
      <c r="F27" s="481">
        <f t="shared" si="6"/>
        <v>0</v>
      </c>
      <c r="G27" s="481">
        <f t="shared" si="7"/>
        <v>45319.805883792011</v>
      </c>
      <c r="H27" s="481">
        <f t="shared" si="8"/>
        <v>9574.5987157865511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55084.558413128951</v>
      </c>
    </row>
    <row r="28" spans="1:17">
      <c r="A28" s="476" t="s">
        <v>551</v>
      </c>
      <c r="B28" s="477">
        <f t="shared" ca="1" si="2"/>
        <v>0</v>
      </c>
      <c r="C28" s="477">
        <f t="shared" ca="1" si="3"/>
        <v>0</v>
      </c>
      <c r="D28" s="477">
        <f t="shared" si="4"/>
        <v>0</v>
      </c>
      <c r="E28" s="477">
        <f t="shared" si="5"/>
        <v>0</v>
      </c>
      <c r="F28" s="477">
        <f t="shared" si="6"/>
        <v>0</v>
      </c>
      <c r="G28" s="477">
        <f t="shared" si="7"/>
        <v>994.93753202641415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994.93753202641415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707.55780053581395</v>
      </c>
      <c r="C32" s="477">
        <f t="shared" ca="1" si="3"/>
        <v>0</v>
      </c>
      <c r="D32" s="477">
        <f t="shared" si="4"/>
        <v>1029.8978079999999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1737.455608535814</v>
      </c>
    </row>
    <row r="33" spans="1:17" s="486" customFormat="1">
      <c r="A33" s="1039" t="s">
        <v>555</v>
      </c>
      <c r="B33" s="987">
        <f ca="1">SUM(B22:B32)</f>
        <v>21753.556082288629</v>
      </c>
      <c r="C33" s="987">
        <f t="shared" ref="C33:Q33" ca="1" si="18">SUM(C22:C32)</f>
        <v>213.88235294117652</v>
      </c>
      <c r="D33" s="987">
        <f t="shared" ca="1" si="18"/>
        <v>32854.195164612443</v>
      </c>
      <c r="E33" s="987">
        <f t="shared" si="18"/>
        <v>1725.8373997785632</v>
      </c>
      <c r="F33" s="987">
        <f t="shared" ca="1" si="18"/>
        <v>28891.801245193805</v>
      </c>
      <c r="G33" s="987">
        <f t="shared" si="18"/>
        <v>46314.743415818426</v>
      </c>
      <c r="H33" s="987">
        <f t="shared" si="18"/>
        <v>9574.5987157865511</v>
      </c>
      <c r="I33" s="987">
        <f t="shared" si="18"/>
        <v>0</v>
      </c>
      <c r="J33" s="987">
        <f t="shared" si="18"/>
        <v>19.915198277107258</v>
      </c>
      <c r="K33" s="987">
        <f t="shared" si="18"/>
        <v>0</v>
      </c>
      <c r="L33" s="987">
        <f t="shared" ca="1" si="18"/>
        <v>0</v>
      </c>
      <c r="M33" s="987">
        <f t="shared" si="18"/>
        <v>0</v>
      </c>
      <c r="N33" s="987">
        <f t="shared" ca="1" si="18"/>
        <v>0</v>
      </c>
      <c r="O33" s="987">
        <f t="shared" si="18"/>
        <v>0</v>
      </c>
      <c r="P33" s="987">
        <f t="shared" si="18"/>
        <v>0</v>
      </c>
      <c r="Q33" s="987">
        <f t="shared" ca="1" si="18"/>
        <v>141348.5295746967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15672.294959870869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13500</v>
      </c>
      <c r="C8" s="1056">
        <f>'SEAP template'!C76</f>
        <v>630.00000000000011</v>
      </c>
      <c r="D8" s="1056">
        <f>'SEAP template'!D76</f>
        <v>741.17647058823536</v>
      </c>
      <c r="E8" s="1056">
        <f>'SEAP template'!E76</f>
        <v>0</v>
      </c>
      <c r="F8" s="1056">
        <f>'SEAP template'!F76</f>
        <v>0</v>
      </c>
      <c r="G8" s="1056">
        <f>'SEAP template'!G76</f>
        <v>0</v>
      </c>
      <c r="H8" s="1056">
        <f>'SEAP template'!H76</f>
        <v>0</v>
      </c>
      <c r="I8" s="1056">
        <f>'SEAP template'!I76</f>
        <v>0</v>
      </c>
      <c r="J8" s="1056">
        <f>'SEAP template'!J76</f>
        <v>15882.352941176468</v>
      </c>
      <c r="K8" s="1056">
        <f>'SEAP template'!K76</f>
        <v>0</v>
      </c>
      <c r="L8" s="1056">
        <f>'SEAP template'!L76</f>
        <v>0</v>
      </c>
      <c r="M8" s="1056">
        <f>'SEAP template'!M76</f>
        <v>0</v>
      </c>
      <c r="N8" s="1056">
        <f>'SEAP template'!N76</f>
        <v>0</v>
      </c>
      <c r="O8" s="1056">
        <f>'SEAP template'!O76</f>
        <v>0</v>
      </c>
      <c r="P8" s="1057">
        <f>'SEAP template'!Q76</f>
        <v>149.71764705882356</v>
      </c>
    </row>
    <row r="9" spans="1:16">
      <c r="A9" s="1059" t="s">
        <v>854</v>
      </c>
      <c r="B9" s="1056">
        <f>'SEAP template'!B77</f>
        <v>14332.5</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40950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43504.794959870866</v>
      </c>
      <c r="C10" s="1060">
        <f>SUM(C4:C9)</f>
        <v>630.00000000000011</v>
      </c>
      <c r="D10" s="1060">
        <f t="shared" ref="D10:H10" si="0">SUM(D8:D9)</f>
        <v>741.17647058823536</v>
      </c>
      <c r="E10" s="1060">
        <f t="shared" si="0"/>
        <v>0</v>
      </c>
      <c r="F10" s="1060">
        <f t="shared" si="0"/>
        <v>0</v>
      </c>
      <c r="G10" s="1060">
        <f t="shared" si="0"/>
        <v>0</v>
      </c>
      <c r="H10" s="1060">
        <f t="shared" si="0"/>
        <v>0</v>
      </c>
      <c r="I10" s="1060">
        <f>SUM(I8:I9)</f>
        <v>0</v>
      </c>
      <c r="J10" s="1060">
        <f>SUM(J8:J9)</f>
        <v>56832.352941176468</v>
      </c>
      <c r="K10" s="1060">
        <f t="shared" ref="K10:L10" si="1">SUM(K8:K9)</f>
        <v>0</v>
      </c>
      <c r="L10" s="1060">
        <f t="shared" si="1"/>
        <v>0</v>
      </c>
      <c r="M10" s="1060">
        <f>SUM(M8:M9)</f>
        <v>0</v>
      </c>
      <c r="N10" s="1060">
        <f>SUM(N8:N9)</f>
        <v>0</v>
      </c>
      <c r="O10" s="1060">
        <f>SUM(O8:O9)</f>
        <v>0</v>
      </c>
      <c r="P10" s="1060">
        <f>SUM(P8:P9)</f>
        <v>149.71764705882356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0.15331312290519908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19285.714285714283</v>
      </c>
      <c r="C17" s="1062">
        <f>'SEAP template'!C87</f>
        <v>900.00000000000023</v>
      </c>
      <c r="D17" s="1057">
        <f>'SEAP template'!D87</f>
        <v>1058.8235294117649</v>
      </c>
      <c r="E17" s="1057">
        <f>'SEAP template'!E87</f>
        <v>0</v>
      </c>
      <c r="F17" s="1057">
        <f>'SEAP template'!F87</f>
        <v>0</v>
      </c>
      <c r="G17" s="1057">
        <f>'SEAP template'!G87</f>
        <v>0</v>
      </c>
      <c r="H17" s="1057">
        <f>'SEAP template'!H87</f>
        <v>0</v>
      </c>
      <c r="I17" s="1057">
        <f>'SEAP template'!I87</f>
        <v>0</v>
      </c>
      <c r="J17" s="1057">
        <f>'SEAP template'!J87</f>
        <v>22689.075630252097</v>
      </c>
      <c r="K17" s="1057">
        <f>'SEAP template'!K87</f>
        <v>0</v>
      </c>
      <c r="L17" s="1057">
        <f>'SEAP template'!L87</f>
        <v>0</v>
      </c>
      <c r="M17" s="1057">
        <f>'SEAP template'!M87</f>
        <v>0</v>
      </c>
      <c r="N17" s="1057">
        <f>'SEAP template'!N87</f>
        <v>0</v>
      </c>
      <c r="O17" s="1057">
        <f>'SEAP template'!O87</f>
        <v>0</v>
      </c>
      <c r="P17" s="1057">
        <f>'SEAP template'!Q87</f>
        <v>213.88235294117652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19285.714285714283</v>
      </c>
      <c r="C20" s="1060">
        <f>SUM(C17:C19)</f>
        <v>900.00000000000023</v>
      </c>
      <c r="D20" s="1060">
        <f t="shared" ref="D20:H20" si="2">SUM(D17:D19)</f>
        <v>1058.8235294117649</v>
      </c>
      <c r="E20" s="1060">
        <f t="shared" si="2"/>
        <v>0</v>
      </c>
      <c r="F20" s="1060">
        <f t="shared" si="2"/>
        <v>0</v>
      </c>
      <c r="G20" s="1060">
        <f t="shared" si="2"/>
        <v>0</v>
      </c>
      <c r="H20" s="1060">
        <f t="shared" si="2"/>
        <v>0</v>
      </c>
      <c r="I20" s="1060">
        <f>SUM(I17:I19)</f>
        <v>0</v>
      </c>
      <c r="J20" s="1060">
        <f>SUM(J17:J19)</f>
        <v>22689.075630252097</v>
      </c>
      <c r="K20" s="1060">
        <f t="shared" ref="K20:L20" si="3">SUM(K17:K19)</f>
        <v>0</v>
      </c>
      <c r="L20" s="1060">
        <f t="shared" si="3"/>
        <v>0</v>
      </c>
      <c r="M20" s="1060">
        <f>SUM(M17:M19)</f>
        <v>0</v>
      </c>
      <c r="N20" s="1060">
        <f>SUM(N17:N19)</f>
        <v>0</v>
      </c>
      <c r="O20" s="1060">
        <f>SUM(O17:O19)</f>
        <v>0</v>
      </c>
      <c r="P20" s="1060">
        <f>SUM(P17:P19)</f>
        <v>213.88235294117652</v>
      </c>
    </row>
    <row r="22" spans="1:16">
      <c r="A22" s="487" t="s">
        <v>862</v>
      </c>
      <c r="B22" s="786" t="s">
        <v>856</v>
      </c>
      <c r="C22" s="786">
        <f ca="1">'EF ele_warmte'!B22</f>
        <v>1.0595728737354817E-2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0.15331312290519908</v>
      </c>
      <c r="C17" s="524">
        <f ca="1">'EF ele_warmte'!B22</f>
        <v>1.0595728737354817E-2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0.15331312290519908</v>
      </c>
      <c r="C17" s="524">
        <f ca="1">'EF ele_warmte'!B22</f>
        <v>1.0595728737354817E-2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0.15331312290519908</v>
      </c>
      <c r="C29" s="525">
        <f ca="1">'EF ele_warmte'!B22</f>
        <v>1.0595728737354817E-2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11695</v>
      </c>
      <c r="C9" s="342">
        <v>11709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2714.35</v>
      </c>
    </row>
    <row r="15" spans="1:6">
      <c r="A15" s="348" t="s">
        <v>184</v>
      </c>
      <c r="B15" s="334">
        <v>1188</v>
      </c>
    </row>
    <row r="16" spans="1:6">
      <c r="A16" s="348" t="s">
        <v>6</v>
      </c>
      <c r="B16" s="334">
        <v>407</v>
      </c>
    </row>
    <row r="17" spans="1:6">
      <c r="A17" s="348" t="s">
        <v>7</v>
      </c>
      <c r="B17" s="334">
        <v>19</v>
      </c>
    </row>
    <row r="18" spans="1:6">
      <c r="A18" s="348" t="s">
        <v>8</v>
      </c>
      <c r="B18" s="334">
        <v>220</v>
      </c>
    </row>
    <row r="19" spans="1:6">
      <c r="A19" s="348" t="s">
        <v>9</v>
      </c>
      <c r="B19" s="334">
        <v>203</v>
      </c>
    </row>
    <row r="20" spans="1:6">
      <c r="A20" s="348" t="s">
        <v>10</v>
      </c>
      <c r="B20" s="334">
        <v>55</v>
      </c>
    </row>
    <row r="21" spans="1:6">
      <c r="A21" s="348" t="s">
        <v>11</v>
      </c>
      <c r="B21" s="334">
        <v>4612</v>
      </c>
    </row>
    <row r="22" spans="1:6">
      <c r="A22" s="348" t="s">
        <v>12</v>
      </c>
      <c r="B22" s="334">
        <v>2541</v>
      </c>
    </row>
    <row r="23" spans="1:6">
      <c r="A23" s="348" t="s">
        <v>13</v>
      </c>
      <c r="B23" s="334">
        <v>218</v>
      </c>
    </row>
    <row r="24" spans="1:6">
      <c r="A24" s="348" t="s">
        <v>14</v>
      </c>
      <c r="B24" s="334">
        <v>0</v>
      </c>
    </row>
    <row r="25" spans="1:6">
      <c r="A25" s="348" t="s">
        <v>15</v>
      </c>
      <c r="B25" s="334">
        <v>0</v>
      </c>
    </row>
    <row r="26" spans="1:6">
      <c r="A26" s="348" t="s">
        <v>16</v>
      </c>
      <c r="B26" s="334">
        <v>1393</v>
      </c>
    </row>
    <row r="27" spans="1:6">
      <c r="A27" s="348" t="s">
        <v>17</v>
      </c>
      <c r="B27" s="334">
        <v>4</v>
      </c>
    </row>
    <row r="28" spans="1:6" s="356" customFormat="1">
      <c r="A28" s="355" t="s">
        <v>18</v>
      </c>
      <c r="B28" s="355">
        <v>30359</v>
      </c>
    </row>
    <row r="29" spans="1:6">
      <c r="A29" s="355" t="s">
        <v>744</v>
      </c>
      <c r="B29" s="355">
        <v>93</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227444</v>
      </c>
    </row>
    <row r="37" spans="1:6">
      <c r="A37" s="348" t="s">
        <v>25</v>
      </c>
      <c r="B37" s="348" t="s">
        <v>28</v>
      </c>
      <c r="C37" s="334">
        <v>0</v>
      </c>
      <c r="D37" s="334">
        <v>0</v>
      </c>
      <c r="E37" s="334">
        <v>0</v>
      </c>
      <c r="F37" s="334">
        <v>0</v>
      </c>
    </row>
    <row r="38" spans="1:6">
      <c r="A38" s="348" t="s">
        <v>25</v>
      </c>
      <c r="B38" s="348" t="s">
        <v>29</v>
      </c>
      <c r="C38" s="334">
        <v>1</v>
      </c>
      <c r="D38" s="334">
        <v>160163</v>
      </c>
      <c r="E38" s="334">
        <v>3</v>
      </c>
      <c r="F38" s="334">
        <v>40810</v>
      </c>
    </row>
    <row r="39" spans="1:6">
      <c r="A39" s="348" t="s">
        <v>30</v>
      </c>
      <c r="B39" s="348" t="s">
        <v>31</v>
      </c>
      <c r="C39" s="334">
        <v>6318</v>
      </c>
      <c r="D39" s="334">
        <v>91019981.5</v>
      </c>
      <c r="E39" s="334">
        <v>11680</v>
      </c>
      <c r="F39" s="334">
        <v>37284219.450000003</v>
      </c>
    </row>
    <row r="40" spans="1:6">
      <c r="A40" s="348" t="s">
        <v>30</v>
      </c>
      <c r="B40" s="348" t="s">
        <v>29</v>
      </c>
      <c r="C40" s="334">
        <v>0</v>
      </c>
      <c r="D40" s="334">
        <v>0</v>
      </c>
      <c r="E40" s="334">
        <v>0</v>
      </c>
      <c r="F40" s="334">
        <v>0</v>
      </c>
    </row>
    <row r="41" spans="1:6">
      <c r="A41" s="348" t="s">
        <v>32</v>
      </c>
      <c r="B41" s="348" t="s">
        <v>33</v>
      </c>
      <c r="C41" s="334">
        <v>110</v>
      </c>
      <c r="D41" s="334">
        <v>10899113.504000001</v>
      </c>
      <c r="E41" s="334">
        <v>208</v>
      </c>
      <c r="F41" s="334">
        <v>7725343.46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26</v>
      </c>
      <c r="D44" s="334">
        <v>12588005.773</v>
      </c>
      <c r="E44" s="334">
        <v>45</v>
      </c>
      <c r="F44" s="334">
        <v>10854424.398</v>
      </c>
    </row>
    <row r="45" spans="1:6">
      <c r="A45" s="348" t="s">
        <v>32</v>
      </c>
      <c r="B45" s="348" t="s">
        <v>37</v>
      </c>
      <c r="C45" s="334">
        <v>7</v>
      </c>
      <c r="D45" s="334">
        <v>4073663.8</v>
      </c>
      <c r="E45" s="334">
        <v>9</v>
      </c>
      <c r="F45" s="334">
        <v>3916320</v>
      </c>
    </row>
    <row r="46" spans="1:6">
      <c r="A46" s="348" t="s">
        <v>32</v>
      </c>
      <c r="B46" s="348" t="s">
        <v>38</v>
      </c>
      <c r="C46" s="334">
        <v>0</v>
      </c>
      <c r="D46" s="334">
        <v>0</v>
      </c>
      <c r="E46" s="334">
        <v>0</v>
      </c>
      <c r="F46" s="334">
        <v>0</v>
      </c>
    </row>
    <row r="47" spans="1:6">
      <c r="A47" s="348" t="s">
        <v>32</v>
      </c>
      <c r="B47" s="348" t="s">
        <v>39</v>
      </c>
      <c r="C47" s="334">
        <v>5</v>
      </c>
      <c r="D47" s="334">
        <v>257143</v>
      </c>
      <c r="E47" s="334">
        <v>7</v>
      </c>
      <c r="F47" s="334">
        <v>964015</v>
      </c>
    </row>
    <row r="48" spans="1:6">
      <c r="A48" s="348" t="s">
        <v>32</v>
      </c>
      <c r="B48" s="348" t="s">
        <v>29</v>
      </c>
      <c r="C48" s="334">
        <v>2</v>
      </c>
      <c r="D48" s="334">
        <v>1456547.429</v>
      </c>
      <c r="E48" s="334">
        <v>2</v>
      </c>
      <c r="F48" s="334">
        <v>69448.857000000004</v>
      </c>
    </row>
    <row r="49" spans="1:6">
      <c r="A49" s="348" t="s">
        <v>32</v>
      </c>
      <c r="B49" s="348" t="s">
        <v>40</v>
      </c>
      <c r="C49" s="334">
        <v>4</v>
      </c>
      <c r="D49" s="334">
        <v>215804.37100000001</v>
      </c>
      <c r="E49" s="334">
        <v>7</v>
      </c>
      <c r="F49" s="334">
        <v>164701</v>
      </c>
    </row>
    <row r="50" spans="1:6">
      <c r="A50" s="348" t="s">
        <v>32</v>
      </c>
      <c r="B50" s="348" t="s">
        <v>41</v>
      </c>
      <c r="C50" s="334">
        <v>10</v>
      </c>
      <c r="D50" s="334">
        <v>803721</v>
      </c>
      <c r="E50" s="334">
        <v>17</v>
      </c>
      <c r="F50" s="334">
        <v>777984.96900000004</v>
      </c>
    </row>
    <row r="51" spans="1:6">
      <c r="A51" s="348" t="s">
        <v>42</v>
      </c>
      <c r="B51" s="348" t="s">
        <v>43</v>
      </c>
      <c r="C51" s="334">
        <v>3</v>
      </c>
      <c r="D51" s="334">
        <v>115590</v>
      </c>
      <c r="E51" s="334">
        <v>18</v>
      </c>
      <c r="F51" s="334">
        <v>337795</v>
      </c>
    </row>
    <row r="52" spans="1:6">
      <c r="A52" s="348" t="s">
        <v>42</v>
      </c>
      <c r="B52" s="348" t="s">
        <v>29</v>
      </c>
      <c r="C52" s="334">
        <v>0</v>
      </c>
      <c r="D52" s="334">
        <v>0</v>
      </c>
      <c r="E52" s="334">
        <v>0</v>
      </c>
      <c r="F52" s="334">
        <v>0</v>
      </c>
    </row>
    <row r="53" spans="1:6">
      <c r="A53" s="348" t="s">
        <v>44</v>
      </c>
      <c r="B53" s="348" t="s">
        <v>45</v>
      </c>
      <c r="C53" s="334">
        <v>78</v>
      </c>
      <c r="D53" s="334">
        <v>5098504</v>
      </c>
      <c r="E53" s="334">
        <v>195</v>
      </c>
      <c r="F53" s="334">
        <v>4615115.7</v>
      </c>
    </row>
    <row r="54" spans="1:6">
      <c r="A54" s="348" t="s">
        <v>46</v>
      </c>
      <c r="B54" s="348" t="s">
        <v>47</v>
      </c>
      <c r="C54" s="334">
        <v>0</v>
      </c>
      <c r="D54" s="334">
        <v>0</v>
      </c>
      <c r="E54" s="334">
        <v>3</v>
      </c>
      <c r="F54" s="334">
        <v>1630034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82</v>
      </c>
      <c r="D57" s="334">
        <v>16767833.514</v>
      </c>
      <c r="E57" s="334">
        <v>167</v>
      </c>
      <c r="F57" s="334">
        <v>22342472.552000001</v>
      </c>
    </row>
    <row r="58" spans="1:6">
      <c r="A58" s="348" t="s">
        <v>49</v>
      </c>
      <c r="B58" s="348" t="s">
        <v>51</v>
      </c>
      <c r="C58" s="334">
        <v>39</v>
      </c>
      <c r="D58" s="334">
        <v>1513322</v>
      </c>
      <c r="E58" s="334">
        <v>95</v>
      </c>
      <c r="F58" s="334">
        <v>1930310.2860000001</v>
      </c>
    </row>
    <row r="59" spans="1:6">
      <c r="A59" s="348" t="s">
        <v>49</v>
      </c>
      <c r="B59" s="348" t="s">
        <v>52</v>
      </c>
      <c r="C59" s="334">
        <v>171</v>
      </c>
      <c r="D59" s="334">
        <v>9446198.1070000008</v>
      </c>
      <c r="E59" s="334">
        <v>319</v>
      </c>
      <c r="F59" s="334">
        <v>11635916.739</v>
      </c>
    </row>
    <row r="60" spans="1:6">
      <c r="A60" s="348" t="s">
        <v>49</v>
      </c>
      <c r="B60" s="348" t="s">
        <v>53</v>
      </c>
      <c r="C60" s="334">
        <v>73</v>
      </c>
      <c r="D60" s="334">
        <v>10474432.593</v>
      </c>
      <c r="E60" s="334">
        <v>132</v>
      </c>
      <c r="F60" s="334">
        <v>6078412.5269999998</v>
      </c>
    </row>
    <row r="61" spans="1:6">
      <c r="A61" s="348" t="s">
        <v>49</v>
      </c>
      <c r="B61" s="348" t="s">
        <v>54</v>
      </c>
      <c r="C61" s="334">
        <v>206</v>
      </c>
      <c r="D61" s="334">
        <v>12210114.536</v>
      </c>
      <c r="E61" s="334">
        <v>403</v>
      </c>
      <c r="F61" s="334">
        <v>6936007.3459999999</v>
      </c>
    </row>
    <row r="62" spans="1:6">
      <c r="A62" s="348" t="s">
        <v>49</v>
      </c>
      <c r="B62" s="348" t="s">
        <v>55</v>
      </c>
      <c r="C62" s="334">
        <v>30</v>
      </c>
      <c r="D62" s="334">
        <v>4441825.398</v>
      </c>
      <c r="E62" s="334">
        <v>35</v>
      </c>
      <c r="F62" s="334">
        <v>889563.32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306592</v>
      </c>
      <c r="E65" s="334">
        <v>0</v>
      </c>
      <c r="F65" s="334">
        <v>0</v>
      </c>
    </row>
    <row r="66" spans="1:6">
      <c r="A66" s="348" t="s">
        <v>56</v>
      </c>
      <c r="B66" s="348" t="s">
        <v>58</v>
      </c>
      <c r="C66" s="334">
        <v>0</v>
      </c>
      <c r="D66" s="334">
        <v>0</v>
      </c>
      <c r="E66" s="334">
        <v>20</v>
      </c>
      <c r="F66" s="334">
        <v>808395.375</v>
      </c>
    </row>
    <row r="67" spans="1:6">
      <c r="A67" s="355" t="s">
        <v>56</v>
      </c>
      <c r="B67" s="355" t="s">
        <v>59</v>
      </c>
      <c r="C67" s="334">
        <v>0</v>
      </c>
      <c r="D67" s="334">
        <v>0</v>
      </c>
      <c r="E67" s="334">
        <v>0</v>
      </c>
      <c r="F67" s="334">
        <v>0</v>
      </c>
    </row>
    <row r="68" spans="1:6">
      <c r="A68" s="341" t="s">
        <v>56</v>
      </c>
      <c r="B68" s="341" t="s">
        <v>60</v>
      </c>
      <c r="C68" s="334">
        <v>8</v>
      </c>
      <c r="D68" s="334">
        <v>387800</v>
      </c>
      <c r="E68" s="334">
        <v>12</v>
      </c>
      <c r="F68" s="334">
        <v>313617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146364568</v>
      </c>
      <c r="E73" s="475">
        <v>172020333.71947557</v>
      </c>
    </row>
    <row r="74" spans="1:6">
      <c r="A74" s="348" t="s">
        <v>64</v>
      </c>
      <c r="B74" s="348" t="s">
        <v>657</v>
      </c>
      <c r="C74" s="1295" t="s">
        <v>659</v>
      </c>
      <c r="D74" s="475">
        <v>11818306.5</v>
      </c>
      <c r="E74" s="475">
        <v>13025749.361394526</v>
      </c>
    </row>
    <row r="75" spans="1:6">
      <c r="A75" s="348" t="s">
        <v>65</v>
      </c>
      <c r="B75" s="348" t="s">
        <v>656</v>
      </c>
      <c r="C75" s="1295" t="s">
        <v>660</v>
      </c>
      <c r="D75" s="475">
        <v>50965572</v>
      </c>
      <c r="E75" s="475">
        <v>60559428.11947035</v>
      </c>
    </row>
    <row r="76" spans="1:6">
      <c r="A76" s="348" t="s">
        <v>65</v>
      </c>
      <c r="B76" s="348" t="s">
        <v>657</v>
      </c>
      <c r="C76" s="1295" t="s">
        <v>661</v>
      </c>
      <c r="D76" s="475">
        <v>711932.5</v>
      </c>
      <c r="E76" s="475">
        <v>736577.93508504762</v>
      </c>
    </row>
    <row r="77" spans="1:6">
      <c r="A77" s="348" t="s">
        <v>66</v>
      </c>
      <c r="B77" s="348" t="s">
        <v>656</v>
      </c>
      <c r="C77" s="1295" t="s">
        <v>662</v>
      </c>
      <c r="D77" s="475">
        <v>47684897</v>
      </c>
      <c r="E77" s="475">
        <v>51640286.141877636</v>
      </c>
    </row>
    <row r="78" spans="1:6">
      <c r="A78" s="341" t="s">
        <v>66</v>
      </c>
      <c r="B78" s="341" t="s">
        <v>657</v>
      </c>
      <c r="C78" s="341" t="s">
        <v>663</v>
      </c>
      <c r="D78" s="1296">
        <v>7997615</v>
      </c>
      <c r="E78" s="1296">
        <v>8519025.1542662494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1068051</v>
      </c>
      <c r="C83" s="475">
        <v>1092134.062180225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8678.7456747536235</v>
      </c>
    </row>
    <row r="92" spans="1:6">
      <c r="A92" s="341" t="s">
        <v>69</v>
      </c>
      <c r="B92" s="342">
        <v>6993.5492851172467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2539</v>
      </c>
    </row>
    <row r="98" spans="1:6">
      <c r="A98" s="348" t="s">
        <v>72</v>
      </c>
      <c r="B98" s="334">
        <v>4</v>
      </c>
    </row>
    <row r="99" spans="1:6">
      <c r="A99" s="348" t="s">
        <v>73</v>
      </c>
      <c r="B99" s="334">
        <v>32</v>
      </c>
    </row>
    <row r="100" spans="1:6">
      <c r="A100" s="348" t="s">
        <v>74</v>
      </c>
      <c r="B100" s="334">
        <v>215</v>
      </c>
    </row>
    <row r="101" spans="1:6">
      <c r="A101" s="348" t="s">
        <v>75</v>
      </c>
      <c r="B101" s="334">
        <v>70</v>
      </c>
    </row>
    <row r="102" spans="1:6">
      <c r="A102" s="348" t="s">
        <v>76</v>
      </c>
      <c r="B102" s="334">
        <v>101</v>
      </c>
    </row>
    <row r="103" spans="1:6">
      <c r="A103" s="348" t="s">
        <v>77</v>
      </c>
      <c r="B103" s="334">
        <v>138</v>
      </c>
    </row>
    <row r="104" spans="1:6">
      <c r="A104" s="348" t="s">
        <v>78</v>
      </c>
      <c r="B104" s="334">
        <v>6792</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32</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396</v>
      </c>
    </row>
    <row r="130" spans="1:6">
      <c r="A130" s="348" t="s">
        <v>295</v>
      </c>
      <c r="B130" s="334">
        <v>1</v>
      </c>
    </row>
    <row r="131" spans="1:6">
      <c r="A131" s="348" t="s">
        <v>296</v>
      </c>
      <c r="B131" s="334">
        <v>4</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141889.72000615956</v>
      </c>
      <c r="C3" s="43" t="s">
        <v>170</v>
      </c>
      <c r="D3" s="43"/>
      <c r="E3" s="154"/>
      <c r="F3" s="43"/>
      <c r="G3" s="43"/>
      <c r="H3" s="43"/>
      <c r="I3" s="43"/>
      <c r="J3" s="43"/>
      <c r="K3" s="96"/>
    </row>
    <row r="4" spans="1:11">
      <c r="A4" s="383" t="s">
        <v>171</v>
      </c>
      <c r="B4" s="49">
        <f>IF(ISERROR('SEAP template'!B78+'SEAP template'!C78),0,'SEAP template'!B78+'SEAP template'!C78)</f>
        <v>44134.794959870866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149.71764705882356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0.15331312290519908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213.88235294117652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20185.714285714286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1.0595728737354817E-2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1630.0340000000001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0.15331312290519908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249.90560298165329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37284.219450000004</v>
      </c>
      <c r="C5" s="17">
        <f>IF(ISERROR('Eigen informatie GS &amp; warmtenet'!B57),0,'Eigen informatie GS &amp; warmtenet'!B57)</f>
        <v>0</v>
      </c>
      <c r="D5" s="30">
        <f>(SUM(HH_hh_gas_kWh,HH_rest_gas_kWh)/1000)*0.902</f>
        <v>82100.023312999998</v>
      </c>
      <c r="E5" s="17">
        <f>B46*B57</f>
        <v>4093.2990991550209</v>
      </c>
      <c r="F5" s="17">
        <f>B51*B62</f>
        <v>87784.591172641129</v>
      </c>
      <c r="G5" s="18"/>
      <c r="H5" s="17"/>
      <c r="I5" s="17"/>
      <c r="J5" s="17">
        <f>B50*B61+C50*C61</f>
        <v>0</v>
      </c>
      <c r="K5" s="17"/>
      <c r="L5" s="17"/>
      <c r="M5" s="17"/>
      <c r="N5" s="17">
        <f>B48*B59+C48*C59</f>
        <v>30515.058696841334</v>
      </c>
      <c r="O5" s="17">
        <f>B69*B70*B71</f>
        <v>675.36</v>
      </c>
      <c r="P5" s="17">
        <f>B77*B78*B79/1000-B77*B78*B79/1000/B80</f>
        <v>1353.7333333333333</v>
      </c>
    </row>
    <row r="6" spans="1:16">
      <c r="A6" s="16" t="s">
        <v>621</v>
      </c>
      <c r="B6" s="788">
        <f>kWh_PV_kleiner_dan_10kW</f>
        <v>8678.7456747536235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45962.965124753624</v>
      </c>
      <c r="C8" s="21">
        <f>C5</f>
        <v>0</v>
      </c>
      <c r="D8" s="21">
        <f>D5</f>
        <v>82100.023312999998</v>
      </c>
      <c r="E8" s="21">
        <f>E5</f>
        <v>4093.2990991550209</v>
      </c>
      <c r="F8" s="21">
        <f>F5</f>
        <v>87784.591172641129</v>
      </c>
      <c r="G8" s="21"/>
      <c r="H8" s="21"/>
      <c r="I8" s="21"/>
      <c r="J8" s="21">
        <f>J5</f>
        <v>0</v>
      </c>
      <c r="K8" s="21"/>
      <c r="L8" s="21">
        <f>L5</f>
        <v>0</v>
      </c>
      <c r="M8" s="21">
        <f>M5</f>
        <v>0</v>
      </c>
      <c r="N8" s="21">
        <f>N5</f>
        <v>30515.058696841334</v>
      </c>
      <c r="O8" s="21">
        <f>O5</f>
        <v>675.36</v>
      </c>
      <c r="P8" s="21">
        <f>P5</f>
        <v>1353.7333333333333</v>
      </c>
    </row>
    <row r="9" spans="1:16">
      <c r="B9" s="19"/>
      <c r="C9" s="19"/>
      <c r="D9" s="258"/>
      <c r="E9" s="19"/>
      <c r="F9" s="19"/>
      <c r="G9" s="19"/>
      <c r="H9" s="19"/>
      <c r="I9" s="19"/>
      <c r="J9" s="19"/>
      <c r="K9" s="19"/>
      <c r="L9" s="19"/>
      <c r="M9" s="19"/>
      <c r="N9" s="19"/>
      <c r="O9" s="19"/>
      <c r="P9" s="19"/>
    </row>
    <row r="10" spans="1:16">
      <c r="A10" s="24" t="s">
        <v>214</v>
      </c>
      <c r="B10" s="25">
        <f ca="1">'EF ele_warmte'!B12</f>
        <v>0.15331312290519908</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7046.725721258731</v>
      </c>
      <c r="C12" s="23">
        <f ca="1">C10*C8</f>
        <v>0</v>
      </c>
      <c r="D12" s="23">
        <f>D8*D10</f>
        <v>16584.204709226</v>
      </c>
      <c r="E12" s="23">
        <f>E10*E8</f>
        <v>929.17889550818984</v>
      </c>
      <c r="F12" s="23">
        <f>F10*F8</f>
        <v>23438.485843095183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2539</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10.094637223974763</v>
      </c>
      <c r="D20" s="229"/>
      <c r="E20" s="15"/>
    </row>
    <row r="21" spans="1:7">
      <c r="A21" s="171" t="s">
        <v>74</v>
      </c>
      <c r="B21" s="37">
        <f>aantalw2001_elektriciteit</f>
        <v>215</v>
      </c>
      <c r="C21" s="167">
        <f>IF(ISERROR(B21/SUM($B$20,$B$21,$B$22)*100),0,B21/SUM($B$20,$B$21,$B$22)*100)</f>
        <v>67.823343848580436</v>
      </c>
      <c r="D21" s="229"/>
      <c r="E21" s="15"/>
    </row>
    <row r="22" spans="1:7">
      <c r="A22" s="171" t="s">
        <v>75</v>
      </c>
      <c r="B22" s="37">
        <f>aantalw2001_hout</f>
        <v>70</v>
      </c>
      <c r="C22" s="167">
        <f>IF(ISERROR(B22/SUM($B$20,$B$21,$B$22)*100),0,B22/SUM($B$20,$B$21,$B$22)*100)</f>
        <v>22.082018927444793</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6792</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11695</v>
      </c>
      <c r="C28" s="36"/>
      <c r="D28" s="228"/>
    </row>
    <row r="29" spans="1:7" s="15" customFormat="1">
      <c r="A29" s="230" t="s">
        <v>794</v>
      </c>
      <c r="B29" s="37">
        <f>SUM(HH_hh_gas_aantal,HH_rest_gas_aantal)</f>
        <v>6318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6318</v>
      </c>
      <c r="C32" s="167">
        <f>IF(ISERROR(B32/SUM($B$32,$B$34,$B$35,$B$36,$B$38,$B$39)*100),0,B32/SUM($B$32,$B$34,$B$35,$B$36,$B$38,$B$39)*100)</f>
        <v>54.353062629043372</v>
      </c>
      <c r="D32" s="233"/>
      <c r="G32" s="15"/>
    </row>
    <row r="33" spans="1:7">
      <c r="A33" s="171" t="s">
        <v>72</v>
      </c>
      <c r="B33" s="34" t="s">
        <v>111</v>
      </c>
      <c r="C33" s="167"/>
      <c r="D33" s="233"/>
      <c r="G33" s="15"/>
    </row>
    <row r="34" spans="1:7">
      <c r="A34" s="171" t="s">
        <v>73</v>
      </c>
      <c r="B34" s="33">
        <f>IF((($B$28-$B$32-$B$39-$B$77-$B$38)*C20/100)&lt;0,0,($B$28-$B$32-$B$39-$B$77-$B$38)*C20/100)</f>
        <v>193.32239747634065</v>
      </c>
      <c r="C34" s="167">
        <f>IF(ISERROR(B34/SUM($B$32,$B$34,$B$35,$B$36,$B$38,$B$39)*100),0,B34/SUM($B$32,$B$34,$B$35,$B$36,$B$38,$B$39)*100)</f>
        <v>1.6631314304571636</v>
      </c>
      <c r="D34" s="233"/>
      <c r="G34" s="15"/>
    </row>
    <row r="35" spans="1:7">
      <c r="A35" s="171" t="s">
        <v>74</v>
      </c>
      <c r="B35" s="33">
        <f>IF((($B$28-$B$32-$B$39-$B$77-$B$38)*C21/100)&lt;0,0,($B$28-$B$32-$B$39-$B$77-$B$38)*C21/100)</f>
        <v>1298.8848580441638</v>
      </c>
      <c r="C35" s="167">
        <f>IF(ISERROR(B35/SUM($B$32,$B$34,$B$35,$B$36,$B$38,$B$39)*100),0,B35/SUM($B$32,$B$34,$B$35,$B$36,$B$38,$B$39)*100)</f>
        <v>11.174164298384067</v>
      </c>
      <c r="D35" s="233"/>
      <c r="G35" s="15"/>
    </row>
    <row r="36" spans="1:7">
      <c r="A36" s="171" t="s">
        <v>75</v>
      </c>
      <c r="B36" s="33">
        <f>IF((($B$28-$B$32-$B$39-$B$77-$B$38)*C22/100)&lt;0,0,($B$28-$B$32-$B$39-$B$77-$B$38)*C22/100)</f>
        <v>422.89274447949521</v>
      </c>
      <c r="C36" s="167">
        <f>IF(ISERROR(B36/SUM($B$32,$B$34,$B$35,$B$36,$B$38,$B$39)*100),0,B36/SUM($B$32,$B$34,$B$35,$B$36,$B$38,$B$39)*100)</f>
        <v>3.6381000041250453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3390.9</v>
      </c>
      <c r="C39" s="167">
        <f>IF(ISERROR(B39/SUM($B$32,$B$34,$B$35,$B$36,$B$38,$B$39)*100),0,B39/SUM($B$32,$B$34,$B$35,$B$36,$B$38,$B$39)*100)</f>
        <v>29.171541637990373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6318</v>
      </c>
      <c r="C44" s="34" t="s">
        <v>111</v>
      </c>
      <c r="D44" s="174"/>
    </row>
    <row r="45" spans="1:7">
      <c r="A45" s="171" t="s">
        <v>72</v>
      </c>
      <c r="B45" s="33" t="str">
        <f t="shared" si="0"/>
        <v>-</v>
      </c>
      <c r="C45" s="34" t="s">
        <v>111</v>
      </c>
      <c r="D45" s="174"/>
    </row>
    <row r="46" spans="1:7">
      <c r="A46" s="171" t="s">
        <v>73</v>
      </c>
      <c r="B46" s="33">
        <f t="shared" si="0"/>
        <v>193.32239747634065</v>
      </c>
      <c r="C46" s="34" t="s">
        <v>111</v>
      </c>
      <c r="D46" s="174"/>
    </row>
    <row r="47" spans="1:7">
      <c r="A47" s="171" t="s">
        <v>74</v>
      </c>
      <c r="B47" s="33">
        <f t="shared" si="0"/>
        <v>1298.8848580441638</v>
      </c>
      <c r="C47" s="34" t="s">
        <v>111</v>
      </c>
      <c r="D47" s="174"/>
    </row>
    <row r="48" spans="1:7">
      <c r="A48" s="171" t="s">
        <v>75</v>
      </c>
      <c r="B48" s="33">
        <f t="shared" si="0"/>
        <v>422.89274447949521</v>
      </c>
      <c r="C48" s="33">
        <f>B48*10</f>
        <v>4228.927444794952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3390.9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49812.682769999999</v>
      </c>
      <c r="C5" s="17">
        <f>IF(ISERROR('Eigen informatie GS &amp; warmtenet'!B58),0,'Eigen informatie GS &amp; warmtenet'!B58)</f>
        <v>0</v>
      </c>
      <c r="D5" s="30">
        <f>SUM(D6:D12)</f>
        <v>49478.060985496006</v>
      </c>
      <c r="E5" s="17">
        <f>SUM(E6:E12)</f>
        <v>549.29295585014256</v>
      </c>
      <c r="F5" s="17">
        <f>SUM(F6:F12)</f>
        <v>10341.614241339761</v>
      </c>
      <c r="G5" s="18"/>
      <c r="H5" s="17"/>
      <c r="I5" s="17"/>
      <c r="J5" s="17">
        <f>SUM(J6:J12)</f>
        <v>0.48496749902977349</v>
      </c>
      <c r="K5" s="17"/>
      <c r="L5" s="17"/>
      <c r="M5" s="17"/>
      <c r="N5" s="17">
        <f>SUM(N6:N12)</f>
        <v>19029.541597346175</v>
      </c>
      <c r="O5" s="17">
        <f>B38*B39*B40</f>
        <v>1.5633333333333335</v>
      </c>
      <c r="P5" s="17">
        <f>B46*B47*B48/1000-B46*B47*B48/1000/B49</f>
        <v>76.266666666666666</v>
      </c>
      <c r="R5" s="32"/>
    </row>
    <row r="6" spans="1:18">
      <c r="A6" s="32" t="s">
        <v>54</v>
      </c>
      <c r="B6" s="37">
        <f>B26</f>
        <v>6936.0073460000003</v>
      </c>
      <c r="C6" s="33"/>
      <c r="D6" s="37">
        <f>IF(ISERROR(TER_kantoor_gas_kWh/1000),0,TER_kantoor_gas_kWh/1000)*0.902</f>
        <v>11013.523311472001</v>
      </c>
      <c r="E6" s="33">
        <f>$C$26*'E Balans VL '!I12/100/3.6*1000000</f>
        <v>4.3472587164825251E-2</v>
      </c>
      <c r="F6" s="33">
        <f>$C$26*('E Balans VL '!L12+'E Balans VL '!N12)/100/3.6*1000000</f>
        <v>1042.2880935741134</v>
      </c>
      <c r="G6" s="34"/>
      <c r="H6" s="33"/>
      <c r="I6" s="33"/>
      <c r="J6" s="33">
        <f>$C$26*('E Balans VL '!D12+'E Balans VL '!E12)/100/3.6*1000000</f>
        <v>0</v>
      </c>
      <c r="K6" s="33"/>
      <c r="L6" s="33"/>
      <c r="M6" s="33"/>
      <c r="N6" s="33">
        <f>$C$26*'E Balans VL '!Y12/100/3.6*1000000</f>
        <v>6.6332626505016954</v>
      </c>
      <c r="O6" s="33"/>
      <c r="P6" s="33"/>
      <c r="R6" s="32"/>
    </row>
    <row r="7" spans="1:18">
      <c r="A7" s="32" t="s">
        <v>53</v>
      </c>
      <c r="B7" s="37">
        <f t="shared" ref="B7:B12" si="0">B27</f>
        <v>6078.4125269999995</v>
      </c>
      <c r="C7" s="33"/>
      <c r="D7" s="37">
        <f>IF(ISERROR(TER_horeca_gas_kWh/1000),0,TER_horeca_gas_kWh/1000)*0.902</f>
        <v>9447.9381988860005</v>
      </c>
      <c r="E7" s="33">
        <f>$C$27*'E Balans VL '!I9/100/3.6*1000000</f>
        <v>87.041854916391642</v>
      </c>
      <c r="F7" s="33">
        <f>$C$27*('E Balans VL '!L9+'E Balans VL '!N9)/100/3.6*1000000</f>
        <v>769.72749968676544</v>
      </c>
      <c r="G7" s="34"/>
      <c r="H7" s="33"/>
      <c r="I7" s="33"/>
      <c r="J7" s="33">
        <f>$C$27*('E Balans VL '!D9+'E Balans VL '!E9)/100/3.6*1000000</f>
        <v>0</v>
      </c>
      <c r="K7" s="33"/>
      <c r="L7" s="33"/>
      <c r="M7" s="33"/>
      <c r="N7" s="33">
        <f>$C$27*'E Balans VL '!Y9/100/3.6*1000000</f>
        <v>1.7474095840202959</v>
      </c>
      <c r="O7" s="33"/>
      <c r="P7" s="33"/>
      <c r="R7" s="32"/>
    </row>
    <row r="8" spans="1:18">
      <c r="A8" s="6" t="s">
        <v>52</v>
      </c>
      <c r="B8" s="37">
        <f t="shared" si="0"/>
        <v>11635.916739</v>
      </c>
      <c r="C8" s="33"/>
      <c r="D8" s="37">
        <f>IF(ISERROR(TER_handel_gas_kWh/1000),0,TER_handel_gas_kWh/1000)*0.902</f>
        <v>8520.4706925139999</v>
      </c>
      <c r="E8" s="33">
        <f>$C$28*'E Balans VL '!I13/100/3.6*1000000</f>
        <v>422.03326524656239</v>
      </c>
      <c r="F8" s="33">
        <f>$C$28*('E Balans VL '!L13+'E Balans VL '!N13)/100/3.6*1000000</f>
        <v>2241.1953850792165</v>
      </c>
      <c r="G8" s="34"/>
      <c r="H8" s="33"/>
      <c r="I8" s="33"/>
      <c r="J8" s="33">
        <f>$C$28*('E Balans VL '!D13+'E Balans VL '!E13)/100/3.6*1000000</f>
        <v>0</v>
      </c>
      <c r="K8" s="33"/>
      <c r="L8" s="33"/>
      <c r="M8" s="33"/>
      <c r="N8" s="33">
        <f>$C$28*'E Balans VL '!Y13/100/3.6*1000000</f>
        <v>16.118421988552416</v>
      </c>
      <c r="O8" s="33"/>
      <c r="P8" s="33"/>
      <c r="R8" s="32"/>
    </row>
    <row r="9" spans="1:18">
      <c r="A9" s="32" t="s">
        <v>51</v>
      </c>
      <c r="B9" s="37">
        <f t="shared" si="0"/>
        <v>1930.3102860000001</v>
      </c>
      <c r="C9" s="33"/>
      <c r="D9" s="37">
        <f>IF(ISERROR(TER_gezond_gas_kWh/1000),0,TER_gezond_gas_kWh/1000)*0.902</f>
        <v>1365.0164439999999</v>
      </c>
      <c r="E9" s="33">
        <f>$C$29*'E Balans VL '!I10/100/3.6*1000000</f>
        <v>0.12085648227458043</v>
      </c>
      <c r="F9" s="33">
        <f>$C$29*('E Balans VL '!L10+'E Balans VL '!N10)/100/3.6*1000000</f>
        <v>286.75347022040262</v>
      </c>
      <c r="G9" s="34"/>
      <c r="H9" s="33"/>
      <c r="I9" s="33"/>
      <c r="J9" s="33">
        <f>$C$29*('E Balans VL '!D10+'E Balans VL '!E10)/100/3.6*1000000</f>
        <v>0</v>
      </c>
      <c r="K9" s="33"/>
      <c r="L9" s="33"/>
      <c r="M9" s="33"/>
      <c r="N9" s="33">
        <f>$C$29*'E Balans VL '!Y10/100/3.6*1000000</f>
        <v>29.858225762869143</v>
      </c>
      <c r="O9" s="33"/>
      <c r="P9" s="33"/>
      <c r="R9" s="32"/>
    </row>
    <row r="10" spans="1:18">
      <c r="A10" s="32" t="s">
        <v>50</v>
      </c>
      <c r="B10" s="37">
        <f t="shared" si="0"/>
        <v>22342.472551999999</v>
      </c>
      <c r="C10" s="33"/>
      <c r="D10" s="37">
        <f>IF(ISERROR(TER_ander_gas_kWh/1000),0,TER_ander_gas_kWh/1000)*0.902</f>
        <v>15124.585829628002</v>
      </c>
      <c r="E10" s="33">
        <f>$C$30*'E Balans VL '!I14/100/3.6*1000000</f>
        <v>26.631428896918354</v>
      </c>
      <c r="F10" s="33">
        <f>$C$30*('E Balans VL '!L14+'E Balans VL '!N14)/100/3.6*1000000</f>
        <v>5845.7840879184469</v>
      </c>
      <c r="G10" s="34"/>
      <c r="H10" s="33"/>
      <c r="I10" s="33"/>
      <c r="J10" s="33">
        <f>$C$30*('E Balans VL '!D14+'E Balans VL '!E14)/100/3.6*1000000</f>
        <v>0.48496749902977349</v>
      </c>
      <c r="K10" s="33"/>
      <c r="L10" s="33"/>
      <c r="M10" s="33"/>
      <c r="N10" s="33">
        <f>$C$30*'E Balans VL '!Y14/100/3.6*1000000</f>
        <v>18972.680978550576</v>
      </c>
      <c r="O10" s="33"/>
      <c r="P10" s="33"/>
      <c r="R10" s="32"/>
    </row>
    <row r="11" spans="1:18">
      <c r="A11" s="32" t="s">
        <v>55</v>
      </c>
      <c r="B11" s="37">
        <f t="shared" si="0"/>
        <v>889.56331999999998</v>
      </c>
      <c r="C11" s="33"/>
      <c r="D11" s="37">
        <f>IF(ISERROR(TER_onderwijs_gas_kWh/1000),0,TER_onderwijs_gas_kWh/1000)*0.902</f>
        <v>4006.5265089959998</v>
      </c>
      <c r="E11" s="33">
        <f>$C$31*'E Balans VL '!I11/100/3.6*1000000</f>
        <v>13.422077720830723</v>
      </c>
      <c r="F11" s="33">
        <f>$C$31*('E Balans VL '!L11+'E Balans VL '!N11)/100/3.6*1000000</f>
        <v>155.86570486081536</v>
      </c>
      <c r="G11" s="34"/>
      <c r="H11" s="33"/>
      <c r="I11" s="33"/>
      <c r="J11" s="33">
        <f>$C$31*('E Balans VL '!D11+'E Balans VL '!E11)/100/3.6*1000000</f>
        <v>0</v>
      </c>
      <c r="K11" s="33"/>
      <c r="L11" s="33"/>
      <c r="M11" s="33"/>
      <c r="N11" s="33">
        <f>$C$31*'E Balans VL '!Y11/100/3.6*1000000</f>
        <v>2.5032988096589563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14332.5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-40950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64145.182769999999</v>
      </c>
      <c r="C16" s="21">
        <f t="shared" ca="1" si="1"/>
        <v>0</v>
      </c>
      <c r="D16" s="21">
        <f t="shared" ca="1" si="1"/>
        <v>49478.060985496006</v>
      </c>
      <c r="E16" s="21">
        <f t="shared" si="1"/>
        <v>549.29295585014256</v>
      </c>
      <c r="F16" s="21">
        <f t="shared" ca="1" si="1"/>
        <v>10341.614241339761</v>
      </c>
      <c r="G16" s="21">
        <f t="shared" si="1"/>
        <v>0</v>
      </c>
      <c r="H16" s="21">
        <f t="shared" si="1"/>
        <v>0</v>
      </c>
      <c r="I16" s="21">
        <f t="shared" si="1"/>
        <v>0</v>
      </c>
      <c r="J16" s="21">
        <f t="shared" si="1"/>
        <v>0.48496749902977349</v>
      </c>
      <c r="K16" s="21">
        <f t="shared" si="1"/>
        <v>0</v>
      </c>
      <c r="L16" s="21">
        <f t="shared" ca="1" si="1"/>
        <v>0</v>
      </c>
      <c r="M16" s="21">
        <f t="shared" si="1"/>
        <v>0</v>
      </c>
      <c r="N16" s="21">
        <f t="shared" ca="1" si="1"/>
        <v>0</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0.15331312290519908</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9834.2982897934689</v>
      </c>
      <c r="C20" s="23">
        <f t="shared" ref="C20:P20" ca="1" si="2">C16*C18</f>
        <v>0</v>
      </c>
      <c r="D20" s="23">
        <f t="shared" ca="1" si="2"/>
        <v>9994.568319070193</v>
      </c>
      <c r="E20" s="23">
        <f t="shared" si="2"/>
        <v>124.68950097798236</v>
      </c>
      <c r="F20" s="23">
        <f t="shared" ca="1" si="2"/>
        <v>2761.2110024377162</v>
      </c>
      <c r="G20" s="23">
        <f t="shared" si="2"/>
        <v>0</v>
      </c>
      <c r="H20" s="23">
        <f t="shared" si="2"/>
        <v>0</v>
      </c>
      <c r="I20" s="23">
        <f t="shared" si="2"/>
        <v>0</v>
      </c>
      <c r="J20" s="23">
        <f t="shared" si="2"/>
        <v>0.17167849465653981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6936.0073460000003</v>
      </c>
      <c r="C26" s="39">
        <f>IF(ISERROR(B26*3.6/1000000/'E Balans VL '!Z12*100),0,B26*3.6/1000000/'E Balans VL '!Z12*100)</f>
        <v>0.14661620777128601</v>
      </c>
      <c r="D26" s="237" t="s">
        <v>754</v>
      </c>
      <c r="F26" s="6"/>
    </row>
    <row r="27" spans="1:18">
      <c r="A27" s="231" t="s">
        <v>53</v>
      </c>
      <c r="B27" s="33">
        <f>IF(ISERROR(TER_horeca_ele_kWh/1000),0,TER_horeca_ele_kWh/1000)</f>
        <v>6078.4125269999995</v>
      </c>
      <c r="C27" s="39">
        <f>IF(ISERROR(B27*3.6/1000000/'E Balans VL '!Z9*100),0,B27*3.6/1000000/'E Balans VL '!Z9*100)</f>
        <v>0.47915899396340117</v>
      </c>
      <c r="D27" s="237" t="s">
        <v>754</v>
      </c>
      <c r="F27" s="6"/>
    </row>
    <row r="28" spans="1:18">
      <c r="A28" s="171" t="s">
        <v>52</v>
      </c>
      <c r="B28" s="33">
        <f>IF(ISERROR(TER_handel_ele_kWh/1000),0,TER_handel_ele_kWh/1000)</f>
        <v>11635.916739</v>
      </c>
      <c r="C28" s="39">
        <f>IF(ISERROR(B28*3.6/1000000/'E Balans VL '!Z13*100),0,B28*3.6/1000000/'E Balans VL '!Z13*100)</f>
        <v>0.33772131813765288</v>
      </c>
      <c r="D28" s="237" t="s">
        <v>754</v>
      </c>
      <c r="F28" s="6"/>
    </row>
    <row r="29" spans="1:18">
      <c r="A29" s="231" t="s">
        <v>51</v>
      </c>
      <c r="B29" s="33">
        <f>IF(ISERROR(TER_gezond_ele_kWh/1000),0,TER_gezond_ele_kWh/1000)</f>
        <v>1930.3102860000001</v>
      </c>
      <c r="C29" s="39">
        <f>IF(ISERROR(B29*3.6/1000000/'E Balans VL '!Z10*100),0,B29*3.6/1000000/'E Balans VL '!Z10*100)</f>
        <v>0.20329336964736203</v>
      </c>
      <c r="D29" s="237" t="s">
        <v>754</v>
      </c>
      <c r="F29" s="6"/>
    </row>
    <row r="30" spans="1:18">
      <c r="A30" s="231" t="s">
        <v>50</v>
      </c>
      <c r="B30" s="33">
        <f>IF(ISERROR(TER_ander_ele_kWh/1000),0,TER_ander_ele_kWh/1000)</f>
        <v>22342.472551999999</v>
      </c>
      <c r="C30" s="39">
        <f>IF(ISERROR(B30*3.6/1000000/'E Balans VL '!Z14*100),0,B30*3.6/1000000/'E Balans VL '!Z14*100)</f>
        <v>1.6479856281964185</v>
      </c>
      <c r="D30" s="237" t="s">
        <v>754</v>
      </c>
      <c r="F30" s="6"/>
    </row>
    <row r="31" spans="1:18">
      <c r="A31" s="231" t="s">
        <v>55</v>
      </c>
      <c r="B31" s="33">
        <f>IF(ISERROR(TER_onderwijs_ele_kWh/1000),0,TER_onderwijs_ele_kWh/1000)</f>
        <v>889.56331999999998</v>
      </c>
      <c r="C31" s="39">
        <f>IF(ISERROR(B31*3.6/1000000/'E Balans VL '!Z11*100),0,B31*3.6/1000000/'E Balans VL '!Z11*100)</f>
        <v>0.22092024195591739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24472.237684</v>
      </c>
      <c r="C5" s="17">
        <f>IF(ISERROR('Eigen informatie GS &amp; warmtenet'!B59),0,'Eigen informatie GS &amp; warmtenet'!B59)</f>
        <v>0</v>
      </c>
      <c r="D5" s="30">
        <f>SUM(D6:D15)</f>
        <v>27325.186987053999</v>
      </c>
      <c r="E5" s="17">
        <f>SUM(E6:E15)</f>
        <v>2478.9196156628454</v>
      </c>
      <c r="F5" s="17">
        <f>SUM(F6:F15)</f>
        <v>8675.5522971949795</v>
      </c>
      <c r="G5" s="18"/>
      <c r="H5" s="17"/>
      <c r="I5" s="17"/>
      <c r="J5" s="17">
        <f>SUM(J6:J15)</f>
        <v>6.8334134833490179</v>
      </c>
      <c r="K5" s="17"/>
      <c r="L5" s="17"/>
      <c r="M5" s="17"/>
      <c r="N5" s="17">
        <f>SUM(N6:N15)</f>
        <v>6445.2907002072989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10854.424397999999</v>
      </c>
      <c r="C8" s="33"/>
      <c r="D8" s="37">
        <f>IF( ISERROR(IND_metaal_Gas_kWH/1000),0,IND_metaal_Gas_kWH/1000)*0.902</f>
        <v>11354.381207246</v>
      </c>
      <c r="E8" s="33">
        <f>C30*'E Balans VL '!I18/100/3.6*1000000</f>
        <v>99.79594903682991</v>
      </c>
      <c r="F8" s="33">
        <f>C30*'E Balans VL '!L18/100/3.6*1000000+C30*'E Balans VL '!N18/100/3.6*1000000</f>
        <v>1017.7836281636129</v>
      </c>
      <c r="G8" s="34"/>
      <c r="H8" s="33"/>
      <c r="I8" s="33"/>
      <c r="J8" s="40">
        <f>C30*'E Balans VL '!D18/100/3.6*1000000+C30*'E Balans VL '!E18/100/3.6*1000000</f>
        <v>0</v>
      </c>
      <c r="K8" s="33"/>
      <c r="L8" s="33"/>
      <c r="M8" s="33"/>
      <c r="N8" s="33">
        <f>C30*'E Balans VL '!Y18/100/3.6*1000000</f>
        <v>154.85630172916268</v>
      </c>
      <c r="O8" s="33"/>
      <c r="P8" s="33"/>
      <c r="R8" s="32"/>
    </row>
    <row r="9" spans="1:18">
      <c r="A9" s="6" t="s">
        <v>33</v>
      </c>
      <c r="B9" s="37">
        <f t="shared" si="0"/>
        <v>7725.3434600000001</v>
      </c>
      <c r="C9" s="33"/>
      <c r="D9" s="37">
        <f>IF( ISERROR(IND_andere_gas_kWh/1000),0,IND_andere_gas_kWh/1000)*0.902</f>
        <v>9831.0003806080003</v>
      </c>
      <c r="E9" s="33">
        <f>C31*'E Balans VL '!I19/100/3.6*1000000</f>
        <v>2258.2682880562143</v>
      </c>
      <c r="F9" s="33">
        <f>C31*'E Balans VL '!L19/100/3.6*1000000+C31*'E Balans VL '!N19/100/3.6*1000000</f>
        <v>6207.8982248791926</v>
      </c>
      <c r="G9" s="34"/>
      <c r="H9" s="33"/>
      <c r="I9" s="33"/>
      <c r="J9" s="40">
        <f>C31*'E Balans VL '!D19/100/3.6*1000000+C31*'E Balans VL '!E19/100/3.6*1000000</f>
        <v>0</v>
      </c>
      <c r="K9" s="33"/>
      <c r="L9" s="33"/>
      <c r="M9" s="33"/>
      <c r="N9" s="33">
        <f>C31*'E Balans VL '!Y19/100/3.6*1000000</f>
        <v>2552.5732907664164</v>
      </c>
      <c r="O9" s="33"/>
      <c r="P9" s="33"/>
      <c r="R9" s="32"/>
    </row>
    <row r="10" spans="1:18">
      <c r="A10" s="6" t="s">
        <v>41</v>
      </c>
      <c r="B10" s="37">
        <f t="shared" si="0"/>
        <v>777.98496900000009</v>
      </c>
      <c r="C10" s="33"/>
      <c r="D10" s="37">
        <f>IF( ISERROR(IND_voed_gas_kWh/1000),0,IND_voed_gas_kWh/1000)*0.902</f>
        <v>724.95634200000006</v>
      </c>
      <c r="E10" s="33">
        <f>C32*'E Balans VL '!I20/100/3.6*1000000</f>
        <v>1.6458392647193147</v>
      </c>
      <c r="F10" s="33">
        <f>C32*'E Balans VL '!L20/100/3.6*1000000+C32*'E Balans VL '!N20/100/3.6*1000000</f>
        <v>49.465079017361958</v>
      </c>
      <c r="G10" s="34"/>
      <c r="H10" s="33"/>
      <c r="I10" s="33"/>
      <c r="J10" s="40">
        <f>C32*'E Balans VL '!D20/100/3.6*1000000+C32*'E Balans VL '!E20/100/3.6*1000000</f>
        <v>0</v>
      </c>
      <c r="K10" s="33"/>
      <c r="L10" s="33"/>
      <c r="M10" s="33"/>
      <c r="N10" s="33">
        <f>C32*'E Balans VL '!Y20/100/3.6*1000000</f>
        <v>53.688640204266768</v>
      </c>
      <c r="O10" s="33"/>
      <c r="P10" s="33"/>
      <c r="R10" s="32"/>
    </row>
    <row r="11" spans="1:18">
      <c r="A11" s="6" t="s">
        <v>40</v>
      </c>
      <c r="B11" s="37">
        <f t="shared" si="0"/>
        <v>164.70099999999999</v>
      </c>
      <c r="C11" s="33"/>
      <c r="D11" s="37">
        <f>IF( ISERROR(IND_textiel_gas_kWh/1000),0,IND_textiel_gas_kWh/1000)*0.902</f>
        <v>194.655542642</v>
      </c>
      <c r="E11" s="33">
        <f>C33*'E Balans VL '!I21/100/3.6*1000000</f>
        <v>0.48914777004396381</v>
      </c>
      <c r="F11" s="33">
        <f>C33*'E Balans VL '!L21/100/3.6*1000000+C33*'E Balans VL '!N21/100/3.6*1000000</f>
        <v>16.639322720460264</v>
      </c>
      <c r="G11" s="34"/>
      <c r="H11" s="33"/>
      <c r="I11" s="33"/>
      <c r="J11" s="40">
        <f>C33*'E Balans VL '!D21/100/3.6*1000000+C33*'E Balans VL '!E21/100/3.6*1000000</f>
        <v>0</v>
      </c>
      <c r="K11" s="33"/>
      <c r="L11" s="33"/>
      <c r="M11" s="33"/>
      <c r="N11" s="33">
        <f>C33*'E Balans VL '!Y21/100/3.6*1000000</f>
        <v>9.0837857692365382</v>
      </c>
      <c r="O11" s="33"/>
      <c r="P11" s="33"/>
      <c r="R11" s="32"/>
    </row>
    <row r="12" spans="1:18">
      <c r="A12" s="6" t="s">
        <v>37</v>
      </c>
      <c r="B12" s="37">
        <f t="shared" si="0"/>
        <v>3916.32</v>
      </c>
      <c r="C12" s="33"/>
      <c r="D12" s="37">
        <f>IF( ISERROR(IND_min_gas_kWh/1000),0,IND_min_gas_kWh/1000)*0.902</f>
        <v>3674.4447476</v>
      </c>
      <c r="E12" s="33">
        <f>C34*'E Balans VL '!I22/100/3.6*1000000</f>
        <v>113.51799070961037</v>
      </c>
      <c r="F12" s="33">
        <f>C34*'E Balans VL '!L22/100/3.6*1000000+C34*'E Balans VL '!N22/100/3.6*1000000</f>
        <v>1346.4750714023246</v>
      </c>
      <c r="G12" s="34"/>
      <c r="H12" s="33"/>
      <c r="I12" s="33"/>
      <c r="J12" s="40">
        <f>C34*'E Balans VL '!D22/100/3.6*1000000+C34*'E Balans VL '!E22/100/3.6*1000000</f>
        <v>6.4356939254282839</v>
      </c>
      <c r="K12" s="33"/>
      <c r="L12" s="33"/>
      <c r="M12" s="33"/>
      <c r="N12" s="33">
        <f>C34*'E Balans VL '!Y22/100/3.6*1000000</f>
        <v>857.34680602732374</v>
      </c>
      <c r="O12" s="33"/>
      <c r="P12" s="33"/>
      <c r="R12" s="32"/>
    </row>
    <row r="13" spans="1:18">
      <c r="A13" s="6" t="s">
        <v>39</v>
      </c>
      <c r="B13" s="37">
        <f t="shared" si="0"/>
        <v>964.01499999999999</v>
      </c>
      <c r="C13" s="33"/>
      <c r="D13" s="37">
        <f>IF( ISERROR(IND_papier_gas_kWh/1000),0,IND_papier_gas_kWh/1000)*0.902</f>
        <v>231.94298599999999</v>
      </c>
      <c r="E13" s="33">
        <f>C35*'E Balans VL '!I23/100/3.6*1000000</f>
        <v>1.3677168164809927</v>
      </c>
      <c r="F13" s="33">
        <f>C35*'E Balans VL '!L23/100/3.6*1000000+C35*'E Balans VL '!N23/100/3.6*1000000</f>
        <v>23.535231080115224</v>
      </c>
      <c r="G13" s="34"/>
      <c r="H13" s="33"/>
      <c r="I13" s="33"/>
      <c r="J13" s="40">
        <f>C35*'E Balans VL '!D23/100/3.6*1000000+C35*'E Balans VL '!E23/100/3.6*1000000</f>
        <v>0.14909397047434808</v>
      </c>
      <c r="K13" s="33"/>
      <c r="L13" s="33"/>
      <c r="M13" s="33"/>
      <c r="N13" s="33">
        <f>C35*'E Balans VL '!Y23/100/3.6*1000000</f>
        <v>2802.1634069753632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69.448857000000004</v>
      </c>
      <c r="C15" s="33"/>
      <c r="D15" s="37">
        <f>IF( ISERROR(IND_rest_gas_kWh/1000),0,IND_rest_gas_kWh/1000)*0.902</f>
        <v>1313.805780958</v>
      </c>
      <c r="E15" s="33">
        <f>C37*'E Balans VL '!I15/100/3.6*1000000</f>
        <v>3.8346840089471748</v>
      </c>
      <c r="F15" s="33">
        <f>C37*'E Balans VL '!L15/100/3.6*1000000+C37*'E Balans VL '!N15/100/3.6*1000000</f>
        <v>13.755739931912679</v>
      </c>
      <c r="G15" s="34"/>
      <c r="H15" s="33"/>
      <c r="I15" s="33"/>
      <c r="J15" s="40">
        <f>C37*'E Balans VL '!D15/100/3.6*1000000+C37*'E Balans VL '!E15/100/3.6*1000000</f>
        <v>0.24862558744638658</v>
      </c>
      <c r="K15" s="33"/>
      <c r="L15" s="33"/>
      <c r="M15" s="33"/>
      <c r="N15" s="33">
        <f>C37*'E Balans VL '!Y15/100/3.6*1000000</f>
        <v>15.578468735529574</v>
      </c>
      <c r="O15" s="33"/>
      <c r="P15" s="33"/>
      <c r="R15" s="32"/>
    </row>
    <row r="16" spans="1:18">
      <c r="A16" s="16" t="s">
        <v>488</v>
      </c>
      <c r="B16" s="247">
        <f>'lokale energieproductie'!N90+'lokale energieproductie'!N59</f>
        <v>630.00000000000011</v>
      </c>
      <c r="C16" s="247">
        <f>'lokale energieproductie'!O90+'lokale energieproductie'!O59</f>
        <v>900.00000000000023</v>
      </c>
      <c r="D16" s="310">
        <f>('lokale energieproductie'!P59+'lokale energieproductie'!P90)*(-1)</f>
        <v>-1800.0000000000005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25102.237684</v>
      </c>
      <c r="C18" s="21">
        <f>C5+C16</f>
        <v>900.00000000000023</v>
      </c>
      <c r="D18" s="21">
        <f>MAX((D5+D16),0)</f>
        <v>25525.186987053999</v>
      </c>
      <c r="E18" s="21">
        <f>MAX((E5+E16),0)</f>
        <v>2478.9196156628454</v>
      </c>
      <c r="F18" s="21">
        <f>MAX((F5+F16),0)</f>
        <v>8675.5522971949795</v>
      </c>
      <c r="G18" s="21"/>
      <c r="H18" s="21"/>
      <c r="I18" s="21"/>
      <c r="J18" s="21">
        <f>MAX((J5+J16),0)</f>
        <v>6.8334134833490179</v>
      </c>
      <c r="K18" s="21"/>
      <c r="L18" s="21">
        <f>MAX((L5+L16),0)</f>
        <v>0</v>
      </c>
      <c r="M18" s="21"/>
      <c r="N18" s="21">
        <f>MAX((N5+N16),0)</f>
        <v>6445.2907002072989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0.15331312290519908</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3848.5024512426116</v>
      </c>
      <c r="C22" s="23">
        <f ca="1">C18*C20</f>
        <v>9.5361558636193369</v>
      </c>
      <c r="D22" s="23">
        <f>D18*D20</f>
        <v>5156.0877713849086</v>
      </c>
      <c r="E22" s="23">
        <f>E18*E20</f>
        <v>562.71475275546595</v>
      </c>
      <c r="F22" s="23">
        <f>F18*F20</f>
        <v>2316.3724633510597</v>
      </c>
      <c r="G22" s="23"/>
      <c r="H22" s="23"/>
      <c r="I22" s="23"/>
      <c r="J22" s="23">
        <f>J18*J20</f>
        <v>2.4190283731055522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10854.424397999999</v>
      </c>
      <c r="C30" s="39">
        <f>IF(ISERROR(B30*3.6/1000000/'E Balans VL '!Z18*100),0,B30*3.6/1000000/'E Balans VL '!Z18*100)</f>
        <v>0.6151480631992009</v>
      </c>
      <c r="D30" s="237" t="s">
        <v>754</v>
      </c>
    </row>
    <row r="31" spans="1:18">
      <c r="A31" s="6" t="s">
        <v>33</v>
      </c>
      <c r="B31" s="37">
        <f>IF( ISERROR(IND_ander_ele_kWh/1000),0,IND_ander_ele_kWh/1000)</f>
        <v>7725.3434600000001</v>
      </c>
      <c r="C31" s="39">
        <f>IF(ISERROR(B31*3.6/1000000/'E Balans VL '!Z19*100),0,B31*3.6/1000000/'E Balans VL '!Z19*100)</f>
        <v>0.35038941157530279</v>
      </c>
      <c r="D31" s="237" t="s">
        <v>754</v>
      </c>
    </row>
    <row r="32" spans="1:18">
      <c r="A32" s="171" t="s">
        <v>41</v>
      </c>
      <c r="B32" s="37">
        <f>IF( ISERROR(IND_voed_ele_kWh/1000),0,IND_voed_ele_kWh/1000)</f>
        <v>777.98496900000009</v>
      </c>
      <c r="C32" s="39">
        <f>IF(ISERROR(B32*3.6/1000000/'E Balans VL '!Z20*100),0,B32*3.6/1000000/'E Balans VL '!Z20*100)</f>
        <v>2.4066606844723906E-2</v>
      </c>
      <c r="D32" s="237" t="s">
        <v>754</v>
      </c>
    </row>
    <row r="33" spans="1:5">
      <c r="A33" s="171" t="s">
        <v>40</v>
      </c>
      <c r="B33" s="37">
        <f>IF( ISERROR(IND_textiel_ele_kWh/1000),0,IND_textiel_ele_kWh/1000)</f>
        <v>164.70099999999999</v>
      </c>
      <c r="C33" s="39">
        <f>IF(ISERROR(B33*3.6/1000000/'E Balans VL '!Z21*100),0,B33*3.6/1000000/'E Balans VL '!Z21*100)</f>
        <v>2.1475179655163223E-2</v>
      </c>
      <c r="D33" s="237" t="s">
        <v>754</v>
      </c>
    </row>
    <row r="34" spans="1:5">
      <c r="A34" s="171" t="s">
        <v>37</v>
      </c>
      <c r="B34" s="37">
        <f>IF( ISERROR(IND_min_ele_kWh/1000),0,IND_min_ele_kWh/1000)</f>
        <v>3916.32</v>
      </c>
      <c r="C34" s="39">
        <f>IF(ISERROR(B34*3.6/1000000/'E Balans VL '!Z22*100),0,B34*3.6/1000000/'E Balans VL '!Z22*100)</f>
        <v>0.70442378022322638</v>
      </c>
      <c r="D34" s="237" t="s">
        <v>754</v>
      </c>
    </row>
    <row r="35" spans="1:5">
      <c r="A35" s="171" t="s">
        <v>39</v>
      </c>
      <c r="B35" s="37">
        <f>IF( ISERROR(IND_papier_ele_kWh/1000),0,IND_papier_ele_kWh/1000)</f>
        <v>964.01499999999999</v>
      </c>
      <c r="C35" s="39">
        <f>IF(ISERROR(B35*3.6/1000000/'E Balans VL '!Z22*100),0,B35*3.6/1000000/'E Balans VL '!Z22*100)</f>
        <v>0.17339622157839338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69.448857000000004</v>
      </c>
      <c r="C37" s="39">
        <f>IF(ISERROR(B37*3.6/1000000/'E Balans VL '!Z15*100),0,B37*3.6/1000000/'E Balans VL '!Z15*100)</f>
        <v>5.5046748303300998E-4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337.79500000000002</v>
      </c>
      <c r="C5" s="17">
        <f>'Eigen informatie GS &amp; warmtenet'!B60</f>
        <v>0</v>
      </c>
      <c r="D5" s="30">
        <f>IF(ISERROR(SUM(LB_lb_gas_kWh,LB_rest_gas_kWh)/1000),0,SUM(LB_lb_gas_kWh,LB_rest_gas_kWh)/1000)*0.902</f>
        <v>104.26218</v>
      </c>
      <c r="E5" s="17">
        <f>B17*'E Balans VL '!I25/3.6*1000000/100</f>
        <v>9.9288267950155564</v>
      </c>
      <c r="F5" s="17">
        <f>B17*('E Balans VL '!L25/3.6*1000000+'E Balans VL '!N25/3.6*1000000)/100</f>
        <v>1407.2357165162828</v>
      </c>
      <c r="G5" s="18"/>
      <c r="H5" s="17"/>
      <c r="I5" s="17"/>
      <c r="J5" s="17">
        <f>('E Balans VL '!D25+'E Balans VL '!E25)/3.6*1000000*landbouw!B17/100</f>
        <v>48.939241269336634</v>
      </c>
      <c r="K5" s="17"/>
      <c r="L5" s="17">
        <f>L6*(-1)</f>
        <v>0</v>
      </c>
      <c r="M5" s="17"/>
      <c r="N5" s="17">
        <f>N6*(-1)</f>
        <v>38571.428571428572</v>
      </c>
      <c r="O5" s="17"/>
      <c r="P5" s="17"/>
      <c r="R5" s="32"/>
    </row>
    <row r="6" spans="1:18">
      <c r="A6" s="16" t="s">
        <v>488</v>
      </c>
      <c r="B6" s="17" t="s">
        <v>211</v>
      </c>
      <c r="C6" s="17">
        <f>'lokale energieproductie'!O92+'lokale energieproductie'!O61</f>
        <v>19285.714285714286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337.79500000000002</v>
      </c>
      <c r="C8" s="21">
        <f>C5+C6</f>
        <v>19285.714285714286</v>
      </c>
      <c r="D8" s="21">
        <f>MAX((D5+D6),0)</f>
        <v>104.26218</v>
      </c>
      <c r="E8" s="21">
        <f>MAX((E5+E6),0)</f>
        <v>9.9288267950155564</v>
      </c>
      <c r="F8" s="21">
        <f>MAX((F5+F6),0)</f>
        <v>1407.2357165162828</v>
      </c>
      <c r="G8" s="21"/>
      <c r="H8" s="21"/>
      <c r="I8" s="21"/>
      <c r="J8" s="21">
        <f>MAX((J5+J6),0)</f>
        <v>48.939241269336634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0.15331312290519908</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51.788406351761722</v>
      </c>
      <c r="C12" s="23">
        <f ca="1">C8*C10</f>
        <v>204.34619707755718</v>
      </c>
      <c r="D12" s="23">
        <f>D8*D10</f>
        <v>21.060960360000003</v>
      </c>
      <c r="E12" s="23">
        <f>E8*E10</f>
        <v>2.2538436824685313</v>
      </c>
      <c r="F12" s="23">
        <f>F8*F10</f>
        <v>375.73193630984753</v>
      </c>
      <c r="G12" s="23"/>
      <c r="H12" s="23"/>
      <c r="I12" s="23"/>
      <c r="J12" s="23">
        <f>J8*J10</f>
        <v>17.324491409345168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4.7934170299491909E-2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110.60858687423132</v>
      </c>
      <c r="C26" s="247">
        <f>B26*'GWP N2O_CH4'!B5</f>
        <v>2322.7803243588578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43.826076564797006</v>
      </c>
      <c r="C27" s="247">
        <f>B27*'GWP N2O_CH4'!B5</f>
        <v>920.34760786073707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2.1453087307543033</v>
      </c>
      <c r="C28" s="247">
        <f>B28*'GWP N2O_CH4'!B4</f>
        <v>665.04570653383405</v>
      </c>
      <c r="D28" s="50"/>
    </row>
    <row r="29" spans="1:4">
      <c r="A29" s="41" t="s">
        <v>277</v>
      </c>
      <c r="B29" s="247">
        <f>B34*'ha_N2O bodem landbouw'!B4</f>
        <v>17.660213589077003</v>
      </c>
      <c r="C29" s="247">
        <f>B29*'GWP N2O_CH4'!B4</f>
        <v>5474.6662126138708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4.0299998812238693E-3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3.4700301866142909E-4</v>
      </c>
      <c r="C5" s="463" t="s">
        <v>211</v>
      </c>
      <c r="D5" s="448">
        <f>SUM(D6:D11)</f>
        <v>1.2185749884002317E-3</v>
      </c>
      <c r="E5" s="448">
        <f>SUM(E6:E11)</f>
        <v>1.6969227518768397E-3</v>
      </c>
      <c r="F5" s="461" t="s">
        <v>211</v>
      </c>
      <c r="G5" s="448">
        <f>SUM(G6:G11)</f>
        <v>0.6110535624780945</v>
      </c>
      <c r="H5" s="448">
        <f>SUM(H6:H11)</f>
        <v>0.13842793324028749</v>
      </c>
      <c r="I5" s="463" t="s">
        <v>211</v>
      </c>
      <c r="J5" s="463" t="s">
        <v>211</v>
      </c>
      <c r="K5" s="463" t="s">
        <v>211</v>
      </c>
      <c r="L5" s="463" t="s">
        <v>211</v>
      </c>
      <c r="M5" s="448">
        <f>SUM(M6:M11)</f>
        <v>3.9784669926653131E-2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2.0728910169328101E-4</v>
      </c>
      <c r="C6" s="449"/>
      <c r="D6" s="892">
        <f>vkm_2011_GW_PW*SUMIFS(TableVerdeelsleutelVkm[CNG],TableVerdeelsleutelVkm[Voertuigtype],"Lichte voertuigen")*SUMIFS(TableECFTransport[EnergieConsumptieFactor (PJ per km)],TableECFTransport[Index],CONCATENATE($A6,"_CNG_CNG"))</f>
        <v>6.2174833195738377E-4</v>
      </c>
      <c r="E6" s="892">
        <f>vkm_2011_GW_PW*SUMIFS(TableVerdeelsleutelVkm[LPG],TableVerdeelsleutelVkm[Voertuigtype],"Lichte voertuigen")*SUMIFS(TableECFTransport[EnergieConsumptieFactor (PJ per km)],TableECFTransport[Index],CONCATENATE($A6,"_LPG_LPG"))</f>
        <v>8.4939753120028623E-4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0.21961526458037842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7.0716718590708369E-2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1.491704425439013E-2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0.11090356832811976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3.3801154054451681E-5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6.4808303656940947E-3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7.2180089631831081E-5</v>
      </c>
      <c r="C8" s="449"/>
      <c r="D8" s="451">
        <f>vkm_2011_NGW_PW*SUMIFS(TableVerdeelsleutelVkm[CNG],TableVerdeelsleutelVkm[Voertuigtype],"Lichte voertuigen")*SUMIFS(TableECFTransport[EnergieConsumptieFactor (PJ per km)],TableECFTransport[Index],CONCATENATE($A8,"_CNG_CNG"))</f>
        <v>3.8493736511562308E-4</v>
      </c>
      <c r="E8" s="451">
        <f>vkm_2011_NGW_PW*SUMIFS(TableVerdeelsleutelVkm[LPG],TableVerdeelsleutelVkm[Voertuigtype],"Lichte voertuigen")*SUMIFS(TableECFTransport[EnergieConsumptieFactor (PJ per km)],TableECFTransport[Index],CONCATENATE($A8,"_LPG_LPG"))</f>
        <v>4.8702430752599243E-4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0.11734612983054216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4.2546704951782262E-2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8.1109637589915629E-3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8.5664259182378806E-3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2.4579108341372311E-6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5.005885183251487E-4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6.7533827336317014E-5</v>
      </c>
      <c r="C10" s="449"/>
      <c r="D10" s="451">
        <f>vkm_2011_SW_PW*SUMIFS(TableVerdeelsleutelVkm[CNG],TableVerdeelsleutelVkm[Voertuigtype],"Lichte voertuigen")*SUMIFS(TableECFTransport[EnergieConsumptieFactor (PJ per km)],TableECFTransport[Index],CONCATENATE($A10,"_CNG_CNG"))</f>
        <v>2.1188929132722497E-4</v>
      </c>
      <c r="E10" s="451">
        <f>vkm_2011_SW_PW*SUMIFS(TableVerdeelsleutelVkm[LPG],TableVerdeelsleutelVkm[Voertuigtype],"Lichte voertuigen")*SUMIFS(TableECFTransport[EnergieConsumptieFactor (PJ per km)],TableECFTransport[Index],CONCATENATE($A10,"_LPG_LPG"))</f>
        <v>3.605009131505609E-4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8.3096277267253424E-2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2.5104709419417677E-2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5.5954595901607021E-3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7.1525896553562895E-2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2.3541213490592084E-5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4.1797834390914926E-3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96.389727405952527</v>
      </c>
      <c r="C14" s="21"/>
      <c r="D14" s="21">
        <f t="shared" ref="D14:M14" si="0">((D5)*10^9/3600)+D12</f>
        <v>338.49305233339771</v>
      </c>
      <c r="E14" s="21">
        <f t="shared" si="0"/>
        <v>471.36743107689989</v>
      </c>
      <c r="F14" s="21"/>
      <c r="G14" s="21">
        <f t="shared" si="0"/>
        <v>169737.10068835958</v>
      </c>
      <c r="H14" s="21">
        <f t="shared" si="0"/>
        <v>38452.203677857637</v>
      </c>
      <c r="I14" s="21"/>
      <c r="J14" s="21"/>
      <c r="K14" s="21"/>
      <c r="L14" s="21"/>
      <c r="M14" s="21">
        <f t="shared" si="0"/>
        <v>11051.297201848092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0.15331312290519908</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14.777810124587436</v>
      </c>
      <c r="C18" s="23"/>
      <c r="D18" s="23">
        <f t="shared" ref="D18:M18" si="1">D14*D16</f>
        <v>68.375596571346335</v>
      </c>
      <c r="E18" s="23">
        <f t="shared" si="1"/>
        <v>107.00040685445627</v>
      </c>
      <c r="F18" s="23"/>
      <c r="G18" s="23">
        <f t="shared" si="1"/>
        <v>45319.805883792011</v>
      </c>
      <c r="H18" s="23">
        <f t="shared" si="1"/>
        <v>9574.5987157865511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1.3414888072266259E-2</v>
      </c>
      <c r="H50" s="321">
        <f t="shared" si="2"/>
        <v>0</v>
      </c>
      <c r="I50" s="321">
        <f t="shared" si="2"/>
        <v>0</v>
      </c>
      <c r="J50" s="321">
        <f t="shared" si="2"/>
        <v>0</v>
      </c>
      <c r="K50" s="321">
        <f t="shared" si="2"/>
        <v>0</v>
      </c>
      <c r="L50" s="321">
        <f t="shared" si="2"/>
        <v>0</v>
      </c>
      <c r="M50" s="321">
        <f t="shared" si="2"/>
        <v>7.6190642145663795E-4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1.3414888072266259E-2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7.6190642145663795E-4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3726.3577978517383</v>
      </c>
      <c r="H54" s="21">
        <f t="shared" si="3"/>
        <v>0</v>
      </c>
      <c r="I54" s="21">
        <f t="shared" si="3"/>
        <v>0</v>
      </c>
      <c r="J54" s="21">
        <f t="shared" si="3"/>
        <v>0</v>
      </c>
      <c r="K54" s="21">
        <f t="shared" si="3"/>
        <v>0</v>
      </c>
      <c r="L54" s="21">
        <f t="shared" si="3"/>
        <v>0</v>
      </c>
      <c r="M54" s="21">
        <f t="shared" si="3"/>
        <v>211.64067262684387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0.15331312290519908</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994.93753202641415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15672.294959870869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14130</v>
      </c>
      <c r="C8" s="570">
        <f>B101</f>
        <v>741.17647058823536</v>
      </c>
      <c r="D8" s="1044"/>
      <c r="E8" s="1044">
        <f>E101</f>
        <v>0</v>
      </c>
      <c r="F8" s="1045"/>
      <c r="G8" s="571"/>
      <c r="H8" s="1044">
        <f>I101</f>
        <v>0</v>
      </c>
      <c r="I8" s="1044">
        <f>G101+F101</f>
        <v>0</v>
      </c>
      <c r="J8" s="1044">
        <f>H101+D101+C101</f>
        <v>15882.352941176468</v>
      </c>
      <c r="K8" s="1044"/>
      <c r="L8" s="1044"/>
      <c r="M8" s="1044"/>
      <c r="N8" s="572"/>
      <c r="O8" s="573">
        <f>C8*$C$12+D8*$D$12+E8*$E$12+F8*$F$12+G8*$G$12+H8*$H$12+I8*$I$12+J8*$J$12</f>
        <v>149.71764705882356</v>
      </c>
      <c r="P8" s="1238"/>
      <c r="Q8" s="1239"/>
      <c r="S8" s="1007"/>
      <c r="T8" s="1275"/>
      <c r="U8" s="1275"/>
    </row>
    <row r="9" spans="1:21" s="559" customFormat="1" ht="17.45" customHeight="1" thickBot="1">
      <c r="A9" s="574" t="s">
        <v>248</v>
      </c>
      <c r="B9" s="575">
        <f>N89+'Eigen informatie GS &amp; warmtenet'!B12</f>
        <v>14332.5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44134.794959870866</v>
      </c>
      <c r="C10" s="583">
        <f t="shared" ref="C10:L10" si="0">SUM(C8:C9)</f>
        <v>741.17647058823536</v>
      </c>
      <c r="D10" s="583">
        <f t="shared" si="0"/>
        <v>0</v>
      </c>
      <c r="E10" s="583">
        <f t="shared" si="0"/>
        <v>0</v>
      </c>
      <c r="F10" s="583">
        <f t="shared" si="0"/>
        <v>0</v>
      </c>
      <c r="G10" s="583">
        <f t="shared" si="0"/>
        <v>0</v>
      </c>
      <c r="H10" s="583">
        <f t="shared" si="0"/>
        <v>0</v>
      </c>
      <c r="I10" s="583">
        <f t="shared" si="0"/>
        <v>0</v>
      </c>
      <c r="J10" s="583">
        <f t="shared" si="0"/>
        <v>56832.352941176468</v>
      </c>
      <c r="K10" s="583">
        <f t="shared" si="0"/>
        <v>0</v>
      </c>
      <c r="L10" s="583">
        <f t="shared" si="0"/>
        <v>0</v>
      </c>
      <c r="M10" s="1047"/>
      <c r="N10" s="1047"/>
      <c r="O10" s="584">
        <f>SUM(O4:O9)</f>
        <v>149.71764705882356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20185.714285714286</v>
      </c>
      <c r="C17" s="595">
        <f>B102</f>
        <v>1058.8235294117649</v>
      </c>
      <c r="D17" s="596"/>
      <c r="E17" s="596">
        <f>E102</f>
        <v>0</v>
      </c>
      <c r="F17" s="1050"/>
      <c r="G17" s="597"/>
      <c r="H17" s="595">
        <f>I102</f>
        <v>0</v>
      </c>
      <c r="I17" s="596">
        <f>G102+F102</f>
        <v>0</v>
      </c>
      <c r="J17" s="596">
        <f>H102+D102+C102</f>
        <v>22689.075630252097</v>
      </c>
      <c r="K17" s="596"/>
      <c r="L17" s="596"/>
      <c r="M17" s="596"/>
      <c r="N17" s="1051"/>
      <c r="O17" s="598">
        <f>C17*$C$22+E17*$E$22+H17*$H$22+I17*$I$22+J17*$J$22+D17*$D$22+F17*$F$22+G17*$G$22+K17*$K$22+L17*$L$22</f>
        <v>213.88235294117652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20185.714285714286</v>
      </c>
      <c r="C20" s="582">
        <f>SUM(C17:C19)</f>
        <v>1058.8235294117649</v>
      </c>
      <c r="D20" s="582">
        <f t="shared" ref="D20:L20" si="1">SUM(D17:D19)</f>
        <v>0</v>
      </c>
      <c r="E20" s="582">
        <f t="shared" si="1"/>
        <v>0</v>
      </c>
      <c r="F20" s="582">
        <f t="shared" si="1"/>
        <v>0</v>
      </c>
      <c r="G20" s="582">
        <f t="shared" si="1"/>
        <v>0</v>
      </c>
      <c r="H20" s="582">
        <f t="shared" si="1"/>
        <v>0</v>
      </c>
      <c r="I20" s="582">
        <f t="shared" si="1"/>
        <v>0</v>
      </c>
      <c r="J20" s="582">
        <f t="shared" si="1"/>
        <v>22689.075630252097</v>
      </c>
      <c r="K20" s="582">
        <f t="shared" si="1"/>
        <v>0</v>
      </c>
      <c r="L20" s="582">
        <f t="shared" si="1"/>
        <v>0</v>
      </c>
      <c r="M20" s="582"/>
      <c r="N20" s="582"/>
      <c r="O20" s="601">
        <f>SUM(O17:O19)</f>
        <v>213.88235294117652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72039</v>
      </c>
      <c r="C28" s="796">
        <v>3530</v>
      </c>
      <c r="D28" s="653" t="s">
        <v>881</v>
      </c>
      <c r="E28" s="652" t="s">
        <v>882</v>
      </c>
      <c r="F28" s="652" t="s">
        <v>883</v>
      </c>
      <c r="G28" s="652" t="s">
        <v>884</v>
      </c>
      <c r="H28" s="652" t="s">
        <v>885</v>
      </c>
      <c r="I28" s="652" t="s">
        <v>882</v>
      </c>
      <c r="J28" s="795">
        <v>39532</v>
      </c>
      <c r="K28" s="795">
        <v>39609</v>
      </c>
      <c r="L28" s="652" t="s">
        <v>886</v>
      </c>
      <c r="M28" s="652">
        <v>3000</v>
      </c>
      <c r="N28" s="652">
        <v>13500</v>
      </c>
      <c r="O28" s="652">
        <v>19285.714285714286</v>
      </c>
      <c r="P28" s="652">
        <v>0</v>
      </c>
      <c r="Q28" s="652">
        <v>38571.428571428572</v>
      </c>
      <c r="R28" s="652">
        <v>0</v>
      </c>
      <c r="S28" s="652">
        <v>0</v>
      </c>
      <c r="T28" s="652">
        <v>0</v>
      </c>
      <c r="U28" s="652">
        <v>0</v>
      </c>
      <c r="V28" s="652">
        <v>0</v>
      </c>
      <c r="W28" s="652">
        <v>0</v>
      </c>
      <c r="X28" s="652">
        <v>10</v>
      </c>
      <c r="Y28" s="652" t="s">
        <v>112</v>
      </c>
      <c r="Z28" s="654" t="s">
        <v>112</v>
      </c>
    </row>
    <row r="29" spans="1:26" s="606" customFormat="1" ht="38.25">
      <c r="A29" s="605"/>
      <c r="B29" s="796">
        <v>72039</v>
      </c>
      <c r="C29" s="796">
        <v>3530</v>
      </c>
      <c r="D29" s="653" t="s">
        <v>887</v>
      </c>
      <c r="E29" s="652" t="s">
        <v>888</v>
      </c>
      <c r="F29" s="652" t="s">
        <v>889</v>
      </c>
      <c r="G29" s="652" t="s">
        <v>884</v>
      </c>
      <c r="H29" s="652" t="s">
        <v>885</v>
      </c>
      <c r="I29" s="652" t="s">
        <v>888</v>
      </c>
      <c r="J29" s="795">
        <v>41561</v>
      </c>
      <c r="K29" s="795">
        <v>41428</v>
      </c>
      <c r="L29" s="652" t="s">
        <v>886</v>
      </c>
      <c r="M29" s="652">
        <v>140</v>
      </c>
      <c r="N29" s="652">
        <v>630.00000000000011</v>
      </c>
      <c r="O29" s="652">
        <v>900.00000000000023</v>
      </c>
      <c r="P29" s="652">
        <v>1800.0000000000005</v>
      </c>
      <c r="Q29" s="652">
        <v>0</v>
      </c>
      <c r="R29" s="652">
        <v>0</v>
      </c>
      <c r="S29" s="652">
        <v>0</v>
      </c>
      <c r="T29" s="652">
        <v>0</v>
      </c>
      <c r="U29" s="652">
        <v>0</v>
      </c>
      <c r="V29" s="652">
        <v>0</v>
      </c>
      <c r="W29" s="652">
        <v>0</v>
      </c>
      <c r="X29" s="652">
        <v>800</v>
      </c>
      <c r="Y29" s="652" t="s">
        <v>36</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3140</v>
      </c>
      <c r="N58" s="610">
        <f>SUM(N28:N57)</f>
        <v>14130</v>
      </c>
      <c r="O58" s="610">
        <f t="shared" ref="O58:W58" si="2">SUM(O28:O57)</f>
        <v>20185.714285714286</v>
      </c>
      <c r="P58" s="610">
        <f t="shared" si="2"/>
        <v>1800.0000000000005</v>
      </c>
      <c r="Q58" s="610">
        <f t="shared" si="2"/>
        <v>38571.428571428572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140</v>
      </c>
      <c r="N59" s="610">
        <f t="shared" si="3"/>
        <v>630.00000000000011</v>
      </c>
      <c r="O59" s="610">
        <f t="shared" si="3"/>
        <v>900.00000000000023</v>
      </c>
      <c r="P59" s="610">
        <f t="shared" si="3"/>
        <v>1800.0000000000005</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3000</v>
      </c>
      <c r="N61" s="615">
        <f t="shared" si="4"/>
        <v>13500</v>
      </c>
      <c r="O61" s="615">
        <f t="shared" si="4"/>
        <v>19285.714285714286</v>
      </c>
      <c r="P61" s="615">
        <f t="shared" si="4"/>
        <v>0</v>
      </c>
      <c r="Q61" s="615">
        <f t="shared" si="4"/>
        <v>38571.428571428572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72039</v>
      </c>
      <c r="C64" s="796">
        <v>3530</v>
      </c>
      <c r="D64" s="655" t="s">
        <v>890</v>
      </c>
      <c r="E64" s="655" t="s">
        <v>891</v>
      </c>
      <c r="F64" s="655" t="s">
        <v>892</v>
      </c>
      <c r="G64" s="655" t="s">
        <v>893</v>
      </c>
      <c r="H64" s="655" t="s">
        <v>894</v>
      </c>
      <c r="I64" s="655" t="s">
        <v>895</v>
      </c>
      <c r="J64" s="795">
        <v>36658</v>
      </c>
      <c r="K64" s="795">
        <v>37257</v>
      </c>
      <c r="L64" s="655" t="s">
        <v>886</v>
      </c>
      <c r="M64" s="655">
        <v>3185</v>
      </c>
      <c r="N64" s="655">
        <v>14332.5</v>
      </c>
      <c r="O64" s="655">
        <v>0</v>
      </c>
      <c r="P64" s="655">
        <v>0</v>
      </c>
      <c r="Q64" s="655">
        <v>0</v>
      </c>
      <c r="R64" s="655">
        <v>40950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3185</v>
      </c>
      <c r="N89" s="610">
        <f t="shared" ref="N89:W89" si="5">SUM(N64:N88)</f>
        <v>14332.5</v>
      </c>
      <c r="O89" s="610">
        <f t="shared" si="5"/>
        <v>0</v>
      </c>
      <c r="P89" s="610">
        <f t="shared" si="5"/>
        <v>0</v>
      </c>
      <c r="Q89" s="610">
        <f t="shared" si="5"/>
        <v>0</v>
      </c>
      <c r="R89" s="610">
        <f t="shared" si="5"/>
        <v>40950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3185</v>
      </c>
      <c r="N91" s="610">
        <f t="shared" si="7"/>
        <v>14332.5</v>
      </c>
      <c r="O91" s="610">
        <f t="shared" si="7"/>
        <v>0</v>
      </c>
      <c r="P91" s="610">
        <f t="shared" si="7"/>
        <v>0</v>
      </c>
      <c r="Q91" s="610">
        <f t="shared" si="7"/>
        <v>0</v>
      </c>
      <c r="R91" s="610">
        <f t="shared" si="7"/>
        <v>40950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741.17647058823536</v>
      </c>
      <c r="C101" s="644">
        <f t="shared" si="9"/>
        <v>15882.352941176468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1058.8235294117649</v>
      </c>
      <c r="C102" s="647">
        <f t="shared" si="10"/>
        <v>22689.075630252097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2019-08-12T08:35:33Z</dcterms:modified>
</cp:coreProperties>
</file>