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K23"/>
  <c r="K33" s="1"/>
  <c r="K15"/>
  <c r="E9"/>
  <c r="E27" s="1"/>
  <c r="F20" i="14"/>
  <c r="F22" s="1"/>
  <c r="B9" i="48"/>
  <c r="C20" i="14"/>
  <c r="C22" s="1"/>
  <c r="J7" i="48"/>
  <c r="J25" s="1"/>
  <c r="K24" i="14"/>
  <c r="K26" s="1"/>
  <c r="G11"/>
  <c r="F4" i="48"/>
  <c r="F22" s="1"/>
  <c r="I5"/>
  <c r="J10" i="14"/>
  <c r="J16" s="1"/>
  <c r="J27" s="1"/>
  <c r="J63" s="1"/>
  <c r="P15" i="48"/>
  <c r="P22"/>
  <c r="P33" s="1"/>
  <c r="L46" i="14"/>
  <c r="L61" s="1"/>
  <c r="L63" s="1"/>
  <c r="H18"/>
  <c r="G13" i="48"/>
  <c r="G31" s="1"/>
  <c r="Q13" i="14"/>
  <c r="Q16" s="1"/>
  <c r="Q27" s="1"/>
  <c r="P8" i="48"/>
  <c r="P26" s="1"/>
  <c r="D9"/>
  <c r="D27" s="1"/>
  <c r="E20" i="14"/>
  <c r="E22" s="1"/>
  <c r="P10"/>
  <c r="O5" i="48"/>
  <c r="O23" s="1"/>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F11" i="14" l="1"/>
  <c r="R11" s="1"/>
  <c r="E4" i="48"/>
  <c r="H19" i="14"/>
  <c r="G10" i="48"/>
  <c r="E7"/>
  <c r="E25" s="1"/>
  <c r="F24" i="14"/>
  <c r="F26" s="1"/>
  <c r="P13"/>
  <c r="O8" i="48"/>
  <c r="J4"/>
  <c r="K11" i="14"/>
  <c r="O11"/>
  <c r="N4" i="48"/>
  <c r="N22" s="1"/>
  <c r="Q63" i="14"/>
  <c r="P16"/>
  <c r="P27" s="1"/>
  <c r="E12" i="17"/>
  <c r="F54" i="14" s="1"/>
  <c r="F56" s="1"/>
  <c r="N19"/>
  <c r="N22" s="1"/>
  <c r="N27" s="1"/>
  <c r="M10" i="48"/>
  <c r="M28" s="1"/>
  <c r="I23"/>
  <c r="I33" s="1"/>
  <c r="I15"/>
  <c r="I20" i="14"/>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J22" i="48"/>
  <c r="F10" i="14"/>
  <c r="E5" i="48"/>
  <c r="E23" s="1"/>
  <c r="E22"/>
  <c r="Q4"/>
  <c r="G28"/>
  <c r="Q10"/>
  <c r="Q7"/>
  <c r="N52" i="14"/>
  <c r="N61" s="1"/>
  <c r="J5" i="48"/>
  <c r="J23" s="1"/>
  <c r="K10" i="14"/>
  <c r="R19"/>
  <c r="G9" i="48"/>
  <c r="H20" i="14"/>
  <c r="R20" s="1"/>
  <c r="R22" s="1"/>
  <c r="O26" i="48"/>
  <c r="O33" s="1"/>
  <c r="O15"/>
  <c r="J20" i="15"/>
  <c r="K40" i="14" s="1"/>
  <c r="M15" i="48"/>
  <c r="M27"/>
  <c r="M33" s="1"/>
  <c r="Q9"/>
  <c r="H15"/>
  <c r="H27"/>
  <c r="H33" s="1"/>
  <c r="N63" i="14"/>
  <c r="R24"/>
  <c r="R26" s="1"/>
  <c r="N18" i="16"/>
  <c r="E20" i="15"/>
  <c r="F40" i="14" s="1"/>
  <c r="F18" i="16"/>
  <c r="J18"/>
  <c r="E18"/>
  <c r="G18" i="22"/>
  <c r="H50" i="14" s="1"/>
  <c r="H18" i="22"/>
  <c r="I50" i="14" s="1"/>
  <c r="I52" s="1"/>
  <c r="I61" s="1"/>
  <c r="I63" s="1"/>
  <c r="H63" l="1"/>
  <c r="K46"/>
  <c r="K61" s="1"/>
  <c r="H22"/>
  <c r="H27" s="1"/>
  <c r="G27" i="48"/>
  <c r="G33" s="1"/>
  <c r="G15"/>
  <c r="J8"/>
  <c r="K13" i="14"/>
  <c r="K16" s="1"/>
  <c r="K27" s="1"/>
  <c r="K63" s="1"/>
  <c r="F13"/>
  <c r="F16" s="1"/>
  <c r="F27" s="1"/>
  <c r="F63" s="1"/>
  <c r="E8" i="48"/>
  <c r="E26" s="1"/>
  <c r="E33" s="1"/>
  <c r="N8"/>
  <c r="N26" s="1"/>
  <c r="O13" i="14"/>
  <c r="F8" i="48"/>
  <c r="G13" i="14"/>
  <c r="E22" i="16"/>
  <c r="F43" i="14" s="1"/>
  <c r="F46" s="1"/>
  <c r="F61" s="1"/>
  <c r="F22" i="16"/>
  <c r="G43" i="14" s="1"/>
  <c r="N22" i="16"/>
  <c r="O43" i="14" s="1"/>
  <c r="J22" i="16"/>
  <c r="K43" i="14" s="1"/>
  <c r="J26" i="48" l="1"/>
  <c r="J33" s="1"/>
  <c r="J15"/>
  <c r="R1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<sst xmlns="http://schemas.openxmlformats.org/spreadsheetml/2006/main" count="2392" uniqueCount="887">
  <si>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</si>
  <si>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</si>
  <si>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</si>
  <si>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</si>
  <si>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</si>
  <si>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</si>
  <si>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</si>
  <si>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</si>
  <si>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</si>
  <si>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</si>
  <si>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</si>
  <si>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</si>
  <si>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</si>
  <si>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</si>
  <si>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</si>
  <si>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</si>
  <si>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</si>
  <si>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</si>
  <si>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</si>
  <si>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</si>
  <si>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</si>
  <si>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</si>
  <si>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</si>
  <si>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</si>
  <si>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</si>
  <si>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</si>
  <si>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</si>
  <si>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</si>
  <si>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</si>
  <si>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</si>
  <si>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</si>
  <si>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</si>
  <si>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</si>
  <si>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</si>
  <si>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</si>
  <si>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</si>
  <si>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</si>
  <si>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</si>
  <si>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</si>
  <si>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</si>
  <si>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</si>
  <si>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</si>
  <si>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</si>
  <si>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</si>
  <si>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</si>
  <si>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</si>
  <si>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</si>
  <si>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</si>
  <si>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</si>
  <si>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</si>
  <si>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</si>
  <si>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</si>
  <si>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</si>
  <si>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</si>
  <si>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</si>
  <si>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</si>
  <si>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</si>
  <si>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</si>
  <si>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</si>
  <si>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</si>
  <si>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</si>
  <si>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</si>
  <si>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</si>
  <si>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</si>
  <si>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</si>
  <si>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</si>
  <si>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</si>
  <si>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</si>
  <si>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</si>
  <si>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</si>
  <si>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</si>
  <si>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</si>
  <si>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</si>
  <si>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</si>
  <si>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</si>
  <si>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</si>
  <si>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</si>
  <si>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</si>
  <si>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</si>
  <si>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</si>
  <si>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</si>
  <si>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</si>
  <si>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</si>
  <si>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</si>
  <si>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</si>
  <si>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</si>
  <si>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</si>
  <si>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</si>
  <si>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</si>
  <si>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</si>
  <si>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</si>
  <si>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</si>
  <si>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</si>
  <si>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</si>
  <si>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</si>
  <si>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</si>
  <si>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</si>
  <si>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</si>
  <si>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</si>
  <si>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</si>
  <si>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</si>
  <si>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</si>
  <si>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</si>
  <si>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</si>
  <si>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</si>
  <si>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</si>
  <si>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</si>
  <si>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</si>
  <si>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</si>
  <si>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</si>
  <si>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</si>
  <si>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</si>
  <si>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</si>
  <si>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</si>
  <si>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</si>
  <si>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</si>
  <si>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</si>
  <si>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</si>
  <si>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</si>
  <si>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</si>
  <si>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</si>
  <si>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</si>
  <si>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</si>
  <si>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</si>
  <si>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</si>
  <si>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</si>
  <si>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</si>
  <si>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</si>
  <si>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</si>
  <si>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</si>
  <si>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</si>
  <si>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</si>
  <si>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</si>
  <si>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</si>
  <si>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</si>
  <si>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</si>
  <si>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</si>
  <si>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</si>
  <si>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</si>
  <si>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</si>
  <si>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</si>
  <si>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</si>
  <si>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</si>
  <si>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</si>
  <si>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</si>
  <si>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</si>
  <si>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</si>
  <si>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</si>
  <si>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</si>
  <si>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</si>
  <si>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</si>
  <si>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</si>
  <si>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</si>
  <si>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</si>
  <si>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</si>
  <si>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</si>
  <si>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</si>
  <si>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</si>
  <si>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</si>
  <si>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</si>
  <si>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</si>
  <si>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</si>
  <si>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</si>
  <si>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</si>
  <si>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</si>
  <si>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</si>
  <si>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</si>
  <si>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</si>
  <si>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</si>
  <si>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</si>
  <si>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</si>
  <si>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</si>
  <si>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</si>
  <si>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</si>
  <si>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</si>
  <si>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</si>
  <si>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</si>
  <si>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</si>
  <si>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</si>
  <si>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</si>
  <si>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</si>
  <si>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</si>
  <si>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</si>
  <si>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</si>
  <si>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</si>
  <si>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</si>
  <si>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</si>
  <si>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</si>
  <si>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</si>
  <si>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</si>
  <si>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</si>
  <si>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</si>
  <si>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</si>
  <si>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</si>
  <si>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</si>
  <si>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</si>
  <si>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</si>
  <si>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</si>
  <si>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</si>
  <si>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</si>
  <si>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</si>
  <si>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</si>
  <si>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</si>
  <si>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</si>
  <si>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</si>
  <si>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</si>
  <si>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</si>
  <si>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</si>
  <si>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</si>
  <si>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</si>
  <si>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</si>
  <si>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</si>
  <si>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</si>
  <si>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</si>
  <si>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</si>
  <si>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</si>
  <si>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</si>
  <si>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</si>
  <si>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</si>
  <si>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</si>
  <si>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</si>
  <si>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</si>
  <si>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</si>
  <si>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</si>
  <si>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</si>
  <si>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</si>
  <si>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</si>
  <si>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</si>
  <si>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</si>
  <si>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</si>
  <si>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</si>
  <si>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</si>
  <si>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</si>
  <si>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</si>
  <si>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</si>
  <si>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</si>
  <si>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</si>
  <si>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</si>
  <si>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</si>
  <si>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</si>
  <si>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</si>
  <si>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</si>
  <si>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</si>
  <si>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</si>
  <si>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</si>
  <si>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</si>
  <si>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</si>
  <si>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</si>
  <si>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</si>
  <si>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</si>
  <si>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</si>
  <si>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</si>
  <si>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</si>
  <si>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</si>
  <si>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</si>
  <si>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</si>
  <si>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</si>
  <si>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</si>
  <si>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</si>
  <si>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</si>
  <si>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</si>
  <si>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</si>
  <si>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</si>
  <si>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</si>
  <si>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</si>
  <si>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</si>
  <si>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</si>
  <si>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</si>
  <si>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</si>
  <si>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</si>
  <si>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</si>
  <si>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</si>
  <si>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</si>
  <si>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</si>
  <si>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</si>
  <si>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</si>
  <si>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</si>
  <si>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</si>
  <si>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</si>
  <si>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</si>
  <si>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</si>
  <si>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</si>
  <si>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</si>
  <si>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</si>
  <si>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</si>
  <si>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</si>
  <si>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</si>
  <si>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</si>
  <si>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</si>
  <si>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</si>
  <si>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</si>
  <si>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</si>
  <si>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</si>
  <si>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</si>
  <si>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</si>
  <si>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</si>
  <si>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</si>
  <si>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</si>
  <si>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</si>
  <si>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</si>
  <si>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</si>
  <si>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</si>
  <si>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</si>
  <si>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</si>
  <si>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</si>
  <si>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</si>
  <si>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</si>
  <si>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</si>
  <si>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</si>
  <si>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</si>
  <si>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</si>
  <si>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</si>
  <si>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</si>
  <si>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</si>
  <si>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</si>
  <si>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</si>
  <si>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</si>
  <si>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</si>
  <si>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</si>
  <si>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</si>
  <si>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</si>
  <si>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</si>
  <si>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</si>
  <si>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</si>
  <si>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</si>
  <si>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</si>
  <si>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</si>
  <si>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</si>
  <si>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</si>
  <si>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</si>
  <si>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</si>
  <si>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</si>
  <si>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</si>
  <si>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</si>
  <si>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</si>
  <si>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</si>
  <si>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</si>
  <si>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</si>
  <si>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</si>
  <si>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</si>
  <si>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</si>
  <si>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</si>
  <si>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</si>
  <si>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</si>
  <si>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</si>
  <si>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</si>
  <si>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</si>
  <si>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</si>
  <si>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</si>
  <si>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</si>
  <si>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</si>
  <si>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</si>
  <si>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</si>
  <si>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</si>
  <si>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</si>
  <si>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</si>
  <si>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</si>
  <si>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</si>
  <si>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</si>
  <si>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</si>
  <si>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</si>
  <si>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</si>
  <si>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</si>
  <si>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</si>
  <si>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</si>
  <si>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</si>
  <si>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</si>
  <si>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</si>
  <si>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</si>
  <si>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</si>
  <si>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</si>
  <si>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</si>
  <si>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</si>
  <si>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</si>
  <si>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</si>
  <si>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</si>
  <si>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</si>
  <si>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</si>
  <si>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</si>
  <si>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</si>
  <si>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</si>
  <si>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</si>
  <si>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</si>
  <si>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</si>
  <si>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</si>
  <si>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</si>
  <si>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</si>
  <si>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</si>
  <si>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</si>
  <si>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</si>
  <si>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</si>
  <si>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</si>
  <si>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</si>
  <si>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</si>
  <si>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</si>
  <si>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</si>
  <si>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</si>
  <si>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</si>
  <si>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</si>
  <si>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</si>
  <si>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</si>
  <si>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</si>
  <si>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</si>
  <si>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</si>
  <si>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</si>
  <si>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</si>
  <si>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</si>
  <si>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</si>
  <si>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</si>
  <si>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</si>
  <si>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</si>
  <si>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</si>
  <si>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</si>
  <si>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</si>
  <si>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</si>
  <si>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</si>
  <si>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</si>
  <si>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</si>
  <si>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</si>
  <si>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</si>
  <si>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</si>
  <si>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</si>
  <si>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</si>
  <si>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</si>
  <si>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</si>
  <si>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</si>
  <si>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</si>
  <si>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</si>
  <si>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</si>
  <si>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</si>
  <si>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</si>
  <si>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</si>
  <si>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</si>
  <si>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</si>
  <si>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</si>
  <si>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</si>
  <si>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</si>
  <si>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</si>
  <si>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</si>
  <si>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</si>
  <si>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</si>
  <si>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</si>
  <si>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</si>
  <si>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</si>
  <si>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</si>
  <si>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</si>
  <si>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</si>
  <si>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</si>
  <si>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</si>
  <si>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</si>
  <si>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</si>
  <si>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</si>
  <si>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</si>
  <si>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</si>
  <si>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</si>
  <si>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</si>
  <si>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</si>
  <si>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</si>
  <si>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</si>
  <si>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</si>
  <si>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</si>
  <si>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</si>
  <si>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</si>
  <si>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</si>
  <si>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</si>
  <si>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</si>
  <si>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</si>
  <si>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</si>
  <si>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</si>
  <si>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</si>
  <si>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</si>
  <si>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</si>
  <si>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</si>
  <si>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</si>
  <si>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</si>
  <si>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</si>
  <si>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</si>
  <si>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</si>
  <si>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</si>
  <si>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</si>
  <si>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</si>
  <si>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</si>
  <si>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</si>
  <si>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</si>
  <si>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</si>
  <si>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</si>
  <si>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</si>
  <si>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</si>
  <si>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</si>
  <si>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</si>
  <si>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</si>
  <si>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</si>
  <si>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</si>
  <si>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</si>
  <si>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</si>
  <si>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</si>
  <si>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</si>
  <si>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</si>
  <si>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</si>
  <si>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</si>
  <si>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</si>
  <si>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</si>
  <si>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</si>
  <si>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</si>
  <si>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</si>
  <si>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</si>
  <si>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</si>
  <si>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</si>
  <si>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</si>
  <si>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</si>
  <si>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</si>
  <si>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</si>
  <si>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</si>
  <si>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</si>
  <si>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</si>
  <si>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</si>
  <si>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</si>
  <si>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</si>
  <si>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</si>
  <si>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</si>
  <si>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</si>
  <si>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</si>
  <si>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</si>
  <si>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</si>
  <si>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</si>
  <si>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</si>
  <si>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</si>
  <si>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</si>
  <si>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</si>
  <si>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</si>
  <si>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</si>
  <si>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</si>
  <si>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</si>
  <si>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</si>
  <si>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</si>
  <si>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</si>
  <si>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</si>
  <si>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</si>
  <si>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</si>
  <si>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</si>
  <si>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</si>
  <si>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</si>
  <si>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</si>
  <si>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</si>
  <si>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</si>
  <si>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</si>
  <si>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</si>
  <si>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</si>
  <si>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</si>
  <si>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</si>
  <si>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</si>
  <si>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</si>
  <si>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</si>
  <si>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</si>
  <si>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</si>
  <si>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</si>
  <si>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</si>
  <si>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</si>
  <si>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</si>
  <si>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</si>
  <si>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</si>
  <si>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</si>
  <si>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</si>
  <si>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</si>
  <si>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</si>
  <si>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</si>
  <si>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</si>
  <si>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</si>
  <si>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</si>
  <si>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</si>
  <si>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</si>
  <si>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</si>
  <si>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</si>
  <si>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</si>
  <si>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</si>
  <si>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</si>
  <si>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</si>
  <si>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</si>
  <si>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</si>
  <si>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</si>
  <si>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</si>
  <si>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</si>
  <si>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</si>
  <si>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</si>
  <si>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</si>
  <si>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</si>
  <si>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</si>
  <si>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</si>
  <si>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</si>
  <si>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</si>
  <si>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</si>
  <si>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</si>
  <si>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</si>
  <si>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</si>
  <si>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</si>
  <si>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</si>
  <si>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</si>
  <si>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</si>
  <si>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</si>
  <si>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</si>
  <si>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</si>
  <si>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</si>
  <si>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</si>
  <si>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</si>
  <si>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</si>
  <si>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</si>
  <si>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</si>
  <si>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</si>
  <si>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</si>
  <si>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</si>
  <si>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</si>
  <si>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</si>
  <si>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</si>
  <si>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</si>
  <si>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</si>
  <si>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</si>
  <si>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</si>
  <si>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</si>
  <si>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</si>
  <si>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</si>
  <si>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</si>
  <si>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</si>
  <si>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</si>
  <si>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</si>
  <si>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</si>
  <si>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</si>
  <si>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</si>
  <si>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</si>
  <si>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</si>
  <si>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</si>
  <si>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</si>
  <si>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</si>
  <si>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</si>
  <si>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</si>
  <si>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</si>
  <si>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</si>
  <si>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</si>
  <si>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</si>
  <si>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</si>
  <si>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</si>
  <si>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</si>
  <si>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</si>
  <si>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</si>
  <si>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</si>
  <si>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</si>
  <si>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</si>
  <si>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</si>
  <si>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</si>
  <si>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</si>
  <si>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</si>
  <si>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</si>
  <si>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</si>
  <si>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</si>
  <si>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</si>
  <si>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</si>
  <si>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</si>
  <si>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</si>
  <si>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</si>
  <si>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</si>
  <si>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</si>
  <si>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</si>
  <si>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</si>
  <si>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</si>
  <si>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</si>
  <si>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</si>
  <si>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</si>
  <si>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</si>
  <si>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</si>
  <si>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</si>
  <si>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</si>
  <si>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</si>
  <si>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</si>
  <si>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</si>
  <si>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</si>
  <si>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</si>
  <si>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</si>
  <si>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</si>
  <si>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</si>
  <si>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</si>
  <si>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</si>
  <si>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</si>
  <si>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</si>
  <si>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</si>
  <si>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</si>
  <si>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</si>
  <si>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</si>
  <si>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</si>
  <si>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</si>
  <si>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</si>
  <si>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</si>
  <si>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</si>
  <si>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</si>
  <si>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</si>
  <si>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</si>
  <si>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</si>
  <si>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</si>
  <si>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</si>
  <si>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</si>
  <si>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</si>
  <si>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</si>
  <si>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</si>
  <si>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</si>
  <si>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</si>
  <si>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</si>
  <si>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</si>
  <si>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</si>
  <si>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</si>
  <si>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</si>
  <si>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</si>
  <si>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</si>
  <si>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</si>
  <si>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</si>
  <si>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</si>
  <si>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</si>
  <si>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</si>
  <si>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</si>
  <si>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</si>
  <si>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</si>
  <si>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</si>
  <si>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</si>
  <si>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</si>
  <si>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</si>
  <si>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</si>
  <si>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</si>
  <si>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</si>
  <si>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</si>
  <si>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</si>
  <si>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</si>
  <si>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</si>
  <si>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</si>
  <si>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</si>
  <si>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</si>
  <si>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</si>
  <si>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</si>
  <si>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</si>
  <si>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</si>
  <si>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</si>
  <si>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</si>
  <si>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</si>
  <si>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</si>
  <si>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</si>
  <si>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</si>
  <si>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</si>
  <si>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</si>
  <si>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</si>
  <si>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</si>
  <si>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</si>
  <si>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</si>
  <si>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</si>
  <si>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</si>
  <si>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</si>
  <si>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</si>
  <si>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</si>
  <si>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</si>
  <si>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</si>
  <si>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</si>
  <si>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</si>
  <si>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</si>
  <si>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</si>
  <si>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</si>
  <si>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</si>
  <si>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</si>
  <si>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</si>
  <si>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</si>
  <si>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</si>
  <si>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</si>
  <si>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</si>
  <si>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</si>
  <si>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</si>
  <si>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</si>
  <si>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</si>
  <si>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</si>
  <si>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</si>
  <si>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</si>
  <si>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</si>
  <si>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</si>
  <si>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</si>
  <si>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</si>
  <si>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</si>
  <si>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</si>
  <si>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</si>
  <si>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</si>
  <si>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</si>
  <si>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</si>
  <si>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</si>
  <si>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</si>
  <si>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</si>
  <si>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</si>
  <si>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</si>
  <si>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</si>
  <si>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</si>
  <si>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</si>
  <si>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</si>
  <si>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</si>
  <si>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</si>
  <si>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</si>
  <si>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</si>
  <si>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</si>
  <si>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</si>
  <si>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</si>
  <si>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</si>
  <si>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</si>
  <si>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</si>
  <si>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</si>
  <si>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</si>
  <si>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</si>
  <si>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</si>
  <si>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</si>
  <si>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</si>
  <si>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</si>
  <si>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</si>
  <si>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</si>
  <si>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</si>
  <si>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</si>
  <si>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</si>
  <si>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</si>
  <si>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</si>
  <si>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</si>
  <si>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</si>
  <si>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</si>
  <si>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</si>
  <si>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</si>
  <si>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</si>
  <si>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</si>
  <si>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</si>
  <si>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</si>
  <si>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</si>
  <si>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</si>
  <si>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</si>
  <si>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</si>
  <si>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</si>
  <si>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</si>
  <si>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</si>
  <si>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</si>
  <si>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</si>
  <si>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</si>
  <si>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</si>
  <si>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</si>
  <si>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</si>
  <si>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</si>
  <si>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</si>
  <si>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</si>
  <si>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</si>
  <si>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</si>
  <si>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</si>
  <si>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</si>
  <si>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</si>
  <si>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</si>
  <si>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</si>
  <si>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</si>
  <si>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</si>
  <si>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</si>
  <si>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</si>
  <si>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</si>
  <si>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</si>
  <si>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</si>
  <si>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</si>
  <si>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</si>
  <si>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</si>
  <si>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</si>
  <si>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</si>
  <si>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</si>
  <si>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</si>
  <si>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</si>
  <si>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</si>
  <si>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</si>
  <si>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</si>
  <si>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</si>
  <si>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</si>
  <si>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</si>
  <si>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</si>
  <si>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</si>
  <si>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</si>
  <si>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72029</t>
  </si>
  <si>
    <t>OVERPELT</t>
  </si>
  <si>
    <t>Eandis (januari 2018); Infrax (juni 2018)</t>
  </si>
  <si>
    <t>MOW (september 2017)</t>
  </si>
  <si>
    <t>referentietaak LNE (2017); Jaarverslag De Lijn (2016)</t>
  </si>
  <si>
    <t>VEA (april 2018)</t>
  </si>
  <si>
    <t>VEA (januari 2017)</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</si>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</sst>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129063.10060053016</c:v>
                </c:pt>
                <c:pt idx="1">
                  <c:v>63540.449326012276</c:v>
                </c:pt>
                <c:pt idx="2">
                  <c:v>1012.429</c:v>
                </c:pt>
                <c:pt idx="3">
                  <c:v>5030.896019172711</c:v>
                </c:pt>
                <c:pt idx="4">
                  <c:v>226354.97559566997</c:v>
                </c:pt>
                <c:pt idx="5">
                  <c:v>98313.944043005511</c:v>
                </c:pt>
                <c:pt idx="6">
                  <c:v>2091.3829175085461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129063.10060053016</c:v>
                </c:pt>
                <c:pt idx="1">
                  <c:v>63540.449326012276</c:v>
                </c:pt>
                <c:pt idx="2">
                  <c:v>1012.429</c:v>
                </c:pt>
                <c:pt idx="3">
                  <c:v>5030.896019172711</c:v>
                </c:pt>
                <c:pt idx="4">
                  <c:v>226354.97559566997</c:v>
                </c:pt>
                <c:pt idx="5">
                  <c:v>98313.944043005511</c:v>
                </c:pt>
                <c:pt idx="6">
                  <c:v>2091.3829175085461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22557.859255219089</c:v>
                </c:pt>
                <c:pt idx="2">
                  <c:v>12103.31536103383</c:v>
                </c:pt>
                <c:pt idx="3">
                  <c:v>188.10951208785676</c:v>
                </c:pt>
                <c:pt idx="4">
                  <c:v>1230.1226338502686</c:v>
                </c:pt>
                <c:pt idx="5">
                  <c:v>41199.897989569588</c:v>
                </c:pt>
                <c:pt idx="6">
                  <c:v>24606.426291250515</c:v>
                </c:pt>
                <c:pt idx="7">
                  <c:v>528.38907228302639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22557.859255219089</c:v>
                </c:pt>
                <c:pt idx="2">
                  <c:v>12103.31536103383</c:v>
                </c:pt>
                <c:pt idx="3">
                  <c:v>188.10951208785676</c:v>
                </c:pt>
                <c:pt idx="4">
                  <c:v>1230.1226338502686</c:v>
                </c:pt>
                <c:pt idx="5">
                  <c:v>41199.897989569588</c:v>
                </c:pt>
                <c:pt idx="6">
                  <c:v>24606.426291250515</c:v>
                </c:pt>
                <c:pt idx="7">
                  <c:v>528.38907228302639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72029</v>
      </c>
      <c r="B6" s="415"/>
      <c r="C6" s="416"/>
    </row>
    <row r="7" spans="1:7" s="413" customFormat="1" ht="15.75" customHeight="1">
      <c r="A7" s="417" t="str">
        <f>txtMunicipality</f>
        <v>OVERPELT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0.18580020138484454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0.18580020138484454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6180</v>
      </c>
      <c r="C9" s="342">
        <v>6109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1149.03</v>
      </c>
    </row>
    <row r="15" spans="1:6">
      <c r="A15" s="348" t="s">
        <v>184</v>
      </c>
      <c r="B15" s="334">
        <v>1749</v>
      </c>
    </row>
    <row r="16" spans="1:6">
      <c r="A16" s="348" t="s">
        <v>6</v>
      </c>
      <c r="B16" s="334">
        <v>1147</v>
      </c>
    </row>
    <row r="17" spans="1:6">
      <c r="A17" s="348" t="s">
        <v>7</v>
      </c>
      <c r="B17" s="334">
        <v>30</v>
      </c>
    </row>
    <row r="18" spans="1:6">
      <c r="A18" s="348" t="s">
        <v>8</v>
      </c>
      <c r="B18" s="334">
        <v>588</v>
      </c>
    </row>
    <row r="19" spans="1:6">
      <c r="A19" s="348" t="s">
        <v>9</v>
      </c>
      <c r="B19" s="334">
        <v>532</v>
      </c>
    </row>
    <row r="20" spans="1:6">
      <c r="A20" s="348" t="s">
        <v>10</v>
      </c>
      <c r="B20" s="334">
        <v>129</v>
      </c>
    </row>
    <row r="21" spans="1:6">
      <c r="A21" s="348" t="s">
        <v>11</v>
      </c>
      <c r="B21" s="334">
        <v>0</v>
      </c>
    </row>
    <row r="22" spans="1:6">
      <c r="A22" s="348" t="s">
        <v>12</v>
      </c>
      <c r="B22" s="334">
        <v>179</v>
      </c>
    </row>
    <row r="23" spans="1:6">
      <c r="A23" s="348" t="s">
        <v>13</v>
      </c>
      <c r="B23" s="334">
        <v>0</v>
      </c>
    </row>
    <row r="24" spans="1:6">
      <c r="A24" s="348" t="s">
        <v>14</v>
      </c>
      <c r="B24" s="334">
        <v>0</v>
      </c>
    </row>
    <row r="25" spans="1:6">
      <c r="A25" s="348" t="s">
        <v>15</v>
      </c>
      <c r="B25" s="334">
        <v>0</v>
      </c>
    </row>
    <row r="26" spans="1:6">
      <c r="A26" s="348" t="s">
        <v>16</v>
      </c>
      <c r="B26" s="334">
        <v>108</v>
      </c>
    </row>
    <row r="27" spans="1:6">
      <c r="A27" s="348" t="s">
        <v>17</v>
      </c>
      <c r="B27" s="334">
        <v>3</v>
      </c>
    </row>
    <row r="28" spans="1:6" s="356" customFormat="1">
      <c r="A28" s="355" t="s">
        <v>18</v>
      </c>
      <c r="B28" s="355">
        <v>16459</v>
      </c>
    </row>
    <row r="29" spans="1:6">
      <c r="A29" s="355" t="s">
        <v>744</v>
      </c>
      <c r="B29" s="355">
        <v>98</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16432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4115</v>
      </c>
      <c r="D39" s="334">
        <v>72246431.950000107</v>
      </c>
      <c r="E39" s="334">
        <v>6301</v>
      </c>
      <c r="F39" s="334">
        <v>20495255.600000098</v>
      </c>
    </row>
    <row r="40" spans="1:6">
      <c r="A40" s="348" t="s">
        <v>30</v>
      </c>
      <c r="B40" s="348" t="s">
        <v>29</v>
      </c>
      <c r="C40" s="334">
        <v>0</v>
      </c>
      <c r="D40" s="334">
        <v>0</v>
      </c>
      <c r="E40" s="334">
        <v>1</v>
      </c>
      <c r="F40" s="334">
        <v>4210</v>
      </c>
    </row>
    <row r="41" spans="1:6">
      <c r="A41" s="348" t="s">
        <v>32</v>
      </c>
      <c r="B41" s="348" t="s">
        <v>33</v>
      </c>
      <c r="C41" s="334">
        <v>77</v>
      </c>
      <c r="D41" s="334">
        <v>12740671.732000001</v>
      </c>
      <c r="E41" s="334">
        <v>161</v>
      </c>
      <c r="F41" s="334">
        <v>19859552.743999999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32</v>
      </c>
      <c r="D44" s="334">
        <v>39322211.153999999</v>
      </c>
      <c r="E44" s="334">
        <v>65</v>
      </c>
      <c r="F44" s="334">
        <v>37324159.884000003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2412802.3640000001</v>
      </c>
      <c r="E47" s="334">
        <v>5</v>
      </c>
      <c r="F47" s="334">
        <v>5646353</v>
      </c>
    </row>
    <row r="48" spans="1:6">
      <c r="A48" s="348" t="s">
        <v>32</v>
      </c>
      <c r="B48" s="348" t="s">
        <v>29</v>
      </c>
      <c r="C48" s="334">
        <v>3</v>
      </c>
      <c r="D48" s="334">
        <v>60795804.159999996</v>
      </c>
      <c r="E48" s="334">
        <v>2</v>
      </c>
      <c r="F48" s="334">
        <v>3383007</v>
      </c>
    </row>
    <row r="49" spans="1:6">
      <c r="A49" s="348" t="s">
        <v>32</v>
      </c>
      <c r="B49" s="348" t="s">
        <v>40</v>
      </c>
      <c r="C49" s="334">
        <v>5</v>
      </c>
      <c r="D49" s="334">
        <v>3822462.08</v>
      </c>
      <c r="E49" s="334">
        <v>6</v>
      </c>
      <c r="F49" s="334">
        <v>1018140</v>
      </c>
    </row>
    <row r="50" spans="1:6">
      <c r="A50" s="348" t="s">
        <v>32</v>
      </c>
      <c r="B50" s="348" t="s">
        <v>41</v>
      </c>
      <c r="C50" s="334">
        <v>8</v>
      </c>
      <c r="D50" s="334">
        <v>417928</v>
      </c>
      <c r="E50" s="334">
        <v>14</v>
      </c>
      <c r="F50" s="334">
        <v>241048</v>
      </c>
    </row>
    <row r="51" spans="1:6">
      <c r="A51" s="348" t="s">
        <v>42</v>
      </c>
      <c r="B51" s="348" t="s">
        <v>43</v>
      </c>
      <c r="C51" s="334">
        <v>18</v>
      </c>
      <c r="D51" s="334">
        <v>673756</v>
      </c>
      <c r="E51" s="334">
        <v>62</v>
      </c>
      <c r="F51" s="334">
        <v>816598</v>
      </c>
    </row>
    <row r="52" spans="1:6">
      <c r="A52" s="348" t="s">
        <v>42</v>
      </c>
      <c r="B52" s="348" t="s">
        <v>29</v>
      </c>
      <c r="C52" s="334">
        <v>0</v>
      </c>
      <c r="D52" s="334">
        <v>0</v>
      </c>
      <c r="E52" s="334">
        <v>0</v>
      </c>
      <c r="F52" s="334">
        <v>0</v>
      </c>
    </row>
    <row r="53" spans="1:6">
      <c r="A53" s="348" t="s">
        <v>44</v>
      </c>
      <c r="B53" s="348" t="s">
        <v>45</v>
      </c>
      <c r="C53" s="334">
        <v>36</v>
      </c>
      <c r="D53" s="334">
        <v>803508.4</v>
      </c>
      <c r="E53" s="334">
        <v>94</v>
      </c>
      <c r="F53" s="334">
        <v>294763.55</v>
      </c>
    </row>
    <row r="54" spans="1:6">
      <c r="A54" s="348" t="s">
        <v>46</v>
      </c>
      <c r="B54" s="348" t="s">
        <v>47</v>
      </c>
      <c r="C54" s="334">
        <v>0</v>
      </c>
      <c r="D54" s="334">
        <v>0</v>
      </c>
      <c r="E54" s="334">
        <v>3</v>
      </c>
      <c r="F54" s="334">
        <v>1012429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1147444</v>
      </c>
      <c r="E57" s="334">
        <v>67</v>
      </c>
      <c r="F57" s="334">
        <v>3373931</v>
      </c>
    </row>
    <row r="58" spans="1:6">
      <c r="A58" s="348" t="s">
        <v>49</v>
      </c>
      <c r="B58" s="348" t="s">
        <v>51</v>
      </c>
      <c r="C58" s="334">
        <v>65</v>
      </c>
      <c r="D58" s="334">
        <v>11879270.104</v>
      </c>
      <c r="E58" s="334">
        <v>56</v>
      </c>
      <c r="F58" s="334">
        <v>8253996.8459999999</v>
      </c>
    </row>
    <row r="59" spans="1:6">
      <c r="A59" s="348" t="s">
        <v>49</v>
      </c>
      <c r="B59" s="348" t="s">
        <v>52</v>
      </c>
      <c r="C59" s="334">
        <v>113</v>
      </c>
      <c r="D59" s="334">
        <v>6875920.3930000002</v>
      </c>
      <c r="E59" s="334">
        <v>187</v>
      </c>
      <c r="F59" s="334">
        <v>6539128.7580000004</v>
      </c>
    </row>
    <row r="60" spans="1:6">
      <c r="A60" s="348" t="s">
        <v>49</v>
      </c>
      <c r="B60" s="348" t="s">
        <v>53</v>
      </c>
      <c r="C60" s="334">
        <v>40</v>
      </c>
      <c r="D60" s="334">
        <v>1795796</v>
      </c>
      <c r="E60" s="334">
        <v>58</v>
      </c>
      <c r="F60" s="334">
        <v>1364633</v>
      </c>
    </row>
    <row r="61" spans="1:6">
      <c r="A61" s="348" t="s">
        <v>49</v>
      </c>
      <c r="B61" s="348" t="s">
        <v>54</v>
      </c>
      <c r="C61" s="334">
        <v>122</v>
      </c>
      <c r="D61" s="334">
        <v>7562484.8909999998</v>
      </c>
      <c r="E61" s="334">
        <v>230</v>
      </c>
      <c r="F61" s="334">
        <v>4858740.7060000002</v>
      </c>
    </row>
    <row r="62" spans="1:6">
      <c r="A62" s="348" t="s">
        <v>49</v>
      </c>
      <c r="B62" s="348" t="s">
        <v>55</v>
      </c>
      <c r="C62" s="334">
        <v>20</v>
      </c>
      <c r="D62" s="334">
        <v>4198659.1789999995</v>
      </c>
      <c r="E62" s="334">
        <v>24</v>
      </c>
      <c r="F62" s="334">
        <v>1166516.6969999999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8</v>
      </c>
      <c r="F66" s="334">
        <v>189577.08499999999</v>
      </c>
    </row>
    <row r="67" spans="1:6">
      <c r="A67" s="355" t="s">
        <v>56</v>
      </c>
      <c r="B67" s="355" t="s">
        <v>59</v>
      </c>
      <c r="C67" s="334">
        <v>0</v>
      </c>
      <c r="D67" s="334">
        <v>0</v>
      </c>
      <c r="E67" s="334">
        <v>0</v>
      </c>
      <c r="F67" s="334">
        <v>0</v>
      </c>
    </row>
    <row r="68" spans="1:6">
      <c r="A68" s="341" t="s">
        <v>56</v>
      </c>
      <c r="B68" s="341" t="s">
        <v>60</v>
      </c>
      <c r="C68" s="334">
        <v>4</v>
      </c>
      <c r="D68" s="334">
        <v>283633</v>
      </c>
      <c r="E68" s="334">
        <v>8</v>
      </c>
      <c r="F68" s="334">
        <v>578049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86321570</v>
      </c>
      <c r="E73" s="475">
        <v>87154434.00608319</v>
      </c>
    </row>
    <row r="74" spans="1:6">
      <c r="A74" s="348" t="s">
        <v>64</v>
      </c>
      <c r="B74" s="348" t="s">
        <v>657</v>
      </c>
      <c r="C74" s="1295" t="s">
        <v>659</v>
      </c>
      <c r="D74" s="475">
        <v>8812269</v>
      </c>
      <c r="E74" s="475">
        <v>8807798.4291414563</v>
      </c>
    </row>
    <row r="75" spans="1:6">
      <c r="A75" s="348" t="s">
        <v>65</v>
      </c>
      <c r="B75" s="348" t="s">
        <v>656</v>
      </c>
      <c r="C75" s="1295" t="s">
        <v>660</v>
      </c>
      <c r="D75" s="475">
        <v>22167093</v>
      </c>
      <c r="E75" s="475">
        <v>22505694.08864674</v>
      </c>
    </row>
    <row r="76" spans="1:6">
      <c r="A76" s="348" t="s">
        <v>65</v>
      </c>
      <c r="B76" s="348" t="s">
        <v>657</v>
      </c>
      <c r="C76" s="1295" t="s">
        <v>661</v>
      </c>
      <c r="D76" s="475">
        <v>932418</v>
      </c>
      <c r="E76" s="475">
        <v>909198.24303393962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567218</v>
      </c>
      <c r="C83" s="475">
        <v>580007.69954063534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5115.3789119937173</v>
      </c>
    </row>
    <row r="92" spans="1:6">
      <c r="A92" s="341" t="s">
        <v>69</v>
      </c>
      <c r="B92" s="342">
        <v>14083.07996795301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3</v>
      </c>
    </row>
    <row r="99" spans="1:6">
      <c r="A99" s="348" t="s">
        <v>73</v>
      </c>
      <c r="B99" s="334">
        <v>78</v>
      </c>
    </row>
    <row r="100" spans="1:6">
      <c r="A100" s="348" t="s">
        <v>74</v>
      </c>
      <c r="B100" s="334">
        <v>209</v>
      </c>
    </row>
    <row r="101" spans="1:6">
      <c r="A101" s="348" t="s">
        <v>75</v>
      </c>
      <c r="B101" s="334">
        <v>54</v>
      </c>
    </row>
    <row r="102" spans="1:6">
      <c r="A102" s="348" t="s">
        <v>76</v>
      </c>
      <c r="B102" s="334">
        <v>43</v>
      </c>
    </row>
    <row r="103" spans="1:6">
      <c r="A103" s="348" t="s">
        <v>77</v>
      </c>
      <c r="B103" s="334">
        <v>68</v>
      </c>
    </row>
    <row r="104" spans="1:6">
      <c r="A104" s="348" t="s">
        <v>78</v>
      </c>
      <c r="B104" s="334">
        <v>2869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67</v>
      </c>
      <c r="C123" s="334">
        <v>33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0</v>
      </c>
    </row>
    <row r="131" spans="1:6">
      <c r="A131" s="348" t="s">
        <v>296</v>
      </c>
      <c r="B131" s="334">
        <v>2</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120810.52249649202</v>
      </c>
      <c r="C3" s="43" t="s">
        <v>170</v>
      </c>
      <c r="D3" s="43"/>
      <c r="E3" s="154"/>
      <c r="F3" s="43"/>
      <c r="G3" s="43"/>
      <c r="H3" s="43"/>
      <c r="I3" s="43"/>
      <c r="J3" s="43"/>
      <c r="K3" s="96"/>
    </row>
    <row r="4" spans="1:11">
      <c r="A4" s="383" t="s">
        <v>171</v>
      </c>
      <c r="B4" s="49">
        <f>IF(ISERROR('SEAP template'!B78+'SEAP template'!C78),0,'SEAP template'!B78+'SEAP template'!C78)</f>
        <v>19242.108879946729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0.18580020138484454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1012.429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1012.429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0.18580020138484454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188.10951208785676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20499.465600000098</v>
      </c>
      <c r="C5" s="17">
        <f>IF(ISERROR('Eigen informatie GS &amp; warmtenet'!B57),0,'Eigen informatie GS &amp; warmtenet'!B57)</f>
        <v>0</v>
      </c>
      <c r="D5" s="30">
        <f>(SUM(HH_hh_gas_kWh,HH_rest_gas_kWh)/1000)*0.902</f>
        <v>65166.281618900095</v>
      </c>
      <c r="E5" s="17">
        <f>B46*B57</f>
        <v>7489.5094352473552</v>
      </c>
      <c r="F5" s="17">
        <f>B51*B62</f>
        <v>10992.166507978241</v>
      </c>
      <c r="G5" s="18"/>
      <c r="H5" s="17"/>
      <c r="I5" s="17"/>
      <c r="J5" s="17">
        <f>B50*B61+C50*C61</f>
        <v>0</v>
      </c>
      <c r="K5" s="17"/>
      <c r="L5" s="17"/>
      <c r="M5" s="17"/>
      <c r="N5" s="17">
        <f>B48*B59+C48*C59</f>
        <v>17670.351859744005</v>
      </c>
      <c r="O5" s="17">
        <f>B69*B70*B71</f>
        <v>337.68</v>
      </c>
      <c r="P5" s="17">
        <f>B77*B78*B79/1000-B77*B78*B79/1000/B80</f>
        <v>1792.2666666666667</v>
      </c>
    </row>
    <row r="6" spans="1:16">
      <c r="A6" s="16" t="s">
        <v>621</v>
      </c>
      <c r="B6" s="788">
        <f>kWh_PV_kleiner_dan_10kW</f>
        <v>5115.3789119937173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25614.844511993815</v>
      </c>
      <c r="C8" s="21">
        <f>C5</f>
        <v>0</v>
      </c>
      <c r="D8" s="21">
        <f>D5</f>
        <v>65166.281618900095</v>
      </c>
      <c r="E8" s="21">
        <f>E5</f>
        <v>7489.5094352473552</v>
      </c>
      <c r="F8" s="21">
        <f>F5</f>
        <v>10992.166507978241</v>
      </c>
      <c r="G8" s="21"/>
      <c r="H8" s="21"/>
      <c r="I8" s="21"/>
      <c r="J8" s="21">
        <f>J5</f>
        <v>0</v>
      </c>
      <c r="K8" s="21"/>
      <c r="L8" s="21">
        <f>L5</f>
        <v>0</v>
      </c>
      <c r="M8" s="21">
        <f>M5</f>
        <v>0</v>
      </c>
      <c r="N8" s="21">
        <f>N5</f>
        <v>17670.351859744005</v>
      </c>
      <c r="O8" s="21">
        <f>O5</f>
        <v>337.68</v>
      </c>
      <c r="P8" s="21">
        <f>P5</f>
        <v>1792.2666666666667</v>
      </c>
    </row>
    <row r="9" spans="1:16">
      <c r="B9" s="19"/>
      <c r="C9" s="19"/>
      <c r="D9" s="258"/>
      <c r="E9" s="19"/>
      <c r="F9" s="19"/>
      <c r="G9" s="19"/>
      <c r="H9" s="19"/>
      <c r="I9" s="19"/>
      <c r="J9" s="19"/>
      <c r="K9" s="19"/>
      <c r="L9" s="19"/>
      <c r="M9" s="19"/>
      <c r="N9" s="19"/>
      <c r="O9" s="19"/>
      <c r="P9" s="19"/>
    </row>
    <row r="10" spans="1:16">
      <c r="A10" s="24" t="s">
        <v>214</v>
      </c>
      <c r="B10" s="25">
        <f ca="1">'EF ele_warmte'!B12</f>
        <v>0.18580020138484454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4759.2432687699311</v>
      </c>
      <c r="C12" s="23">
        <f ca="1">C10*C8</f>
        <v>0</v>
      </c>
      <c r="D12" s="23">
        <f>D8*D10</f>
        <v>13163.588887017821</v>
      </c>
      <c r="E12" s="23">
        <f>E10*E8</f>
        <v>1700.1186418011496</v>
      </c>
      <c r="F12" s="23">
        <f>F10*F8</f>
        <v>2934.9084576301907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22.873900293255129</v>
      </c>
      <c r="D20" s="229"/>
      <c r="E20" s="15"/>
    </row>
    <row r="21" spans="1:7">
      <c r="A21" s="171" t="s">
        <v>74</v>
      </c>
      <c r="B21" s="37">
        <f>aantalw2001_elektriciteit</f>
        <v>209</v>
      </c>
      <c r="C21" s="167">
        <f>IF(ISERROR(B21/SUM($B$20,$B$21,$B$22)*100),0,B21/SUM($B$20,$B$21,$B$22)*100)</f>
        <v>61.29032258064516</v>
      </c>
      <c r="D21" s="229"/>
      <c r="E21" s="15"/>
    </row>
    <row r="22" spans="1:7">
      <c r="A22" s="171" t="s">
        <v>75</v>
      </c>
      <c r="B22" s="37">
        <f>aantalw2001_hout</f>
        <v>54</v>
      </c>
      <c r="C22" s="167">
        <f>IF(ISERROR(B22/SUM($B$20,$B$21,$B$22)*100),0,B22/SUM($B$20,$B$21,$B$22)*100)</f>
        <v>15.835777126099707</v>
      </c>
      <c r="D22" s="229"/>
      <c r="E22" s="15"/>
    </row>
    <row r="23" spans="1:7">
      <c r="A23" s="171" t="s">
        <v>76</v>
      </c>
      <c r="B23" s="37">
        <f>aantalw2001_niet_gespec</f>
        <v>43</v>
      </c>
      <c r="C23" s="166" t="s">
        <v>111</v>
      </c>
      <c r="D23" s="228"/>
      <c r="E23" s="15"/>
    </row>
    <row r="24" spans="1:7">
      <c r="A24" s="171" t="s">
        <v>77</v>
      </c>
      <c r="B24" s="37">
        <f>aantalw2001_steenkool</f>
        <v>68</v>
      </c>
      <c r="C24" s="166" t="s">
        <v>111</v>
      </c>
      <c r="D24" s="229"/>
      <c r="E24" s="15"/>
    </row>
    <row r="25" spans="1:7">
      <c r="A25" s="171" t="s">
        <v>78</v>
      </c>
      <c r="B25" s="37">
        <f>aantalw2001_stookolie</f>
        <v>2869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6180</v>
      </c>
      <c r="C28" s="36"/>
      <c r="D28" s="228"/>
    </row>
    <row r="29" spans="1:7" s="15" customFormat="1">
      <c r="A29" s="230" t="s">
        <v>794</v>
      </c>
      <c r="B29" s="37">
        <f>SUM(HH_hh_gas_aantal,HH_rest_gas_aantal)</f>
        <v>4115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4115</v>
      </c>
      <c r="C32" s="167">
        <f>IF(ISERROR(B32/SUM($B$32,$B$34,$B$35,$B$36,$B$38,$B$39)*100),0,B32/SUM($B$32,$B$34,$B$35,$B$36,$B$38,$B$39)*100)</f>
        <v>67.614196516595456</v>
      </c>
      <c r="D32" s="233"/>
      <c r="G32" s="15"/>
    </row>
    <row r="33" spans="1:7">
      <c r="A33" s="171" t="s">
        <v>72</v>
      </c>
      <c r="B33" s="34" t="s">
        <v>111</v>
      </c>
      <c r="C33" s="167"/>
      <c r="D33" s="233"/>
      <c r="G33" s="15"/>
    </row>
    <row r="34" spans="1:7">
      <c r="A34" s="171" t="s">
        <v>73</v>
      </c>
      <c r="B34" s="33">
        <f>IF((($B$28-$B$32-$B$39-$B$77-$B$38)*C20/100)&lt;0,0,($B$28-$B$32-$B$39-$B$77-$B$38)*C20/100)</f>
        <v>353.72199413489733</v>
      </c>
      <c r="C34" s="167">
        <f>IF(ISERROR(B34/SUM($B$32,$B$34,$B$35,$B$36,$B$38,$B$39)*100),0,B34/SUM($B$32,$B$34,$B$35,$B$36,$B$38,$B$39)*100)</f>
        <v>5.8120603702743567</v>
      </c>
      <c r="D34" s="233"/>
      <c r="G34" s="15"/>
    </row>
    <row r="35" spans="1:7">
      <c r="A35" s="171" t="s">
        <v>74</v>
      </c>
      <c r="B35" s="33">
        <f>IF((($B$28-$B$32-$B$39-$B$77-$B$38)*C21/100)&lt;0,0,($B$28-$B$32-$B$39-$B$77-$B$38)*C21/100)</f>
        <v>947.79354838709685</v>
      </c>
      <c r="C35" s="167">
        <f>IF(ISERROR(B35/SUM($B$32,$B$34,$B$35,$B$36,$B$38,$B$39)*100),0,B35/SUM($B$32,$B$34,$B$35,$B$36,$B$38,$B$39)*100)</f>
        <v>15.57334124855565</v>
      </c>
      <c r="D35" s="233"/>
      <c r="G35" s="15"/>
    </row>
    <row r="36" spans="1:7">
      <c r="A36" s="171" t="s">
        <v>75</v>
      </c>
      <c r="B36" s="33">
        <f>IF((($B$28-$B$32-$B$39-$B$77-$B$38)*C22/100)&lt;0,0,($B$28-$B$32-$B$39-$B$77-$B$38)*C22/100)</f>
        <v>244.88445747800588</v>
      </c>
      <c r="C36" s="167">
        <f>IF(ISERROR(B36/SUM($B$32,$B$34,$B$35,$B$36,$B$38,$B$39)*100),0,B36/SUM($B$32,$B$34,$B$35,$B$36,$B$38,$B$39)*100)</f>
        <v>4.0237341024976319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424.59999999999991</v>
      </c>
      <c r="C39" s="167">
        <f>IF(ISERROR(B39/SUM($B$32,$B$34,$B$35,$B$36,$B$38,$B$39)*100),0,B39/SUM($B$32,$B$34,$B$35,$B$36,$B$38,$B$39)*100)</f>
        <v>6.9766677620768967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4115</v>
      </c>
      <c r="C44" s="34" t="s">
        <v>111</v>
      </c>
      <c r="D44" s="174"/>
    </row>
    <row r="45" spans="1:7">
      <c r="A45" s="171" t="s">
        <v>72</v>
      </c>
      <c r="B45" s="33" t="str">
        <f t="shared" si="0"/>
        <v>-</v>
      </c>
      <c r="C45" s="34" t="s">
        <v>111</v>
      </c>
      <c r="D45" s="174"/>
    </row>
    <row r="46" spans="1:7">
      <c r="A46" s="171" t="s">
        <v>73</v>
      </c>
      <c r="B46" s="33">
        <f t="shared" si="0"/>
        <v>353.72199413489733</v>
      </c>
      <c r="C46" s="34" t="s">
        <v>111</v>
      </c>
      <c r="D46" s="174"/>
    </row>
    <row r="47" spans="1:7">
      <c r="A47" s="171" t="s">
        <v>74</v>
      </c>
      <c r="B47" s="33">
        <f t="shared" si="0"/>
        <v>947.79354838709685</v>
      </c>
      <c r="C47" s="34" t="s">
        <v>111</v>
      </c>
      <c r="D47" s="174"/>
    </row>
    <row r="48" spans="1:7">
      <c r="A48" s="171" t="s">
        <v>75</v>
      </c>
      <c r="B48" s="33">
        <f t="shared" si="0"/>
        <v>244.88445747800588</v>
      </c>
      <c r="C48" s="33">
        <f>B48*10</f>
        <v>2448.8445747800588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424.59999999999991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25556.947006999999</v>
      </c>
      <c r="C5" s="17">
        <f>IF(ISERROR('Eigen informatie GS &amp; warmtenet'!B58),0,'Eigen informatie GS &amp; warmtenet'!B58)</f>
        <v>0</v>
      </c>
      <c r="D5" s="30">
        <f>SUM(D6:D12)</f>
        <v>30180.536259434</v>
      </c>
      <c r="E5" s="17">
        <f>SUM(E6:E12)</f>
        <v>278.88440889777922</v>
      </c>
      <c r="F5" s="17">
        <f>SUM(F6:F12)</f>
        <v>4475.7619850220963</v>
      </c>
      <c r="G5" s="18"/>
      <c r="H5" s="17"/>
      <c r="I5" s="17"/>
      <c r="J5" s="17">
        <f>SUM(J6:J12)</f>
        <v>7.3234816565660429E-2</v>
      </c>
      <c r="K5" s="17"/>
      <c r="L5" s="17"/>
      <c r="M5" s="17"/>
      <c r="N5" s="17">
        <f>SUM(N6:N12)</f>
        <v>3010.1130975085089</v>
      </c>
      <c r="O5" s="17">
        <f>B38*B39*B40</f>
        <v>0</v>
      </c>
      <c r="P5" s="17">
        <f>B46*B47*B48/1000-B46*B47*B48/1000/B49</f>
        <v>38.133333333333333</v>
      </c>
      <c r="R5" s="32"/>
    </row>
    <row r="6" spans="1:18">
      <c r="A6" s="32" t="s">
        <v>54</v>
      </c>
      <c r="B6" s="37">
        <f>B26</f>
        <v>4858.7407060000005</v>
      </c>
      <c r="C6" s="33"/>
      <c r="D6" s="37">
        <f>IF(ISERROR(TER_kantoor_gas_kWh/1000),0,TER_kantoor_gas_kWh/1000)*0.902</f>
        <v>6821.361371682</v>
      </c>
      <c r="E6" s="33">
        <f>$C$26*'E Balans VL '!I12/100/3.6*1000000</f>
        <v>3.0452970753365977E-2</v>
      </c>
      <c r="F6" s="33">
        <f>$C$26*('E Balans VL '!L12+'E Balans VL '!N12)/100/3.6*1000000</f>
        <v>730.13296194794452</v>
      </c>
      <c r="G6" s="34"/>
      <c r="H6" s="33"/>
      <c r="I6" s="33"/>
      <c r="J6" s="33">
        <f>$C$26*('E Balans VL '!D12+'E Balans VL '!E12)/100/3.6*1000000</f>
        <v>0</v>
      </c>
      <c r="K6" s="33"/>
      <c r="L6" s="33"/>
      <c r="M6" s="33"/>
      <c r="N6" s="33">
        <f>$C$26*'E Balans VL '!Y12/100/3.6*1000000</f>
        <v>4.6466650979210256</v>
      </c>
      <c r="O6" s="33"/>
      <c r="P6" s="33"/>
      <c r="R6" s="32"/>
    </row>
    <row r="7" spans="1:18">
      <c r="A7" s="32" t="s">
        <v>53</v>
      </c>
      <c r="B7" s="37">
        <f t="shared" ref="B7:B12" si="0">B27</f>
        <v>1364.633</v>
      </c>
      <c r="C7" s="33"/>
      <c r="D7" s="37">
        <f>IF(ISERROR(TER_horeca_gas_kWh/1000),0,TER_horeca_gas_kWh/1000)*0.902</f>
        <v>1619.807992</v>
      </c>
      <c r="E7" s="33">
        <f>$C$27*'E Balans VL '!I9/100/3.6*1000000</f>
        <v>19.541317255534196</v>
      </c>
      <c r="F7" s="33">
        <f>$C$27*('E Balans VL '!L9+'E Balans VL '!N9)/100/3.6*1000000</f>
        <v>172.80754513028631</v>
      </c>
      <c r="G7" s="34"/>
      <c r="H7" s="33"/>
      <c r="I7" s="33"/>
      <c r="J7" s="33">
        <f>$C$27*('E Balans VL '!D9+'E Balans VL '!E9)/100/3.6*1000000</f>
        <v>0</v>
      </c>
      <c r="K7" s="33"/>
      <c r="L7" s="33"/>
      <c r="M7" s="33"/>
      <c r="N7" s="33">
        <f>$C$27*'E Balans VL '!Y9/100/3.6*1000000</f>
        <v>0.39230189992505743</v>
      </c>
      <c r="O7" s="33"/>
      <c r="P7" s="33"/>
      <c r="R7" s="32"/>
    </row>
    <row r="8" spans="1:18">
      <c r="A8" s="6" t="s">
        <v>52</v>
      </c>
      <c r="B8" s="37">
        <f t="shared" si="0"/>
        <v>6539.1287580000007</v>
      </c>
      <c r="C8" s="33"/>
      <c r="D8" s="37">
        <f>IF(ISERROR(TER_handel_gas_kWh/1000),0,TER_handel_gas_kWh/1000)*0.902</f>
        <v>6202.0801944860004</v>
      </c>
      <c r="E8" s="33">
        <f>$C$28*'E Balans VL '!I13/100/3.6*1000000</f>
        <v>237.1733936834282</v>
      </c>
      <c r="F8" s="33">
        <f>$C$28*('E Balans VL '!L13+'E Balans VL '!N13)/100/3.6*1000000</f>
        <v>1259.5024116791587</v>
      </c>
      <c r="G8" s="34"/>
      <c r="H8" s="33"/>
      <c r="I8" s="33"/>
      <c r="J8" s="33">
        <f>$C$28*('E Balans VL '!D13+'E Balans VL '!E13)/100/3.6*1000000</f>
        <v>0</v>
      </c>
      <c r="K8" s="33"/>
      <c r="L8" s="33"/>
      <c r="M8" s="33"/>
      <c r="N8" s="33">
        <f>$C$28*'E Balans VL '!Y13/100/3.6*1000000</f>
        <v>9.058197916254672</v>
      </c>
      <c r="O8" s="33"/>
      <c r="P8" s="33"/>
      <c r="R8" s="32"/>
    </row>
    <row r="9" spans="1:18">
      <c r="A9" s="32" t="s">
        <v>51</v>
      </c>
      <c r="B9" s="37">
        <f t="shared" si="0"/>
        <v>8253.996846</v>
      </c>
      <c r="C9" s="33"/>
      <c r="D9" s="37">
        <f>IF(ISERROR(TER_gezond_gas_kWh/1000),0,TER_gezond_gas_kWh/1000)*0.902</f>
        <v>10715.101633808001</v>
      </c>
      <c r="E9" s="33">
        <f>$C$29*'E Balans VL '!I10/100/3.6*1000000</f>
        <v>0.51678169605580271</v>
      </c>
      <c r="F9" s="33">
        <f>$C$29*('E Balans VL '!L10+'E Balans VL '!N10)/100/3.6*1000000</f>
        <v>1226.1563625003434</v>
      </c>
      <c r="G9" s="34"/>
      <c r="H9" s="33"/>
      <c r="I9" s="33"/>
      <c r="J9" s="33">
        <f>$C$29*('E Balans VL '!D10+'E Balans VL '!E10)/100/3.6*1000000</f>
        <v>0</v>
      </c>
      <c r="K9" s="33"/>
      <c r="L9" s="33"/>
      <c r="M9" s="33"/>
      <c r="N9" s="33">
        <f>$C$29*'E Balans VL '!Y10/100/3.6*1000000</f>
        <v>127.67361965654355</v>
      </c>
      <c r="O9" s="33"/>
      <c r="P9" s="33"/>
      <c r="R9" s="32"/>
    </row>
    <row r="10" spans="1:18">
      <c r="A10" s="32" t="s">
        <v>50</v>
      </c>
      <c r="B10" s="37">
        <f t="shared" si="0"/>
        <v>3373.931</v>
      </c>
      <c r="C10" s="33"/>
      <c r="D10" s="37">
        <f>IF(ISERROR(TER_ander_gas_kWh/1000),0,TER_ander_gas_kWh/1000)*0.902</f>
        <v>1034.994488</v>
      </c>
      <c r="E10" s="33">
        <f>$C$30*'E Balans VL '!I14/100/3.6*1000000</f>
        <v>4.0216051880777837</v>
      </c>
      <c r="F10" s="33">
        <f>$C$30*('E Balans VL '!L14+'E Balans VL '!N14)/100/3.6*1000000</f>
        <v>882.77034279132351</v>
      </c>
      <c r="G10" s="34"/>
      <c r="H10" s="33"/>
      <c r="I10" s="33"/>
      <c r="J10" s="33">
        <f>$C$30*('E Balans VL '!D14+'E Balans VL '!E14)/100/3.6*1000000</f>
        <v>7.3234816565660429E-2</v>
      </c>
      <c r="K10" s="33"/>
      <c r="L10" s="33"/>
      <c r="M10" s="33"/>
      <c r="N10" s="33">
        <f>$C$30*'E Balans VL '!Y14/100/3.6*1000000</f>
        <v>2865.0596462705298</v>
      </c>
      <c r="O10" s="33"/>
      <c r="P10" s="33"/>
      <c r="R10" s="32"/>
    </row>
    <row r="11" spans="1:18">
      <c r="A11" s="32" t="s">
        <v>55</v>
      </c>
      <c r="B11" s="37">
        <f t="shared" si="0"/>
        <v>1166.516697</v>
      </c>
      <c r="C11" s="33"/>
      <c r="D11" s="37">
        <f>IF(ISERROR(TER_onderwijs_gas_kWh/1000),0,TER_onderwijs_gas_kWh/1000)*0.902</f>
        <v>3787.1905794579993</v>
      </c>
      <c r="E11" s="33">
        <f>$C$31*'E Balans VL '!I11/100/3.6*1000000</f>
        <v>17.600858103929848</v>
      </c>
      <c r="F11" s="33">
        <f>$C$31*('E Balans VL '!L11+'E Balans VL '!N11)/100/3.6*1000000</f>
        <v>204.39236097303919</v>
      </c>
      <c r="G11" s="34"/>
      <c r="H11" s="33"/>
      <c r="I11" s="33"/>
      <c r="J11" s="33">
        <f>$C$31*('E Balans VL '!D11+'E Balans VL '!E11)/100/3.6*1000000</f>
        <v>0</v>
      </c>
      <c r="K11" s="33"/>
      <c r="L11" s="33"/>
      <c r="M11" s="33"/>
      <c r="N11" s="33">
        <f>$C$31*'E Balans VL '!Y11/100/3.6*1000000</f>
        <v>3.2826666673344818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25556.947006999999</v>
      </c>
      <c r="C16" s="21">
        <f t="shared" ca="1" si="1"/>
        <v>0</v>
      </c>
      <c r="D16" s="21">
        <f t="shared" ca="1" si="1"/>
        <v>30180.536259434</v>
      </c>
      <c r="E16" s="21">
        <f t="shared" si="1"/>
        <v>278.88440889777922</v>
      </c>
      <c r="F16" s="21">
        <f t="shared" ca="1" si="1"/>
        <v>4475.7619850220963</v>
      </c>
      <c r="G16" s="21">
        <f t="shared" si="1"/>
        <v>0</v>
      </c>
      <c r="H16" s="21">
        <f t="shared" si="1"/>
        <v>0</v>
      </c>
      <c r="I16" s="21">
        <f t="shared" si="1"/>
        <v>0</v>
      </c>
      <c r="J16" s="21">
        <f t="shared" si="1"/>
        <v>7.3234816565660429E-2</v>
      </c>
      <c r="K16" s="21">
        <f t="shared" si="1"/>
        <v>0</v>
      </c>
      <c r="L16" s="21">
        <f t="shared" ca="1" si="1"/>
        <v>0</v>
      </c>
      <c r="M16" s="21">
        <f t="shared" si="1"/>
        <v>0</v>
      </c>
      <c r="N16" s="21">
        <f t="shared" ca="1" si="1"/>
        <v>3010.1130975085089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0.18580020138484454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4748.4859006823999</v>
      </c>
      <c r="C20" s="23">
        <f t="shared" ref="C20:P20" ca="1" si="2">C16*C18</f>
        <v>0</v>
      </c>
      <c r="D20" s="23">
        <f t="shared" ca="1" si="2"/>
        <v>6096.4683244056687</v>
      </c>
      <c r="E20" s="23">
        <f t="shared" si="2"/>
        <v>63.306760819795883</v>
      </c>
      <c r="F20" s="23">
        <f t="shared" ca="1" si="2"/>
        <v>1195.0284500008997</v>
      </c>
      <c r="G20" s="23">
        <f t="shared" si="2"/>
        <v>0</v>
      </c>
      <c r="H20" s="23">
        <f t="shared" si="2"/>
        <v>0</v>
      </c>
      <c r="I20" s="23">
        <f t="shared" si="2"/>
        <v>0</v>
      </c>
      <c r="J20" s="23">
        <f t="shared" si="2"/>
        <v>2.5925125064243791E-2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4858.7407060000005</v>
      </c>
      <c r="C26" s="39">
        <f>IF(ISERROR(B26*3.6/1000000/'E Balans VL '!Z12*100),0,B26*3.6/1000000/'E Balans VL '!Z12*100)</f>
        <v>0.10270608165784674</v>
      </c>
      <c r="D26" s="237" t="s">
        <v>754</v>
      </c>
      <c r="F26" s="6"/>
    </row>
    <row r="27" spans="1:18">
      <c r="A27" s="231" t="s">
        <v>53</v>
      </c>
      <c r="B27" s="33">
        <f>IF(ISERROR(TER_horeca_ele_kWh/1000),0,TER_horeca_ele_kWh/1000)</f>
        <v>1364.633</v>
      </c>
      <c r="C27" s="39">
        <f>IF(ISERROR(B27*3.6/1000000/'E Balans VL '!Z9*100),0,B27*3.6/1000000/'E Balans VL '!Z9*100)</f>
        <v>0.10757351076531468</v>
      </c>
      <c r="D27" s="237" t="s">
        <v>754</v>
      </c>
      <c r="F27" s="6"/>
    </row>
    <row r="28" spans="1:18">
      <c r="A28" s="171" t="s">
        <v>52</v>
      </c>
      <c r="B28" s="33">
        <f>IF(ISERROR(TER_handel_ele_kWh/1000),0,TER_handel_ele_kWh/1000)</f>
        <v>6539.1287580000007</v>
      </c>
      <c r="C28" s="39">
        <f>IF(ISERROR(B28*3.6/1000000/'E Balans VL '!Z13*100),0,B28*3.6/1000000/'E Balans VL '!Z13*100)</f>
        <v>0.18979193759798124</v>
      </c>
      <c r="D28" s="237" t="s">
        <v>754</v>
      </c>
      <c r="F28" s="6"/>
    </row>
    <row r="29" spans="1:18">
      <c r="A29" s="231" t="s">
        <v>51</v>
      </c>
      <c r="B29" s="33">
        <f>IF(ISERROR(TER_gezond_ele_kWh/1000),0,TER_gezond_ele_kWh/1000)</f>
        <v>8253.996846</v>
      </c>
      <c r="C29" s="39">
        <f>IF(ISERROR(B29*3.6/1000000/'E Balans VL '!Z10*100),0,B29*3.6/1000000/'E Balans VL '!Z10*100)</f>
        <v>0.86928140208959026</v>
      </c>
      <c r="D29" s="237" t="s">
        <v>754</v>
      </c>
      <c r="F29" s="6"/>
    </row>
    <row r="30" spans="1:18">
      <c r="A30" s="231" t="s">
        <v>50</v>
      </c>
      <c r="B30" s="33">
        <f>IF(ISERROR(TER_ander_ele_kWh/1000),0,TER_ander_ele_kWh/1000)</f>
        <v>3373.931</v>
      </c>
      <c r="C30" s="39">
        <f>IF(ISERROR(B30*3.6/1000000/'E Balans VL '!Z14*100),0,B30*3.6/1000000/'E Balans VL '!Z14*100)</f>
        <v>0.24886188337416792</v>
      </c>
      <c r="D30" s="237" t="s">
        <v>754</v>
      </c>
      <c r="F30" s="6"/>
    </row>
    <row r="31" spans="1:18">
      <c r="A31" s="231" t="s">
        <v>55</v>
      </c>
      <c r="B31" s="33">
        <f>IF(ISERROR(TER_onderwijs_ele_kWh/1000),0,TER_onderwijs_ele_kWh/1000)</f>
        <v>1166.516697</v>
      </c>
      <c r="C31" s="39">
        <f>IF(ISERROR(B31*3.6/1000000/'E Balans VL '!Z11*100),0,B31*3.6/1000000/'E Balans VL '!Z11*100)</f>
        <v>0.28970073872521807</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67472.260628000004</v>
      </c>
      <c r="C5" s="17">
        <f>IF(ISERROR('Eigen informatie GS &amp; warmtenet'!B59),0,'Eigen informatie GS &amp; warmtenet'!B59)</f>
        <v>0</v>
      </c>
      <c r="D5" s="30">
        <f>SUM(D6:D15)</f>
        <v>107799.71529998</v>
      </c>
      <c r="E5" s="17">
        <f>SUM(E6:E15)</f>
        <v>6346.8340172824492</v>
      </c>
      <c r="F5" s="17">
        <f>SUM(F6:F15)</f>
        <v>20384.524720026391</v>
      </c>
      <c r="G5" s="18"/>
      <c r="H5" s="17"/>
      <c r="I5" s="17"/>
      <c r="J5" s="17">
        <f>SUM(J6:J15)</f>
        <v>12.984362232640493</v>
      </c>
      <c r="K5" s="17"/>
      <c r="L5" s="17"/>
      <c r="M5" s="17"/>
      <c r="N5" s="17">
        <f>SUM(N6:N15)</f>
        <v>24338.656568148504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37324.159884000001</v>
      </c>
      <c r="C8" s="33"/>
      <c r="D8" s="37">
        <f>IF( ISERROR(IND_metaal_Gas_kWH/1000),0,IND_metaal_Gas_kWH/1000)*0.902</f>
        <v>35468.634460907997</v>
      </c>
      <c r="E8" s="33">
        <f>C30*'E Balans VL '!I18/100/3.6*1000000</f>
        <v>343.15960211694642</v>
      </c>
      <c r="F8" s="33">
        <f>C30*'E Balans VL '!L18/100/3.6*1000000+C30*'E Balans VL '!N18/100/3.6*1000000</f>
        <v>3499.7635500502288</v>
      </c>
      <c r="G8" s="34"/>
      <c r="H8" s="33"/>
      <c r="I8" s="33"/>
      <c r="J8" s="40">
        <f>C30*'E Balans VL '!D18/100/3.6*1000000+C30*'E Balans VL '!E18/100/3.6*1000000</f>
        <v>0</v>
      </c>
      <c r="K8" s="33"/>
      <c r="L8" s="33"/>
      <c r="M8" s="33"/>
      <c r="N8" s="33">
        <f>C30*'E Balans VL '!Y18/100/3.6*1000000</f>
        <v>532.49082151691027</v>
      </c>
      <c r="O8" s="33"/>
      <c r="P8" s="33"/>
      <c r="R8" s="32"/>
    </row>
    <row r="9" spans="1:18">
      <c r="A9" s="6" t="s">
        <v>33</v>
      </c>
      <c r="B9" s="37">
        <f t="shared" si="0"/>
        <v>19859.552744000001</v>
      </c>
      <c r="C9" s="33"/>
      <c r="D9" s="37">
        <f>IF( ISERROR(IND_andere_gas_kWh/1000),0,IND_andere_gas_kWh/1000)*0.902</f>
        <v>11492.085902264002</v>
      </c>
      <c r="E9" s="33">
        <f>C31*'E Balans VL '!I19/100/3.6*1000000</f>
        <v>5805.3338869615745</v>
      </c>
      <c r="F9" s="33">
        <f>C31*'E Balans VL '!L19/100/3.6*1000000+C31*'E Balans VL '!N19/100/3.6*1000000</f>
        <v>15958.653859821048</v>
      </c>
      <c r="G9" s="34"/>
      <c r="H9" s="33"/>
      <c r="I9" s="33"/>
      <c r="J9" s="40">
        <f>C31*'E Balans VL '!D19/100/3.6*1000000+C31*'E Balans VL '!E19/100/3.6*1000000</f>
        <v>0</v>
      </c>
      <c r="K9" s="33"/>
      <c r="L9" s="33"/>
      <c r="M9" s="33"/>
      <c r="N9" s="33">
        <f>C31*'E Balans VL '!Y19/100/3.6*1000000</f>
        <v>6561.9042264434547</v>
      </c>
      <c r="O9" s="33"/>
      <c r="P9" s="33"/>
      <c r="R9" s="32"/>
    </row>
    <row r="10" spans="1:18">
      <c r="A10" s="6" t="s">
        <v>41</v>
      </c>
      <c r="B10" s="37">
        <f t="shared" si="0"/>
        <v>241.048</v>
      </c>
      <c r="C10" s="33"/>
      <c r="D10" s="37">
        <f>IF( ISERROR(IND_voed_gas_kWh/1000),0,IND_voed_gas_kWh/1000)*0.902</f>
        <v>376.97105600000003</v>
      </c>
      <c r="E10" s="33">
        <f>C32*'E Balans VL '!I20/100/3.6*1000000</f>
        <v>0.50994078149350652</v>
      </c>
      <c r="F10" s="33">
        <f>C32*'E Balans VL '!L20/100/3.6*1000000+C32*'E Balans VL '!N20/100/3.6*1000000</f>
        <v>15.326078063311616</v>
      </c>
      <c r="G10" s="34"/>
      <c r="H10" s="33"/>
      <c r="I10" s="33"/>
      <c r="J10" s="40">
        <f>C32*'E Balans VL '!D20/100/3.6*1000000+C32*'E Balans VL '!E20/100/3.6*1000000</f>
        <v>0</v>
      </c>
      <c r="K10" s="33"/>
      <c r="L10" s="33"/>
      <c r="M10" s="33"/>
      <c r="N10" s="33">
        <f>C32*'E Balans VL '!Y20/100/3.6*1000000</f>
        <v>16.634690719787027</v>
      </c>
      <c r="O10" s="33"/>
      <c r="P10" s="33"/>
      <c r="R10" s="32"/>
    </row>
    <row r="11" spans="1:18">
      <c r="A11" s="6" t="s">
        <v>40</v>
      </c>
      <c r="B11" s="37">
        <f t="shared" si="0"/>
        <v>1018.14</v>
      </c>
      <c r="C11" s="33"/>
      <c r="D11" s="37">
        <f>IF( ISERROR(IND_textiel_gas_kWh/1000),0,IND_textiel_gas_kWh/1000)*0.902</f>
        <v>3447.8607961600005</v>
      </c>
      <c r="E11" s="33">
        <f>C33*'E Balans VL '!I21/100/3.6*1000000</f>
        <v>3.0237880194568425</v>
      </c>
      <c r="F11" s="33">
        <f>C33*'E Balans VL '!L21/100/3.6*1000000+C33*'E Balans VL '!N21/100/3.6*1000000</f>
        <v>102.86009213428828</v>
      </c>
      <c r="G11" s="34"/>
      <c r="H11" s="33"/>
      <c r="I11" s="33"/>
      <c r="J11" s="40">
        <f>C33*'E Balans VL '!D21/100/3.6*1000000+C33*'E Balans VL '!E21/100/3.6*1000000</f>
        <v>0</v>
      </c>
      <c r="K11" s="33"/>
      <c r="L11" s="33"/>
      <c r="M11" s="33"/>
      <c r="N11" s="33">
        <f>C33*'E Balans VL '!Y21/100/3.6*1000000</f>
        <v>56.153670245417395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5646.3530000000001</v>
      </c>
      <c r="C13" s="33"/>
      <c r="D13" s="37">
        <f>IF( ISERROR(IND_papier_gas_kWh/1000),0,IND_papier_gas_kWh/1000)*0.902</f>
        <v>2176.3477323280003</v>
      </c>
      <c r="E13" s="33">
        <f>C35*'E Balans VL '!I23/100/3.6*1000000</f>
        <v>8.0108835960933202</v>
      </c>
      <c r="F13" s="33">
        <f>C35*'E Balans VL '!L23/100/3.6*1000000+C35*'E Balans VL '!N23/100/3.6*1000000</f>
        <v>137.84870838617852</v>
      </c>
      <c r="G13" s="34"/>
      <c r="H13" s="33"/>
      <c r="I13" s="33"/>
      <c r="J13" s="40">
        <f>C35*'E Balans VL '!D23/100/3.6*1000000+C35*'E Balans VL '!E23/100/3.6*1000000</f>
        <v>0.87326150264233104</v>
      </c>
      <c r="K13" s="33"/>
      <c r="L13" s="33"/>
      <c r="M13" s="33"/>
      <c r="N13" s="33">
        <f>C35*'E Balans VL '!Y23/100/3.6*1000000</f>
        <v>16412.611587439576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3383.0070000000001</v>
      </c>
      <c r="C15" s="33"/>
      <c r="D15" s="37">
        <f>IF( ISERROR(IND_rest_gas_kWh/1000),0,IND_rest_gas_kWh/1000)*0.902</f>
        <v>54837.815352320002</v>
      </c>
      <c r="E15" s="33">
        <f>C37*'E Balans VL '!I15/100/3.6*1000000</f>
        <v>186.79591580688444</v>
      </c>
      <c r="F15" s="33">
        <f>C37*'E Balans VL '!L15/100/3.6*1000000+C37*'E Balans VL '!N15/100/3.6*1000000</f>
        <v>670.07243157133769</v>
      </c>
      <c r="G15" s="34"/>
      <c r="H15" s="33"/>
      <c r="I15" s="33"/>
      <c r="J15" s="40">
        <f>C37*'E Balans VL '!D15/100/3.6*1000000+C37*'E Balans VL '!E15/100/3.6*1000000</f>
        <v>12.111100729998162</v>
      </c>
      <c r="K15" s="33"/>
      <c r="L15" s="33"/>
      <c r="M15" s="33"/>
      <c r="N15" s="33">
        <f>C37*'E Balans VL '!Y15/100/3.6*1000000</f>
        <v>758.8615717833585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67472.260628000004</v>
      </c>
      <c r="C18" s="21">
        <f>C5+C16</f>
        <v>0</v>
      </c>
      <c r="D18" s="21">
        <f>MAX((D5+D16),0)</f>
        <v>107799.71529998</v>
      </c>
      <c r="E18" s="21">
        <f>MAX((E5+E16),0)</f>
        <v>6346.8340172824492</v>
      </c>
      <c r="F18" s="21">
        <f>MAX((F5+F16),0)</f>
        <v>20384.524720026391</v>
      </c>
      <c r="G18" s="21"/>
      <c r="H18" s="21"/>
      <c r="I18" s="21"/>
      <c r="J18" s="21">
        <f>MAX((J5+J16),0)</f>
        <v>12.984362232640493</v>
      </c>
      <c r="K18" s="21"/>
      <c r="L18" s="21">
        <f>MAX((L5+L16),0)</f>
        <v>0</v>
      </c>
      <c r="M18" s="21"/>
      <c r="N18" s="21">
        <f>MAX((N5+N16),0)</f>
        <v>24338.656568148504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0.18580020138484454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12536.359612573118</v>
      </c>
      <c r="C22" s="23">
        <f ca="1">C18*C20</f>
        <v>0</v>
      </c>
      <c r="D22" s="23">
        <f>D18*D20</f>
        <v>21775.542490595963</v>
      </c>
      <c r="E22" s="23">
        <f>E18*E20</f>
        <v>1440.731321923116</v>
      </c>
      <c r="F22" s="23">
        <f>F18*F20</f>
        <v>5442.6681002470468</v>
      </c>
      <c r="G22" s="23"/>
      <c r="H22" s="23"/>
      <c r="I22" s="23"/>
      <c r="J22" s="23">
        <f>J18*J20</f>
        <v>4.5964642303547345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37324.159884000001</v>
      </c>
      <c r="C30" s="39">
        <f>IF(ISERROR(B30*3.6/1000000/'E Balans VL '!Z18*100),0,B30*3.6/1000000/'E Balans VL '!Z18*100)</f>
        <v>2.1152558460318196</v>
      </c>
      <c r="D30" s="237" t="s">
        <v>754</v>
      </c>
    </row>
    <row r="31" spans="1:18">
      <c r="A31" s="6" t="s">
        <v>33</v>
      </c>
      <c r="B31" s="37">
        <f>IF( ISERROR(IND_ander_ele_kWh/1000),0,IND_ander_ele_kWh/1000)</f>
        <v>19859.552744000001</v>
      </c>
      <c r="C31" s="39">
        <f>IF(ISERROR(B31*3.6/1000000/'E Balans VL '!Z19*100),0,B31*3.6/1000000/'E Balans VL '!Z19*100)</f>
        <v>0.90074661872947337</v>
      </c>
      <c r="D31" s="237" t="s">
        <v>754</v>
      </c>
    </row>
    <row r="32" spans="1:18">
      <c r="A32" s="171" t="s">
        <v>41</v>
      </c>
      <c r="B32" s="37">
        <f>IF( ISERROR(IND_voed_ele_kWh/1000),0,IND_voed_ele_kWh/1000)</f>
        <v>241.048</v>
      </c>
      <c r="C32" s="39">
        <f>IF(ISERROR(B32*3.6/1000000/'E Balans VL '!Z20*100),0,B32*3.6/1000000/'E Balans VL '!Z20*100)</f>
        <v>7.4567089055251516E-3</v>
      </c>
      <c r="D32" s="237" t="s">
        <v>754</v>
      </c>
    </row>
    <row r="33" spans="1:5">
      <c r="A33" s="171" t="s">
        <v>40</v>
      </c>
      <c r="B33" s="37">
        <f>IF( ISERROR(IND_textiel_ele_kWh/1000),0,IND_textiel_ele_kWh/1000)</f>
        <v>1018.14</v>
      </c>
      <c r="C33" s="39">
        <f>IF(ISERROR(B33*3.6/1000000/'E Balans VL '!Z21*100),0,B33*3.6/1000000/'E Balans VL '!Z21*100)</f>
        <v>0.13275413879762651</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5646.3530000000001</v>
      </c>
      <c r="C35" s="39">
        <f>IF(ISERROR(B35*3.6/1000000/'E Balans VL '!Z22*100),0,B35*3.6/1000000/'E Balans VL '!Z22*100)</f>
        <v>1.0156027405152681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3383.0070000000001</v>
      </c>
      <c r="C37" s="39">
        <f>IF(ISERROR(B37*3.6/1000000/'E Balans VL '!Z15*100),0,B37*3.6/1000000/'E Balans VL '!Z15*100)</f>
        <v>2.6814485202730609E-2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816.59799999999996</v>
      </c>
      <c r="C5" s="17">
        <f>'Eigen informatie GS &amp; warmtenet'!B60</f>
        <v>0</v>
      </c>
      <c r="D5" s="30">
        <f>IF(ISERROR(SUM(LB_lb_gas_kWh,LB_rest_gas_kWh)/1000),0,SUM(LB_lb_gas_kWh,LB_rest_gas_kWh)/1000)*0.902</f>
        <v>607.72791199999995</v>
      </c>
      <c r="E5" s="17">
        <f>B17*'E Balans VL '!I25/3.6*1000000/100</f>
        <v>24.002309398173782</v>
      </c>
      <c r="F5" s="17">
        <f>B17*('E Balans VL '!L25/3.6*1000000+'E Balans VL '!N25/3.6*1000000)/100</f>
        <v>3401.9031413601847</v>
      </c>
      <c r="G5" s="18"/>
      <c r="H5" s="17"/>
      <c r="I5" s="17"/>
      <c r="J5" s="17">
        <f>('E Balans VL '!D25+'E Balans VL '!E25)/3.6*1000000*landbouw!B17/100</f>
        <v>118.30751355721004</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816.59799999999996</v>
      </c>
      <c r="C8" s="21">
        <f>C5+C6</f>
        <v>62.357142857142847</v>
      </c>
      <c r="D8" s="21">
        <f>MAX((D5+D6),0)</f>
        <v>607.72791199999995</v>
      </c>
      <c r="E8" s="21">
        <f>MAX((E5+E6),0)</f>
        <v>24.002309398173782</v>
      </c>
      <c r="F8" s="21">
        <f>MAX((F5+F6),0)</f>
        <v>3401.9031413601847</v>
      </c>
      <c r="G8" s="21"/>
      <c r="H8" s="21"/>
      <c r="I8" s="21"/>
      <c r="J8" s="21">
        <f>MAX((J5+J6),0)</f>
        <v>118.30751355721004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0.18580020138484454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151.72407285046128</v>
      </c>
      <c r="C12" s="23">
        <f ca="1">C8*C10</f>
        <v>0</v>
      </c>
      <c r="D12" s="23">
        <f>D8*D10</f>
        <v>122.761038224</v>
      </c>
      <c r="E12" s="23">
        <f>E8*E10</f>
        <v>5.4485242333854487</v>
      </c>
      <c r="F12" s="23">
        <f>F8*F10</f>
        <v>908.30813874316937</v>
      </c>
      <c r="G12" s="23"/>
      <c r="H12" s="23"/>
      <c r="I12" s="23"/>
      <c r="J12" s="23">
        <f>J8*J10</f>
        <v>41.880859799252356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0.11587781819809204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234.20545563726967</v>
      </c>
      <c r="C26" s="247">
        <f>B26*'GWP N2O_CH4'!B5</f>
        <v>4918.3145683826633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55.242804545240276</v>
      </c>
      <c r="C27" s="247">
        <f>B27*'GWP N2O_CH4'!B5</f>
        <v>1160.0988954500458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3.7821268853378878</v>
      </c>
      <c r="C28" s="247">
        <f>B28*'GWP N2O_CH4'!B4</f>
        <v>1172.4593344547452</v>
      </c>
      <c r="D28" s="50"/>
    </row>
    <row r="29" spans="1:4">
      <c r="A29" s="41" t="s">
        <v>277</v>
      </c>
      <c r="B29" s="247">
        <f>B34*'ha_N2O bodem landbouw'!B4</f>
        <v>7.4758653895986695</v>
      </c>
      <c r="C29" s="247">
        <f>B29*'GWP N2O_CH4'!B4</f>
        <v>2317.5182707755876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1.7059667189281641E-3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1.5364727819355226E-4</v>
      </c>
      <c r="C5" s="463" t="s">
        <v>211</v>
      </c>
      <c r="D5" s="448">
        <f>SUM(D6:D11)</f>
        <v>5.3411472072222813E-4</v>
      </c>
      <c r="E5" s="448">
        <f>SUM(E6:E11)</f>
        <v>7.127775540846145E-4</v>
      </c>
      <c r="F5" s="461" t="s">
        <v>211</v>
      </c>
      <c r="G5" s="448">
        <f>SUM(G6:G11)</f>
        <v>0.27447573408762604</v>
      </c>
      <c r="H5" s="448">
        <f>SUM(H6:H11)</f>
        <v>6.0240458929767121E-2</v>
      </c>
      <c r="I5" s="463" t="s">
        <v>211</v>
      </c>
      <c r="J5" s="463" t="s">
        <v>211</v>
      </c>
      <c r="K5" s="463" t="s">
        <v>211</v>
      </c>
      <c r="L5" s="463" t="s">
        <v>211</v>
      </c>
      <c r="M5" s="448">
        <f>SUM(M6:M11)</f>
        <v>1.7813465984426308E-2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1.2225308998318281E-4</v>
      </c>
      <c r="C6" s="449"/>
      <c r="D6" s="892">
        <f>vkm_2011_GW_PW*SUMIFS(TableVerdeelsleutelVkm[CNG],TableVerdeelsleutelVkm[Voertuigtype],"Lichte voertuigen")*SUMIFS(TableECFTransport[EnergieConsumptieFactor (PJ per km)],TableECFTransport[Index],CONCATENATE($A6,"_CNG_CNG"))</f>
        <v>3.6668910305834768E-4</v>
      </c>
      <c r="E6" s="892">
        <f>vkm_2011_GW_PW*SUMIFS(TableVerdeelsleutelVkm[LPG],TableVerdeelsleutelVkm[Voertuigtype],"Lichte voertuigen")*SUMIFS(TableECFTransport[EnergieConsumptieFactor (PJ per km)],TableECFTransport[Index],CONCATENATE($A6,"_LPG_LPG"))</f>
        <v>5.0094998707154786E-4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0.12952270275237418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4.1706666151593012E-2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8.7976393289285366E-3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8.2694764868999779E-2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2.5203683965910756E-5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4.8324030626439351E-3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3.1394188210369454E-5</v>
      </c>
      <c r="C8" s="449"/>
      <c r="D8" s="451">
        <f>vkm_2011_NGW_PW*SUMIFS(TableVerdeelsleutelVkm[CNG],TableVerdeelsleutelVkm[Voertuigtype],"Lichte voertuigen")*SUMIFS(TableECFTransport[EnergieConsumptieFactor (PJ per km)],TableECFTransport[Index],CONCATENATE($A8,"_CNG_CNG"))</f>
        <v>1.6742561766388048E-4</v>
      </c>
      <c r="E8" s="451">
        <f>vkm_2011_NGW_PW*SUMIFS(TableVerdeelsleutelVkm[LPG],TableVerdeelsleutelVkm[Voertuigtype],"Lichte voertuigen")*SUMIFS(TableECFTransport[EnergieConsumptieFactor (PJ per km)],TableECFTransport[Index],CONCATENATE($A8,"_LPG_LPG"))</f>
        <v>2.118275670130667E-4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5.1038818383980895E-2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1.8505369968372331E-2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3.5278028070634729E-3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1.1219448082271183E-2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3.2191258358686654E-6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6.5562078579036441E-4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42.679799498208958</v>
      </c>
      <c r="C14" s="21"/>
      <c r="D14" s="21">
        <f t="shared" ref="D14:M14" si="0">((D5)*10^9/3600)+D12</f>
        <v>148.36520020061894</v>
      </c>
      <c r="E14" s="21">
        <f t="shared" si="0"/>
        <v>197.99376502350404</v>
      </c>
      <c r="F14" s="21"/>
      <c r="G14" s="21">
        <f t="shared" si="0"/>
        <v>76243.259468785007</v>
      </c>
      <c r="H14" s="21">
        <f t="shared" si="0"/>
        <v>16733.4608138242</v>
      </c>
      <c r="I14" s="21"/>
      <c r="J14" s="21"/>
      <c r="K14" s="21"/>
      <c r="L14" s="21"/>
      <c r="M14" s="21">
        <f t="shared" si="0"/>
        <v>4948.1849956739743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0.18580020138484454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7.9299153418320119</v>
      </c>
      <c r="C18" s="23"/>
      <c r="D18" s="23">
        <f t="shared" ref="D18:M18" si="1">D14*D16</f>
        <v>29.969770440525028</v>
      </c>
      <c r="E18" s="23">
        <f t="shared" si="1"/>
        <v>44.944584660335416</v>
      </c>
      <c r="F18" s="23"/>
      <c r="G18" s="23">
        <f t="shared" si="1"/>
        <v>20356.950278165597</v>
      </c>
      <c r="H18" s="23">
        <f t="shared" si="1"/>
        <v>4166.6317426422256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7.1243470420183329E-3</v>
      </c>
      <c r="H50" s="321">
        <f t="shared" si="2"/>
        <v>0</v>
      </c>
      <c r="I50" s="321">
        <f t="shared" si="2"/>
        <v>0</v>
      </c>
      <c r="J50" s="321">
        <f t="shared" si="2"/>
        <v>0</v>
      </c>
      <c r="K50" s="321">
        <f t="shared" si="2"/>
        <v>0</v>
      </c>
      <c r="L50" s="321">
        <f t="shared" si="2"/>
        <v>0</v>
      </c>
      <c r="M50" s="321">
        <f t="shared" si="2"/>
        <v>4.046314610124342E-4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7.1243470420183329E-3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4.046314610124342E-4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1978.9852894495368</v>
      </c>
      <c r="H54" s="21">
        <f t="shared" si="3"/>
        <v>0</v>
      </c>
      <c r="I54" s="21">
        <f t="shared" si="3"/>
        <v>0</v>
      </c>
      <c r="J54" s="21">
        <f t="shared" si="3"/>
        <v>0</v>
      </c>
      <c r="K54" s="21">
        <f t="shared" si="3"/>
        <v>0</v>
      </c>
      <c r="L54" s="21">
        <f t="shared" si="3"/>
        <v>0</v>
      </c>
      <c r="M54" s="21">
        <f t="shared" si="3"/>
        <v>112.39762805900951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0.18580020138484454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528.38907228302639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26569.376006999999</v>
      </c>
      <c r="D10" s="1013">
        <f ca="1">tertiair!C16</f>
        <v>0</v>
      </c>
      <c r="E10" s="1013">
        <f ca="1">tertiair!D16</f>
        <v>30180.536259434</v>
      </c>
      <c r="F10" s="1013">
        <f>tertiair!E16</f>
        <v>278.88440889777922</v>
      </c>
      <c r="G10" s="1013">
        <f ca="1">tertiair!F16</f>
        <v>4475.7619850220963</v>
      </c>
      <c r="H10" s="1013">
        <f>tertiair!G16</f>
        <v>0</v>
      </c>
      <c r="I10" s="1013">
        <f>tertiair!H16</f>
        <v>0</v>
      </c>
      <c r="J10" s="1013">
        <f>tertiair!I16</f>
        <v>0</v>
      </c>
      <c r="K10" s="1013">
        <f>tertiair!J16</f>
        <v>7.3234816565660429E-2</v>
      </c>
      <c r="L10" s="1013">
        <f>tertiair!K16</f>
        <v>0</v>
      </c>
      <c r="M10" s="1013">
        <f ca="1">tertiair!L16</f>
        <v>0</v>
      </c>
      <c r="N10" s="1013">
        <f>tertiair!M16</f>
        <v>0</v>
      </c>
      <c r="O10" s="1013">
        <f ca="1">tertiair!N16</f>
        <v>3010.1130975085089</v>
      </c>
      <c r="P10" s="1013">
        <f>tertiair!O16</f>
        <v>0</v>
      </c>
      <c r="Q10" s="1014">
        <f>tertiair!P16</f>
        <v>38.133333333333333</v>
      </c>
      <c r="R10" s="700">
        <f ca="1">SUM(C10:Q10)</f>
        <v>64552.878326012273</v>
      </c>
      <c r="S10" s="67"/>
    </row>
    <row r="11" spans="1:19" s="473" customFormat="1">
      <c r="A11" s="809" t="s">
        <v>225</v>
      </c>
      <c r="B11" s="814"/>
      <c r="C11" s="1013">
        <f>huishoudens!B8</f>
        <v>25614.844511993815</v>
      </c>
      <c r="D11" s="1013">
        <f>huishoudens!C8</f>
        <v>0</v>
      </c>
      <c r="E11" s="1013">
        <f>huishoudens!D8</f>
        <v>65166.281618900095</v>
      </c>
      <c r="F11" s="1013">
        <f>huishoudens!E8</f>
        <v>7489.5094352473552</v>
      </c>
      <c r="G11" s="1013">
        <f>huishoudens!F8</f>
        <v>10992.166507978241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17670.351859744005</v>
      </c>
      <c r="P11" s="1013">
        <f>huishoudens!O8</f>
        <v>337.68</v>
      </c>
      <c r="Q11" s="1014">
        <f>huishoudens!P8</f>
        <v>1792.2666666666667</v>
      </c>
      <c r="R11" s="700">
        <f>SUM(C11:Q11)</f>
        <v>129063.10060053016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67472.260628000004</v>
      </c>
      <c r="D13" s="1013">
        <f>industrie!C18</f>
        <v>0</v>
      </c>
      <c r="E13" s="1013">
        <f>industrie!D18</f>
        <v>107799.71529998</v>
      </c>
      <c r="F13" s="1013">
        <f>industrie!E18</f>
        <v>6346.8340172824492</v>
      </c>
      <c r="G13" s="1013">
        <f>industrie!F18</f>
        <v>20384.524720026391</v>
      </c>
      <c r="H13" s="1013">
        <f>industrie!G18</f>
        <v>0</v>
      </c>
      <c r="I13" s="1013">
        <f>industrie!H18</f>
        <v>0</v>
      </c>
      <c r="J13" s="1013">
        <f>industrie!I18</f>
        <v>0</v>
      </c>
      <c r="K13" s="1013">
        <f>industrie!J18</f>
        <v>12.984362232640493</v>
      </c>
      <c r="L13" s="1013">
        <f>industrie!K18</f>
        <v>0</v>
      </c>
      <c r="M13" s="1013">
        <f>industrie!L18</f>
        <v>0</v>
      </c>
      <c r="N13" s="1013">
        <f>industrie!M18</f>
        <v>0</v>
      </c>
      <c r="O13" s="1013">
        <f>industrie!N18</f>
        <v>24338.656568148504</v>
      </c>
      <c r="P13" s="1013">
        <f>industrie!O18</f>
        <v>0</v>
      </c>
      <c r="Q13" s="1014">
        <f>industrie!P18</f>
        <v>0</v>
      </c>
      <c r="R13" s="700">
        <f>SUM(C13:Q13)</f>
        <v>226354.97559566997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119656.48114699381</v>
      </c>
      <c r="D16" s="732">
        <f t="shared" ref="D16:R16" ca="1" si="0">SUM(D9:D15)</f>
        <v>0</v>
      </c>
      <c r="E16" s="732">
        <f t="shared" ca="1" si="0"/>
        <v>203146.5331783141</v>
      </c>
      <c r="F16" s="732">
        <f t="shared" si="0"/>
        <v>14115.227861427584</v>
      </c>
      <c r="G16" s="732">
        <f t="shared" ca="1" si="0"/>
        <v>35852.453213026733</v>
      </c>
      <c r="H16" s="732">
        <f t="shared" si="0"/>
        <v>0</v>
      </c>
      <c r="I16" s="732">
        <f t="shared" si="0"/>
        <v>0</v>
      </c>
      <c r="J16" s="732">
        <f t="shared" si="0"/>
        <v>0</v>
      </c>
      <c r="K16" s="732">
        <f t="shared" si="0"/>
        <v>13.057597049206153</v>
      </c>
      <c r="L16" s="732">
        <f t="shared" si="0"/>
        <v>0</v>
      </c>
      <c r="M16" s="732">
        <f t="shared" ca="1" si="0"/>
        <v>0</v>
      </c>
      <c r="N16" s="732">
        <f t="shared" si="0"/>
        <v>0</v>
      </c>
      <c r="O16" s="732">
        <f t="shared" ca="1" si="0"/>
        <v>45019.121525401017</v>
      </c>
      <c r="P16" s="732">
        <f t="shared" si="0"/>
        <v>337.68</v>
      </c>
      <c r="Q16" s="732">
        <f t="shared" si="0"/>
        <v>1830.4</v>
      </c>
      <c r="R16" s="732">
        <f t="shared" ca="1" si="0"/>
        <v>419970.95452221239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1978.9852894495368</v>
      </c>
      <c r="I19" s="1013">
        <f>transport!H54</f>
        <v>0</v>
      </c>
      <c r="J19" s="1013">
        <f>transport!I54</f>
        <v>0</v>
      </c>
      <c r="K19" s="1013">
        <f>transport!J54</f>
        <v>0</v>
      </c>
      <c r="L19" s="1013">
        <f>transport!K54</f>
        <v>0</v>
      </c>
      <c r="M19" s="1013">
        <f>transport!L54</f>
        <v>0</v>
      </c>
      <c r="N19" s="1013">
        <f>transport!M54</f>
        <v>112.39762805900951</v>
      </c>
      <c r="O19" s="1013">
        <f>transport!N54</f>
        <v>0</v>
      </c>
      <c r="P19" s="1013">
        <f>transport!O54</f>
        <v>0</v>
      </c>
      <c r="Q19" s="1014">
        <f>transport!P54</f>
        <v>0</v>
      </c>
      <c r="R19" s="700">
        <f>SUM(C19:Q19)</f>
        <v>2091.3829175085461</v>
      </c>
      <c r="S19" s="67"/>
    </row>
    <row r="20" spans="1:19" s="473" customFormat="1">
      <c r="A20" s="809" t="s">
        <v>307</v>
      </c>
      <c r="B20" s="814"/>
      <c r="C20" s="1013">
        <f>transport!B14</f>
        <v>42.679799498208958</v>
      </c>
      <c r="D20" s="1013">
        <f>transport!C14</f>
        <v>0</v>
      </c>
      <c r="E20" s="1013">
        <f>transport!D14</f>
        <v>148.36520020061894</v>
      </c>
      <c r="F20" s="1013">
        <f>transport!E14</f>
        <v>197.99376502350404</v>
      </c>
      <c r="G20" s="1013">
        <f>transport!F14</f>
        <v>0</v>
      </c>
      <c r="H20" s="1013">
        <f>transport!G14</f>
        <v>76243.259468785007</v>
      </c>
      <c r="I20" s="1013">
        <f>transport!H14</f>
        <v>16733.4608138242</v>
      </c>
      <c r="J20" s="1013">
        <f>transport!I14</f>
        <v>0</v>
      </c>
      <c r="K20" s="1013">
        <f>transport!J14</f>
        <v>0</v>
      </c>
      <c r="L20" s="1013">
        <f>transport!K14</f>
        <v>0</v>
      </c>
      <c r="M20" s="1013">
        <f>transport!L14</f>
        <v>0</v>
      </c>
      <c r="N20" s="1013">
        <f>transport!M14</f>
        <v>4948.1849956739743</v>
      </c>
      <c r="O20" s="1013">
        <f>transport!N14</f>
        <v>0</v>
      </c>
      <c r="P20" s="1013">
        <f>transport!O14</f>
        <v>0</v>
      </c>
      <c r="Q20" s="1014">
        <f>transport!P14</f>
        <v>0</v>
      </c>
      <c r="R20" s="700">
        <f>SUM(C20:Q20)</f>
        <v>98313.944043005511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42.679799498208958</v>
      </c>
      <c r="D22" s="812">
        <f t="shared" ref="D22:R22" si="1">SUM(D18:D21)</f>
        <v>0</v>
      </c>
      <c r="E22" s="812">
        <f t="shared" si="1"/>
        <v>148.36520020061894</v>
      </c>
      <c r="F22" s="812">
        <f t="shared" si="1"/>
        <v>197.99376502350404</v>
      </c>
      <c r="G22" s="812">
        <f t="shared" si="1"/>
        <v>0</v>
      </c>
      <c r="H22" s="812">
        <f t="shared" si="1"/>
        <v>78222.244758234548</v>
      </c>
      <c r="I22" s="812">
        <f t="shared" si="1"/>
        <v>16733.4608138242</v>
      </c>
      <c r="J22" s="812">
        <f t="shared" si="1"/>
        <v>0</v>
      </c>
      <c r="K22" s="812">
        <f t="shared" si="1"/>
        <v>0</v>
      </c>
      <c r="L22" s="812">
        <f t="shared" si="1"/>
        <v>0</v>
      </c>
      <c r="M22" s="812">
        <f t="shared" si="1"/>
        <v>0</v>
      </c>
      <c r="N22" s="812">
        <f t="shared" si="1"/>
        <v>5060.5826237329838</v>
      </c>
      <c r="O22" s="812">
        <f t="shared" si="1"/>
        <v>0</v>
      </c>
      <c r="P22" s="812">
        <f t="shared" si="1"/>
        <v>0</v>
      </c>
      <c r="Q22" s="812">
        <f t="shared" si="1"/>
        <v>0</v>
      </c>
      <c r="R22" s="812">
        <f t="shared" si="1"/>
        <v>100405.32696051405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816.59799999999996</v>
      </c>
      <c r="D24" s="1013">
        <f>+landbouw!C8</f>
        <v>62.357142857142847</v>
      </c>
      <c r="E24" s="1013">
        <f>+landbouw!D8</f>
        <v>607.72791199999995</v>
      </c>
      <c r="F24" s="1013">
        <f>+landbouw!E8</f>
        <v>24.002309398173782</v>
      </c>
      <c r="G24" s="1013">
        <f>+landbouw!F8</f>
        <v>3401.9031413601847</v>
      </c>
      <c r="H24" s="1013">
        <f>+landbouw!G8</f>
        <v>0</v>
      </c>
      <c r="I24" s="1013">
        <f>+landbouw!H8</f>
        <v>0</v>
      </c>
      <c r="J24" s="1013">
        <f>+landbouw!I8</f>
        <v>0</v>
      </c>
      <c r="K24" s="1013">
        <f>+landbouw!J8</f>
        <v>118.30751355721004</v>
      </c>
      <c r="L24" s="1013">
        <f>+landbouw!K8</f>
        <v>0</v>
      </c>
      <c r="M24" s="1013">
        <f>+landbouw!L8</f>
        <v>0</v>
      </c>
      <c r="N24" s="1013">
        <f>+landbouw!M8</f>
        <v>0</v>
      </c>
      <c r="O24" s="1013">
        <f>+landbouw!N8</f>
        <v>0</v>
      </c>
      <c r="P24" s="1013">
        <f>+landbouw!O8</f>
        <v>0</v>
      </c>
      <c r="Q24" s="1014">
        <f>+landbouw!P8</f>
        <v>0</v>
      </c>
      <c r="R24" s="700">
        <f>SUM(C24:Q24)</f>
        <v>5030.896019172711</v>
      </c>
      <c r="S24" s="67"/>
    </row>
    <row r="25" spans="1:19" s="473" customFormat="1" ht="15" thickBot="1">
      <c r="A25" s="831" t="s">
        <v>836</v>
      </c>
      <c r="B25" s="1016"/>
      <c r="C25" s="1017">
        <f>IF(Onbekend_ele_kWh="---",0,Onbekend_ele_kWh)/1000+IF(REST_rest_ele_kWh="---",0,REST_rest_ele_kWh)/1000</f>
        <v>294.76355000000001</v>
      </c>
      <c r="D25" s="1017"/>
      <c r="E25" s="1017">
        <f>IF(onbekend_gas_kWh="---",0,onbekend_gas_kWh)/1000+IF(REST_rest_gas_kWh="---",0,REST_rest_gas_kWh)/1000</f>
        <v>803.50840000000005</v>
      </c>
      <c r="F25" s="1017"/>
      <c r="G25" s="1017"/>
      <c r="H25" s="1017"/>
      <c r="I25" s="1017"/>
      <c r="J25" s="1017"/>
      <c r="K25" s="1017"/>
      <c r="L25" s="1017"/>
      <c r="M25" s="1017"/>
      <c r="N25" s="1017"/>
      <c r="O25" s="1017"/>
      <c r="P25" s="1017"/>
      <c r="Q25" s="1018"/>
      <c r="R25" s="700">
        <f>SUM(C25:Q25)</f>
        <v>1098.2719500000001</v>
      </c>
      <c r="S25" s="67"/>
    </row>
    <row r="26" spans="1:19" s="473" customFormat="1" ht="15.75" thickBot="1">
      <c r="A26" s="705" t="s">
        <v>837</v>
      </c>
      <c r="B26" s="817"/>
      <c r="C26" s="812">
        <f>SUM(C24:C25)</f>
        <v>1111.3615500000001</v>
      </c>
      <c r="D26" s="812">
        <f t="shared" ref="D26:R26" si="2">SUM(D24:D25)</f>
        <v>62.357142857142847</v>
      </c>
      <c r="E26" s="812">
        <f t="shared" si="2"/>
        <v>1411.236312</v>
      </c>
      <c r="F26" s="812">
        <f t="shared" si="2"/>
        <v>24.002309398173782</v>
      </c>
      <c r="G26" s="812">
        <f t="shared" si="2"/>
        <v>3401.9031413601847</v>
      </c>
      <c r="H26" s="812">
        <f t="shared" si="2"/>
        <v>0</v>
      </c>
      <c r="I26" s="812">
        <f t="shared" si="2"/>
        <v>0</v>
      </c>
      <c r="J26" s="812">
        <f t="shared" si="2"/>
        <v>0</v>
      </c>
      <c r="K26" s="812">
        <f t="shared" si="2"/>
        <v>118.30751355721004</v>
      </c>
      <c r="L26" s="812">
        <f t="shared" si="2"/>
        <v>0</v>
      </c>
      <c r="M26" s="812">
        <f t="shared" si="2"/>
        <v>0</v>
      </c>
      <c r="N26" s="812">
        <f t="shared" si="2"/>
        <v>0</v>
      </c>
      <c r="O26" s="812">
        <f t="shared" si="2"/>
        <v>0</v>
      </c>
      <c r="P26" s="812">
        <f t="shared" si="2"/>
        <v>0</v>
      </c>
      <c r="Q26" s="812">
        <f t="shared" si="2"/>
        <v>0</v>
      </c>
      <c r="R26" s="812">
        <f t="shared" si="2"/>
        <v>6129.1679691727113</v>
      </c>
      <c r="S26" s="67"/>
    </row>
    <row r="27" spans="1:19" s="473" customFormat="1" ht="17.25" thickTop="1" thickBot="1">
      <c r="A27" s="706" t="s">
        <v>116</v>
      </c>
      <c r="B27" s="805"/>
      <c r="C27" s="707">
        <f ca="1">C22+C16+C26</f>
        <v>120810.52249649202</v>
      </c>
      <c r="D27" s="707">
        <f t="shared" ref="D27:R27" ca="1" si="3">D22+D16+D26</f>
        <v>62.357142857142847</v>
      </c>
      <c r="E27" s="707">
        <f t="shared" ca="1" si="3"/>
        <v>204706.13469051471</v>
      </c>
      <c r="F27" s="707">
        <f t="shared" si="3"/>
        <v>14337.223935849262</v>
      </c>
      <c r="G27" s="707">
        <f t="shared" ca="1" si="3"/>
        <v>39254.356354386917</v>
      </c>
      <c r="H27" s="707">
        <f t="shared" si="3"/>
        <v>78222.244758234548</v>
      </c>
      <c r="I27" s="707">
        <f t="shared" si="3"/>
        <v>16733.4608138242</v>
      </c>
      <c r="J27" s="707">
        <f t="shared" si="3"/>
        <v>0</v>
      </c>
      <c r="K27" s="707">
        <f t="shared" si="3"/>
        <v>131.36511060641621</v>
      </c>
      <c r="L27" s="707">
        <f t="shared" si="3"/>
        <v>0</v>
      </c>
      <c r="M27" s="707">
        <f t="shared" ca="1" si="3"/>
        <v>0</v>
      </c>
      <c r="N27" s="707">
        <f t="shared" si="3"/>
        <v>5060.5826237329838</v>
      </c>
      <c r="O27" s="707">
        <f t="shared" ca="1" si="3"/>
        <v>45019.121525401017</v>
      </c>
      <c r="P27" s="707">
        <f t="shared" si="3"/>
        <v>337.68</v>
      </c>
      <c r="Q27" s="707">
        <f t="shared" si="3"/>
        <v>1830.4</v>
      </c>
      <c r="R27" s="707">
        <f t="shared" ca="1" si="3"/>
        <v>526505.44945189916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4936.5954127702571</v>
      </c>
      <c r="D40" s="1013">
        <f ca="1">tertiair!C20</f>
        <v>0</v>
      </c>
      <c r="E40" s="1013">
        <f ca="1">tertiair!D20</f>
        <v>6096.4683244056687</v>
      </c>
      <c r="F40" s="1013">
        <f>tertiair!E20</f>
        <v>63.306760819795883</v>
      </c>
      <c r="G40" s="1013">
        <f ca="1">tertiair!F20</f>
        <v>1195.0284500008997</v>
      </c>
      <c r="H40" s="1013">
        <f>tertiair!G20</f>
        <v>0</v>
      </c>
      <c r="I40" s="1013">
        <f>tertiair!H20</f>
        <v>0</v>
      </c>
      <c r="J40" s="1013">
        <f>tertiair!I20</f>
        <v>0</v>
      </c>
      <c r="K40" s="1013">
        <f>tertiair!J20</f>
        <v>2.5925125064243791E-2</v>
      </c>
      <c r="L40" s="1013">
        <f>tertiair!K20</f>
        <v>0</v>
      </c>
      <c r="M40" s="1013">
        <f ca="1">tertiair!L20</f>
        <v>0</v>
      </c>
      <c r="N40" s="1013">
        <f>tertiair!M20</f>
        <v>0</v>
      </c>
      <c r="O40" s="1013">
        <f ca="1">tertiair!N20</f>
        <v>0</v>
      </c>
      <c r="P40" s="1013">
        <f>tertiair!O20</f>
        <v>0</v>
      </c>
      <c r="Q40" s="774">
        <f>tertiair!P20</f>
        <v>0</v>
      </c>
      <c r="R40" s="850">
        <f t="shared" ca="1" si="4"/>
        <v>12291.424873121687</v>
      </c>
    </row>
    <row r="41" spans="1:18">
      <c r="A41" s="822" t="s">
        <v>225</v>
      </c>
      <c r="B41" s="829"/>
      <c r="C41" s="1013">
        <f ca="1">huishoudens!B12</f>
        <v>4759.2432687699311</v>
      </c>
      <c r="D41" s="1013">
        <f ca="1">huishoudens!C12</f>
        <v>0</v>
      </c>
      <c r="E41" s="1013">
        <f>huishoudens!D12</f>
        <v>13163.588887017821</v>
      </c>
      <c r="F41" s="1013">
        <f>huishoudens!E12</f>
        <v>1700.1186418011496</v>
      </c>
      <c r="G41" s="1013">
        <f>huishoudens!F12</f>
        <v>2934.9084576301907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22557.859255219089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12536.359612573118</v>
      </c>
      <c r="D43" s="1013">
        <f ca="1">industrie!C22</f>
        <v>0</v>
      </c>
      <c r="E43" s="1013">
        <f>industrie!D22</f>
        <v>21775.542490595963</v>
      </c>
      <c r="F43" s="1013">
        <f>industrie!E22</f>
        <v>1440.731321923116</v>
      </c>
      <c r="G43" s="1013">
        <f>industrie!F22</f>
        <v>5442.6681002470468</v>
      </c>
      <c r="H43" s="1013">
        <f>industrie!G22</f>
        <v>0</v>
      </c>
      <c r="I43" s="1013">
        <f>industrie!H22</f>
        <v>0</v>
      </c>
      <c r="J43" s="1013">
        <f>industrie!I22</f>
        <v>0</v>
      </c>
      <c r="K43" s="1013">
        <f>industrie!J22</f>
        <v>4.5964642303547345</v>
      </c>
      <c r="L43" s="1013">
        <f>industrie!K22</f>
        <v>0</v>
      </c>
      <c r="M43" s="1013">
        <f>industrie!L22</f>
        <v>0</v>
      </c>
      <c r="N43" s="1013">
        <f>industrie!M22</f>
        <v>0</v>
      </c>
      <c r="O43" s="1013">
        <f>industrie!N22</f>
        <v>0</v>
      </c>
      <c r="P43" s="1013">
        <f>industrie!O22</f>
        <v>0</v>
      </c>
      <c r="Q43" s="774">
        <f>industrie!P22</f>
        <v>0</v>
      </c>
      <c r="R43" s="849">
        <f t="shared" ca="1" si="4"/>
        <v>41199.897989569588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22232.198294113306</v>
      </c>
      <c r="D46" s="732">
        <f t="shared" ref="D46:Q46" ca="1" si="5">SUM(D39:D45)</f>
        <v>0</v>
      </c>
      <c r="E46" s="732">
        <f t="shared" ca="1" si="5"/>
        <v>41035.599702019448</v>
      </c>
      <c r="F46" s="732">
        <f t="shared" si="5"/>
        <v>3204.1567245440615</v>
      </c>
      <c r="G46" s="732">
        <f t="shared" ca="1" si="5"/>
        <v>9572.6050078781373</v>
      </c>
      <c r="H46" s="732">
        <f t="shared" si="5"/>
        <v>0</v>
      </c>
      <c r="I46" s="732">
        <f t="shared" si="5"/>
        <v>0</v>
      </c>
      <c r="J46" s="732">
        <f t="shared" si="5"/>
        <v>0</v>
      </c>
      <c r="K46" s="732">
        <f t="shared" si="5"/>
        <v>4.6223893554189779</v>
      </c>
      <c r="L46" s="732">
        <f t="shared" si="5"/>
        <v>0</v>
      </c>
      <c r="M46" s="732">
        <f t="shared" ca="1" si="5"/>
        <v>0</v>
      </c>
      <c r="N46" s="732">
        <f t="shared" si="5"/>
        <v>0</v>
      </c>
      <c r="O46" s="732">
        <f t="shared" ca="1" si="5"/>
        <v>0</v>
      </c>
      <c r="P46" s="732">
        <f t="shared" si="5"/>
        <v>0</v>
      </c>
      <c r="Q46" s="732">
        <f t="shared" si="5"/>
        <v>0</v>
      </c>
      <c r="R46" s="732">
        <f ca="1">SUM(R39:R45)</f>
        <v>76049.182117910357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528.38907228302639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528.38907228302639</v>
      </c>
    </row>
    <row r="50" spans="1:18">
      <c r="A50" s="825" t="s">
        <v>307</v>
      </c>
      <c r="B50" s="835"/>
      <c r="C50" s="703">
        <f ca="1">transport!B18</f>
        <v>7.9299153418320119</v>
      </c>
      <c r="D50" s="703">
        <f>transport!C18</f>
        <v>0</v>
      </c>
      <c r="E50" s="703">
        <f>transport!D18</f>
        <v>29.969770440525028</v>
      </c>
      <c r="F50" s="703">
        <f>transport!E18</f>
        <v>44.944584660335416</v>
      </c>
      <c r="G50" s="703">
        <f>transport!F18</f>
        <v>0</v>
      </c>
      <c r="H50" s="703">
        <f>transport!G18</f>
        <v>20356.950278165597</v>
      </c>
      <c r="I50" s="703">
        <f>transport!H18</f>
        <v>4166.6317426422256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24606.426291250515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7.9299153418320119</v>
      </c>
      <c r="D52" s="732">
        <f t="shared" ref="D52:Q52" ca="1" si="6">SUM(D48:D51)</f>
        <v>0</v>
      </c>
      <c r="E52" s="732">
        <f t="shared" si="6"/>
        <v>29.969770440525028</v>
      </c>
      <c r="F52" s="732">
        <f t="shared" si="6"/>
        <v>44.944584660335416</v>
      </c>
      <c r="G52" s="732">
        <f t="shared" si="6"/>
        <v>0</v>
      </c>
      <c r="H52" s="732">
        <f t="shared" si="6"/>
        <v>20885.339350448623</v>
      </c>
      <c r="I52" s="732">
        <f t="shared" si="6"/>
        <v>4166.6317426422256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25134.81536353354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151.72407285046128</v>
      </c>
      <c r="D54" s="703">
        <f ca="1">+landbouw!C12</f>
        <v>0</v>
      </c>
      <c r="E54" s="703">
        <f>+landbouw!D12</f>
        <v>122.761038224</v>
      </c>
      <c r="F54" s="703">
        <f>+landbouw!E12</f>
        <v>5.4485242333854487</v>
      </c>
      <c r="G54" s="703">
        <f>+landbouw!F12</f>
        <v>908.30813874316937</v>
      </c>
      <c r="H54" s="703">
        <f>+landbouw!G12</f>
        <v>0</v>
      </c>
      <c r="I54" s="703">
        <f>+landbouw!H12</f>
        <v>0</v>
      </c>
      <c r="J54" s="703">
        <f>+landbouw!I12</f>
        <v>0</v>
      </c>
      <c r="K54" s="703">
        <f>+landbouw!J12</f>
        <v>41.880859799252356</v>
      </c>
      <c r="L54" s="703">
        <f>+landbouw!K12</f>
        <v>0</v>
      </c>
      <c r="M54" s="703">
        <f>+landbouw!L12</f>
        <v>0</v>
      </c>
      <c r="N54" s="703">
        <f>+landbouw!M12</f>
        <v>0</v>
      </c>
      <c r="O54" s="703">
        <f>+landbouw!N12</f>
        <v>0</v>
      </c>
      <c r="P54" s="703">
        <f>+landbouw!O12</f>
        <v>0</v>
      </c>
      <c r="Q54" s="704">
        <f>+landbouw!P12</f>
        <v>0</v>
      </c>
      <c r="R54" s="731">
        <f ca="1">SUM(C54:Q54)</f>
        <v>1230.1226338502686</v>
      </c>
    </row>
    <row r="55" spans="1:18" ht="15" thickBot="1">
      <c r="A55" s="825" t="s">
        <v>836</v>
      </c>
      <c r="B55" s="835"/>
      <c r="C55" s="703">
        <f ca="1">C25*'EF ele_warmte'!B12</f>
        <v>54.767126950911695</v>
      </c>
      <c r="D55" s="703"/>
      <c r="E55" s="703">
        <f>E25*EF_CO2_aardgas</f>
        <v>162.30869680000001</v>
      </c>
      <c r="F55" s="703"/>
      <c r="G55" s="703"/>
      <c r="H55" s="703"/>
      <c r="I55" s="703"/>
      <c r="J55" s="703"/>
      <c r="K55" s="703"/>
      <c r="L55" s="703"/>
      <c r="M55" s="703"/>
      <c r="N55" s="703"/>
      <c r="O55" s="703"/>
      <c r="P55" s="703"/>
      <c r="Q55" s="704"/>
      <c r="R55" s="731">
        <f ca="1">SUM(C55:Q55)</f>
        <v>217.0758237509117</v>
      </c>
    </row>
    <row r="56" spans="1:18" ht="15.75" thickBot="1">
      <c r="A56" s="823" t="s">
        <v>837</v>
      </c>
      <c r="B56" s="836"/>
      <c r="C56" s="732">
        <f ca="1">SUM(C54:C55)</f>
        <v>206.49119980137297</v>
      </c>
      <c r="D56" s="732">
        <f t="shared" ref="D56:Q56" ca="1" si="7">SUM(D54:D55)</f>
        <v>0</v>
      </c>
      <c r="E56" s="732">
        <f t="shared" si="7"/>
        <v>285.06973502400001</v>
      </c>
      <c r="F56" s="732">
        <f t="shared" si="7"/>
        <v>5.4485242333854487</v>
      </c>
      <c r="G56" s="732">
        <f t="shared" si="7"/>
        <v>908.30813874316937</v>
      </c>
      <c r="H56" s="732">
        <f t="shared" si="7"/>
        <v>0</v>
      </c>
      <c r="I56" s="732">
        <f t="shared" si="7"/>
        <v>0</v>
      </c>
      <c r="J56" s="732">
        <f t="shared" si="7"/>
        <v>0</v>
      </c>
      <c r="K56" s="732">
        <f t="shared" si="7"/>
        <v>41.880859799252356</v>
      </c>
      <c r="L56" s="732">
        <f t="shared" si="7"/>
        <v>0</v>
      </c>
      <c r="M56" s="732">
        <f t="shared" si="7"/>
        <v>0</v>
      </c>
      <c r="N56" s="732">
        <f t="shared" si="7"/>
        <v>0</v>
      </c>
      <c r="O56" s="732">
        <f t="shared" si="7"/>
        <v>0</v>
      </c>
      <c r="P56" s="732">
        <f t="shared" si="7"/>
        <v>0</v>
      </c>
      <c r="Q56" s="733">
        <f t="shared" si="7"/>
        <v>0</v>
      </c>
      <c r="R56" s="734">
        <f ca="1">SUM(R54:R55)</f>
        <v>1447.1984576011803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22446.619409256513</v>
      </c>
      <c r="D61" s="740">
        <f t="shared" ref="D61:Q61" ca="1" si="8">D46+D52+D56</f>
        <v>0</v>
      </c>
      <c r="E61" s="740">
        <f t="shared" ca="1" si="8"/>
        <v>41350.639207483975</v>
      </c>
      <c r="F61" s="740">
        <f t="shared" si="8"/>
        <v>3254.5498334377821</v>
      </c>
      <c r="G61" s="740">
        <f t="shared" ca="1" si="8"/>
        <v>10480.913146621308</v>
      </c>
      <c r="H61" s="740">
        <f t="shared" si="8"/>
        <v>20885.339350448623</v>
      </c>
      <c r="I61" s="740">
        <f t="shared" si="8"/>
        <v>4166.6317426422256</v>
      </c>
      <c r="J61" s="740">
        <f t="shared" si="8"/>
        <v>0</v>
      </c>
      <c r="K61" s="740">
        <f t="shared" si="8"/>
        <v>46.503249154671337</v>
      </c>
      <c r="L61" s="740">
        <f t="shared" si="8"/>
        <v>0</v>
      </c>
      <c r="M61" s="740">
        <f t="shared" ca="1" si="8"/>
        <v>0</v>
      </c>
      <c r="N61" s="740">
        <f t="shared" si="8"/>
        <v>0</v>
      </c>
      <c r="O61" s="740">
        <f t="shared" ca="1" si="8"/>
        <v>0</v>
      </c>
      <c r="P61" s="740">
        <f t="shared" si="8"/>
        <v>0</v>
      </c>
      <c r="Q61" s="740">
        <f t="shared" si="8"/>
        <v>0</v>
      </c>
      <c r="R61" s="740">
        <f ca="1">R46+R52+R56</f>
        <v>102631.19593904506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0.18580020138484457</v>
      </c>
      <c r="D63" s="781">
        <f t="shared" ca="1" si="9"/>
        <v>0</v>
      </c>
      <c r="E63" s="1024">
        <f t="shared" ca="1" si="9"/>
        <v>0.20200000000000001</v>
      </c>
      <c r="F63" s="781">
        <f t="shared" si="9"/>
        <v>0.22699999999999998</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19198.458879946727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19242.108879946729</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19198.458879946727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19242.108879946729</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72029</v>
      </c>
      <c r="C28" s="796">
        <v>3900</v>
      </c>
      <c r="D28" s="653" t="s">
        <v>881</v>
      </c>
      <c r="E28" s="652" t="s">
        <v>882</v>
      </c>
      <c r="F28" s="652" t="s">
        <v>883</v>
      </c>
      <c r="G28" s="652" t="s">
        <v>884</v>
      </c>
      <c r="H28" s="652" t="s">
        <v>885</v>
      </c>
      <c r="I28" s="652" t="s">
        <v>882</v>
      </c>
      <c r="J28" s="795">
        <v>41094</v>
      </c>
      <c r="K28" s="795">
        <v>41244</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25614.844511993815</v>
      </c>
      <c r="C4" s="477">
        <f>huishoudens!C8</f>
        <v>0</v>
      </c>
      <c r="D4" s="477">
        <f>huishoudens!D8</f>
        <v>65166.281618900095</v>
      </c>
      <c r="E4" s="477">
        <f>huishoudens!E8</f>
        <v>7489.5094352473552</v>
      </c>
      <c r="F4" s="477">
        <f>huishoudens!F8</f>
        <v>10992.166507978241</v>
      </c>
      <c r="G4" s="477">
        <f>huishoudens!G8</f>
        <v>0</v>
      </c>
      <c r="H4" s="477">
        <f>huishoudens!H8</f>
        <v>0</v>
      </c>
      <c r="I4" s="477">
        <f>huishoudens!I8</f>
        <v>0</v>
      </c>
      <c r="J4" s="477">
        <f>huishoudens!J8</f>
        <v>0</v>
      </c>
      <c r="K4" s="477">
        <f>huishoudens!K8</f>
        <v>0</v>
      </c>
      <c r="L4" s="477">
        <f>huishoudens!L8</f>
        <v>0</v>
      </c>
      <c r="M4" s="477">
        <f>huishoudens!M8</f>
        <v>0</v>
      </c>
      <c r="N4" s="477">
        <f>huishoudens!N8</f>
        <v>17670.351859744005</v>
      </c>
      <c r="O4" s="477">
        <f>huishoudens!O8</f>
        <v>337.68</v>
      </c>
      <c r="P4" s="478">
        <f>huishoudens!P8</f>
        <v>1792.2666666666667</v>
      </c>
      <c r="Q4" s="479">
        <f>SUM(B4:P4)</f>
        <v>129063.10060053016</v>
      </c>
    </row>
    <row r="5" spans="1:17">
      <c r="A5" s="476" t="s">
        <v>156</v>
      </c>
      <c r="B5" s="477">
        <f ca="1">tertiair!B16</f>
        <v>25556.947006999999</v>
      </c>
      <c r="C5" s="477">
        <f ca="1">tertiair!C16</f>
        <v>0</v>
      </c>
      <c r="D5" s="477">
        <f ca="1">tertiair!D16</f>
        <v>30180.536259434</v>
      </c>
      <c r="E5" s="477">
        <f>tertiair!E16</f>
        <v>278.88440889777922</v>
      </c>
      <c r="F5" s="477">
        <f ca="1">tertiair!F16</f>
        <v>4475.7619850220963</v>
      </c>
      <c r="G5" s="477">
        <f>tertiair!G16</f>
        <v>0</v>
      </c>
      <c r="H5" s="477">
        <f>tertiair!H16</f>
        <v>0</v>
      </c>
      <c r="I5" s="477">
        <f>tertiair!I16</f>
        <v>0</v>
      </c>
      <c r="J5" s="477">
        <f>tertiair!J16</f>
        <v>7.3234816565660429E-2</v>
      </c>
      <c r="K5" s="477">
        <f>tertiair!K16</f>
        <v>0</v>
      </c>
      <c r="L5" s="477">
        <f ca="1">tertiair!L16</f>
        <v>0</v>
      </c>
      <c r="M5" s="477">
        <f>tertiair!M16</f>
        <v>0</v>
      </c>
      <c r="N5" s="477">
        <f ca="1">tertiair!N16</f>
        <v>3010.1130975085089</v>
      </c>
      <c r="O5" s="477">
        <f>tertiair!O16</f>
        <v>0</v>
      </c>
      <c r="P5" s="478">
        <f>tertiair!P16</f>
        <v>38.133333333333333</v>
      </c>
      <c r="Q5" s="476">
        <f t="shared" ref="Q5:Q14" ca="1" si="0">SUM(B5:P5)</f>
        <v>63540.449326012276</v>
      </c>
    </row>
    <row r="6" spans="1:17">
      <c r="A6" s="476" t="s">
        <v>194</v>
      </c>
      <c r="B6" s="477">
        <f>'openbare verlichting'!B8</f>
        <v>1012.429</v>
      </c>
      <c r="C6" s="477"/>
      <c r="D6" s="477"/>
      <c r="E6" s="477"/>
      <c r="F6" s="477"/>
      <c r="G6" s="477"/>
      <c r="H6" s="477"/>
      <c r="I6" s="477"/>
      <c r="J6" s="477"/>
      <c r="K6" s="477"/>
      <c r="L6" s="477"/>
      <c r="M6" s="477"/>
      <c r="N6" s="477"/>
      <c r="O6" s="477"/>
      <c r="P6" s="478"/>
      <c r="Q6" s="476">
        <f t="shared" si="0"/>
        <v>1012.429</v>
      </c>
    </row>
    <row r="7" spans="1:17">
      <c r="A7" s="476" t="s">
        <v>112</v>
      </c>
      <c r="B7" s="477">
        <f>landbouw!B8</f>
        <v>816.59799999999996</v>
      </c>
      <c r="C7" s="477">
        <f>landbouw!C8</f>
        <v>62.357142857142847</v>
      </c>
      <c r="D7" s="477">
        <f>landbouw!D8</f>
        <v>607.72791199999995</v>
      </c>
      <c r="E7" s="477">
        <f>landbouw!E8</f>
        <v>24.002309398173782</v>
      </c>
      <c r="F7" s="477">
        <f>landbouw!F8</f>
        <v>3401.9031413601847</v>
      </c>
      <c r="G7" s="477">
        <f>landbouw!G8</f>
        <v>0</v>
      </c>
      <c r="H7" s="477">
        <f>landbouw!H8</f>
        <v>0</v>
      </c>
      <c r="I7" s="477">
        <f>landbouw!I8</f>
        <v>0</v>
      </c>
      <c r="J7" s="477">
        <f>landbouw!J8</f>
        <v>118.30751355721004</v>
      </c>
      <c r="K7" s="477">
        <f>landbouw!K8</f>
        <v>0</v>
      </c>
      <c r="L7" s="477">
        <f>landbouw!L8</f>
        <v>0</v>
      </c>
      <c r="M7" s="477">
        <f>landbouw!M8</f>
        <v>0</v>
      </c>
      <c r="N7" s="477">
        <f>landbouw!N8</f>
        <v>0</v>
      </c>
      <c r="O7" s="477">
        <f>landbouw!O8</f>
        <v>0</v>
      </c>
      <c r="P7" s="478">
        <f>landbouw!P8</f>
        <v>0</v>
      </c>
      <c r="Q7" s="476">
        <f t="shared" si="0"/>
        <v>5030.896019172711</v>
      </c>
    </row>
    <row r="8" spans="1:17">
      <c r="A8" s="476" t="s">
        <v>635</v>
      </c>
      <c r="B8" s="477">
        <f>industrie!B18</f>
        <v>67472.260628000004</v>
      </c>
      <c r="C8" s="477">
        <f>industrie!C18</f>
        <v>0</v>
      </c>
      <c r="D8" s="477">
        <f>industrie!D18</f>
        <v>107799.71529998</v>
      </c>
      <c r="E8" s="477">
        <f>industrie!E18</f>
        <v>6346.8340172824492</v>
      </c>
      <c r="F8" s="477">
        <f>industrie!F18</f>
        <v>20384.524720026391</v>
      </c>
      <c r="G8" s="477">
        <f>industrie!G18</f>
        <v>0</v>
      </c>
      <c r="H8" s="477">
        <f>industrie!H18</f>
        <v>0</v>
      </c>
      <c r="I8" s="477">
        <f>industrie!I18</f>
        <v>0</v>
      </c>
      <c r="J8" s="477">
        <f>industrie!J18</f>
        <v>12.984362232640493</v>
      </c>
      <c r="K8" s="477">
        <f>industrie!K18</f>
        <v>0</v>
      </c>
      <c r="L8" s="477">
        <f>industrie!L18</f>
        <v>0</v>
      </c>
      <c r="M8" s="477">
        <f>industrie!M18</f>
        <v>0</v>
      </c>
      <c r="N8" s="477">
        <f>industrie!N18</f>
        <v>24338.656568148504</v>
      </c>
      <c r="O8" s="477">
        <f>industrie!O18</f>
        <v>0</v>
      </c>
      <c r="P8" s="478">
        <f>industrie!P18</f>
        <v>0</v>
      </c>
      <c r="Q8" s="476">
        <f t="shared" si="0"/>
        <v>226354.97559566997</v>
      </c>
    </row>
    <row r="9" spans="1:17" s="482" customFormat="1">
      <c r="A9" s="480" t="s">
        <v>561</v>
      </c>
      <c r="B9" s="481">
        <f>transport!B14</f>
        <v>42.679799498208958</v>
      </c>
      <c r="C9" s="481">
        <f>transport!C14</f>
        <v>0</v>
      </c>
      <c r="D9" s="481">
        <f>transport!D14</f>
        <v>148.36520020061894</v>
      </c>
      <c r="E9" s="481">
        <f>transport!E14</f>
        <v>197.99376502350404</v>
      </c>
      <c r="F9" s="481">
        <f>transport!F14</f>
        <v>0</v>
      </c>
      <c r="G9" s="481">
        <f>transport!G14</f>
        <v>76243.259468785007</v>
      </c>
      <c r="H9" s="481">
        <f>transport!H14</f>
        <v>16733.4608138242</v>
      </c>
      <c r="I9" s="481">
        <f>transport!I14</f>
        <v>0</v>
      </c>
      <c r="J9" s="481">
        <f>transport!J14</f>
        <v>0</v>
      </c>
      <c r="K9" s="481">
        <f>transport!K14</f>
        <v>0</v>
      </c>
      <c r="L9" s="481">
        <f>transport!L14</f>
        <v>0</v>
      </c>
      <c r="M9" s="481">
        <f>transport!M14</f>
        <v>4948.1849956739743</v>
      </c>
      <c r="N9" s="481">
        <f>transport!N14</f>
        <v>0</v>
      </c>
      <c r="O9" s="481">
        <f>transport!O14</f>
        <v>0</v>
      </c>
      <c r="P9" s="481">
        <f>transport!P14</f>
        <v>0</v>
      </c>
      <c r="Q9" s="480">
        <f>SUM(B9:P9)</f>
        <v>98313.944043005511</v>
      </c>
    </row>
    <row r="10" spans="1:17">
      <c r="A10" s="476" t="s">
        <v>551</v>
      </c>
      <c r="B10" s="477">
        <f>transport!B54</f>
        <v>0</v>
      </c>
      <c r="C10" s="477">
        <f>transport!C54</f>
        <v>0</v>
      </c>
      <c r="D10" s="477">
        <f>transport!D54</f>
        <v>0</v>
      </c>
      <c r="E10" s="477">
        <f>transport!E54</f>
        <v>0</v>
      </c>
      <c r="F10" s="477">
        <f>transport!F54</f>
        <v>0</v>
      </c>
      <c r="G10" s="477">
        <f>transport!G54</f>
        <v>1978.9852894495368</v>
      </c>
      <c r="H10" s="477">
        <f>transport!H54</f>
        <v>0</v>
      </c>
      <c r="I10" s="477">
        <f>transport!I54</f>
        <v>0</v>
      </c>
      <c r="J10" s="477">
        <f>transport!J54</f>
        <v>0</v>
      </c>
      <c r="K10" s="477">
        <f>transport!K54</f>
        <v>0</v>
      </c>
      <c r="L10" s="477">
        <f>transport!L54</f>
        <v>0</v>
      </c>
      <c r="M10" s="477">
        <f>transport!M54</f>
        <v>112.39762805900951</v>
      </c>
      <c r="N10" s="477">
        <f>transport!N54</f>
        <v>0</v>
      </c>
      <c r="O10" s="477">
        <f>transport!O54</f>
        <v>0</v>
      </c>
      <c r="P10" s="478">
        <f>transport!P54</f>
        <v>0</v>
      </c>
      <c r="Q10" s="476">
        <f t="shared" si="0"/>
        <v>2091.3829175085461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294.76355000000001</v>
      </c>
      <c r="C14" s="484"/>
      <c r="D14" s="484">
        <f>'SEAP template'!E25</f>
        <v>803.50840000000005</v>
      </c>
      <c r="E14" s="484"/>
      <c r="F14" s="484"/>
      <c r="G14" s="484"/>
      <c r="H14" s="484"/>
      <c r="I14" s="484"/>
      <c r="J14" s="484"/>
      <c r="K14" s="484"/>
      <c r="L14" s="484"/>
      <c r="M14" s="484"/>
      <c r="N14" s="484"/>
      <c r="O14" s="484"/>
      <c r="P14" s="485"/>
      <c r="Q14" s="476">
        <f t="shared" si="0"/>
        <v>1098.2719500000001</v>
      </c>
    </row>
    <row r="15" spans="1:17" s="486" customFormat="1">
      <c r="A15" s="1039" t="s">
        <v>555</v>
      </c>
      <c r="B15" s="987">
        <f ca="1">SUM(B4:B14)</f>
        <v>120810.52249649202</v>
      </c>
      <c r="C15" s="987">
        <f t="shared" ref="C15:Q15" ca="1" si="1">SUM(C4:C14)</f>
        <v>62.357142857142847</v>
      </c>
      <c r="D15" s="987">
        <f t="shared" ca="1" si="1"/>
        <v>204706.13469051471</v>
      </c>
      <c r="E15" s="987">
        <f t="shared" si="1"/>
        <v>14337.223935849262</v>
      </c>
      <c r="F15" s="987">
        <f t="shared" ca="1" si="1"/>
        <v>39254.35635438691</v>
      </c>
      <c r="G15" s="987">
        <f t="shared" si="1"/>
        <v>78222.244758234548</v>
      </c>
      <c r="H15" s="987">
        <f t="shared" si="1"/>
        <v>16733.4608138242</v>
      </c>
      <c r="I15" s="987">
        <f t="shared" si="1"/>
        <v>0</v>
      </c>
      <c r="J15" s="987">
        <f t="shared" si="1"/>
        <v>131.36511060641618</v>
      </c>
      <c r="K15" s="987">
        <f t="shared" si="1"/>
        <v>0</v>
      </c>
      <c r="L15" s="987">
        <f t="shared" ca="1" si="1"/>
        <v>0</v>
      </c>
      <c r="M15" s="987">
        <f t="shared" si="1"/>
        <v>5060.5826237329838</v>
      </c>
      <c r="N15" s="987">
        <f t="shared" ca="1" si="1"/>
        <v>45019.121525401017</v>
      </c>
      <c r="O15" s="987">
        <f t="shared" si="1"/>
        <v>337.68</v>
      </c>
      <c r="P15" s="987">
        <f t="shared" si="1"/>
        <v>1830.4</v>
      </c>
      <c r="Q15" s="987">
        <f t="shared" ca="1" si="1"/>
        <v>526505.44945189916</v>
      </c>
    </row>
    <row r="17" spans="1:17">
      <c r="A17" s="487" t="s">
        <v>556</v>
      </c>
      <c r="B17" s="786">
        <f ca="1">huishoudens!B10</f>
        <v>0.18580020138484454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4759.2432687699311</v>
      </c>
      <c r="C22" s="477">
        <f t="shared" ref="C22:C32" ca="1" si="3">C4*$C$17</f>
        <v>0</v>
      </c>
      <c r="D22" s="477">
        <f t="shared" ref="D22:D32" si="4">D4*$D$17</f>
        <v>13163.588887017821</v>
      </c>
      <c r="E22" s="477">
        <f t="shared" ref="E22:E32" si="5">E4*$E$17</f>
        <v>1700.1186418011496</v>
      </c>
      <c r="F22" s="477">
        <f t="shared" ref="F22:F32" si="6">F4*$F$17</f>
        <v>2934.9084576301907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22557.859255219089</v>
      </c>
    </row>
    <row r="23" spans="1:17">
      <c r="A23" s="476" t="s">
        <v>156</v>
      </c>
      <c r="B23" s="477">
        <f t="shared" ca="1" si="2"/>
        <v>4748.4859006823999</v>
      </c>
      <c r="C23" s="477">
        <f t="shared" ca="1" si="3"/>
        <v>0</v>
      </c>
      <c r="D23" s="477">
        <f t="shared" ca="1" si="4"/>
        <v>6096.4683244056687</v>
      </c>
      <c r="E23" s="477">
        <f t="shared" si="5"/>
        <v>63.306760819795883</v>
      </c>
      <c r="F23" s="477">
        <f t="shared" ca="1" si="6"/>
        <v>1195.0284500008997</v>
      </c>
      <c r="G23" s="477">
        <f t="shared" si="7"/>
        <v>0</v>
      </c>
      <c r="H23" s="477">
        <f t="shared" si="8"/>
        <v>0</v>
      </c>
      <c r="I23" s="477">
        <f t="shared" si="9"/>
        <v>0</v>
      </c>
      <c r="J23" s="477">
        <f t="shared" si="10"/>
        <v>2.5925125064243791E-2</v>
      </c>
      <c r="K23" s="477">
        <f t="shared" si="11"/>
        <v>0</v>
      </c>
      <c r="L23" s="477">
        <f t="shared" ca="1" si="12"/>
        <v>0</v>
      </c>
      <c r="M23" s="477">
        <f t="shared" si="13"/>
        <v>0</v>
      </c>
      <c r="N23" s="477">
        <f t="shared" ca="1" si="14"/>
        <v>0</v>
      </c>
      <c r="O23" s="477">
        <f t="shared" si="15"/>
        <v>0</v>
      </c>
      <c r="P23" s="478">
        <f t="shared" si="16"/>
        <v>0</v>
      </c>
      <c r="Q23" s="476">
        <f t="shared" ref="Q23:Q32" ca="1" si="17">SUM(B23:P23)</f>
        <v>12103.31536103383</v>
      </c>
    </row>
    <row r="24" spans="1:17">
      <c r="A24" s="476" t="s">
        <v>194</v>
      </c>
      <c r="B24" s="477">
        <f t="shared" ca="1" si="2"/>
        <v>188.10951208785676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188.10951208785676</v>
      </c>
    </row>
    <row r="25" spans="1:17">
      <c r="A25" s="476" t="s">
        <v>112</v>
      </c>
      <c r="B25" s="477">
        <f t="shared" ca="1" si="2"/>
        <v>151.72407285046128</v>
      </c>
      <c r="C25" s="477">
        <f t="shared" ca="1" si="3"/>
        <v>0</v>
      </c>
      <c r="D25" s="477">
        <f t="shared" si="4"/>
        <v>122.761038224</v>
      </c>
      <c r="E25" s="477">
        <f t="shared" si="5"/>
        <v>5.4485242333854487</v>
      </c>
      <c r="F25" s="477">
        <f t="shared" si="6"/>
        <v>908.30813874316937</v>
      </c>
      <c r="G25" s="477">
        <f t="shared" si="7"/>
        <v>0</v>
      </c>
      <c r="H25" s="477">
        <f t="shared" si="8"/>
        <v>0</v>
      </c>
      <c r="I25" s="477">
        <f t="shared" si="9"/>
        <v>0</v>
      </c>
      <c r="J25" s="477">
        <f t="shared" si="10"/>
        <v>41.880859799252356</v>
      </c>
      <c r="K25" s="477">
        <f t="shared" si="11"/>
        <v>0</v>
      </c>
      <c r="L25" s="477">
        <f t="shared" si="12"/>
        <v>0</v>
      </c>
      <c r="M25" s="477">
        <f t="shared" si="13"/>
        <v>0</v>
      </c>
      <c r="N25" s="477">
        <f t="shared" si="14"/>
        <v>0</v>
      </c>
      <c r="O25" s="477">
        <f t="shared" si="15"/>
        <v>0</v>
      </c>
      <c r="P25" s="478">
        <f t="shared" si="16"/>
        <v>0</v>
      </c>
      <c r="Q25" s="476">
        <f t="shared" ca="1" si="17"/>
        <v>1230.1226338502686</v>
      </c>
    </row>
    <row r="26" spans="1:17">
      <c r="A26" s="476" t="s">
        <v>635</v>
      </c>
      <c r="B26" s="477">
        <f t="shared" ca="1" si="2"/>
        <v>12536.359612573118</v>
      </c>
      <c r="C26" s="477">
        <f t="shared" ca="1" si="3"/>
        <v>0</v>
      </c>
      <c r="D26" s="477">
        <f t="shared" si="4"/>
        <v>21775.542490595963</v>
      </c>
      <c r="E26" s="477">
        <f t="shared" si="5"/>
        <v>1440.731321923116</v>
      </c>
      <c r="F26" s="477">
        <f t="shared" si="6"/>
        <v>5442.6681002470468</v>
      </c>
      <c r="G26" s="477">
        <f t="shared" si="7"/>
        <v>0</v>
      </c>
      <c r="H26" s="477">
        <f t="shared" si="8"/>
        <v>0</v>
      </c>
      <c r="I26" s="477">
        <f t="shared" si="9"/>
        <v>0</v>
      </c>
      <c r="J26" s="477">
        <f t="shared" si="10"/>
        <v>4.5964642303547345</v>
      </c>
      <c r="K26" s="477">
        <f t="shared" si="11"/>
        <v>0</v>
      </c>
      <c r="L26" s="477">
        <f t="shared" si="12"/>
        <v>0</v>
      </c>
      <c r="M26" s="477">
        <f t="shared" si="13"/>
        <v>0</v>
      </c>
      <c r="N26" s="477">
        <f t="shared" si="14"/>
        <v>0</v>
      </c>
      <c r="O26" s="477">
        <f t="shared" si="15"/>
        <v>0</v>
      </c>
      <c r="P26" s="478">
        <f t="shared" si="16"/>
        <v>0</v>
      </c>
      <c r="Q26" s="476">
        <f t="shared" ca="1" si="17"/>
        <v>41199.897989569588</v>
      </c>
    </row>
    <row r="27" spans="1:17" s="482" customFormat="1">
      <c r="A27" s="480" t="s">
        <v>561</v>
      </c>
      <c r="B27" s="780">
        <f t="shared" ca="1" si="2"/>
        <v>7.9299153418320119</v>
      </c>
      <c r="C27" s="481">
        <f t="shared" ca="1" si="3"/>
        <v>0</v>
      </c>
      <c r="D27" s="481">
        <f t="shared" si="4"/>
        <v>29.969770440525028</v>
      </c>
      <c r="E27" s="481">
        <f t="shared" si="5"/>
        <v>44.944584660335416</v>
      </c>
      <c r="F27" s="481">
        <f t="shared" si="6"/>
        <v>0</v>
      </c>
      <c r="G27" s="481">
        <f t="shared" si="7"/>
        <v>20356.950278165597</v>
      </c>
      <c r="H27" s="481">
        <f t="shared" si="8"/>
        <v>4166.6317426422256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24606.426291250515</v>
      </c>
    </row>
    <row r="28" spans="1:17">
      <c r="A28" s="476" t="s">
        <v>551</v>
      </c>
      <c r="B28" s="477">
        <f t="shared" ca="1" si="2"/>
        <v>0</v>
      </c>
      <c r="C28" s="477">
        <f t="shared" ca="1" si="3"/>
        <v>0</v>
      </c>
      <c r="D28" s="477">
        <f t="shared" si="4"/>
        <v>0</v>
      </c>
      <c r="E28" s="477">
        <f t="shared" si="5"/>
        <v>0</v>
      </c>
      <c r="F28" s="477">
        <f t="shared" si="6"/>
        <v>0</v>
      </c>
      <c r="G28" s="477">
        <f t="shared" si="7"/>
        <v>528.38907228302639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528.38907228302639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54.767126950911695</v>
      </c>
      <c r="C32" s="477">
        <f t="shared" ca="1" si="3"/>
        <v>0</v>
      </c>
      <c r="D32" s="477">
        <f t="shared" si="4"/>
        <v>162.30869680000001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217.0758237509117</v>
      </c>
    </row>
    <row r="33" spans="1:17" s="486" customFormat="1">
      <c r="A33" s="1039" t="s">
        <v>555</v>
      </c>
      <c r="B33" s="987">
        <f ca="1">SUM(B22:B32)</f>
        <v>22446.619409256509</v>
      </c>
      <c r="C33" s="987">
        <f t="shared" ref="C33:Q33" ca="1" si="18">SUM(C22:C32)</f>
        <v>0</v>
      </c>
      <c r="D33" s="987">
        <f t="shared" ca="1" si="18"/>
        <v>41350.639207483982</v>
      </c>
      <c r="E33" s="987">
        <f t="shared" si="18"/>
        <v>3254.5498334377821</v>
      </c>
      <c r="F33" s="987">
        <f t="shared" ca="1" si="18"/>
        <v>10480.913146621308</v>
      </c>
      <c r="G33" s="987">
        <f t="shared" si="18"/>
        <v>20885.339350448623</v>
      </c>
      <c r="H33" s="987">
        <f t="shared" si="18"/>
        <v>4166.6317426422256</v>
      </c>
      <c r="I33" s="987">
        <f t="shared" si="18"/>
        <v>0</v>
      </c>
      <c r="J33" s="987">
        <f t="shared" si="18"/>
        <v>46.50324915467133</v>
      </c>
      <c r="K33" s="987">
        <f t="shared" si="18"/>
        <v>0</v>
      </c>
      <c r="L33" s="987">
        <f t="shared" ca="1" si="18"/>
        <v>0</v>
      </c>
      <c r="M33" s="987">
        <f t="shared" si="18"/>
        <v>0</v>
      </c>
      <c r="N33" s="987">
        <f t="shared" ca="1" si="18"/>
        <v>0</v>
      </c>
      <c r="O33" s="987">
        <f t="shared" si="18"/>
        <v>0</v>
      </c>
      <c r="P33" s="987">
        <f t="shared" si="18"/>
        <v>0</v>
      </c>
      <c r="Q33" s="987">
        <f t="shared" ca="1" si="18"/>
        <v>102631.19593904509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19198.458879946727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19242.108879946729</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0.18580020138484454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0.18580020138484454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2019-08-12T08:35:29Z</dcterms:modified>
</cp:coreProperties>
</file>