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P22" s="1"/>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20" s="1"/>
  <c r="K90" i="14"/>
  <c r="E90"/>
  <c r="E18" i="61"/>
  <c r="K78" i="14"/>
  <c r="K8" i="61"/>
  <c r="K10" s="1"/>
  <c r="N78" i="14"/>
  <c r="N9" i="61"/>
  <c r="N10" s="1"/>
  <c r="L78" i="14"/>
  <c r="L8" i="61"/>
  <c r="L10" s="1"/>
  <c r="O10"/>
  <c r="G20"/>
  <c r="Q11" i="48"/>
  <c r="O25"/>
  <c r="E20" i="61"/>
  <c r="O32" i="48"/>
  <c r="C98" i="18"/>
  <c r="G101" s="1"/>
  <c r="I8" s="1"/>
  <c r="D13" i="15"/>
  <c r="O30" i="48"/>
  <c r="C13" i="15"/>
  <c r="L90" i="14"/>
  <c r="L18" i="61"/>
  <c r="B10" i="18"/>
  <c r="M77" i="14"/>
  <c r="M9" i="61" s="1"/>
  <c r="H9" i="18"/>
  <c r="O9" s="1"/>
  <c r="L20" i="61"/>
  <c r="P31" i="48"/>
  <c r="J22" i="14"/>
  <c r="E10" i="61"/>
  <c r="B17" i="18"/>
  <c r="B20" s="1"/>
  <c r="G77" i="14"/>
  <c r="G9" i="61" s="1"/>
  <c r="G10"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D10"/>
  <c r="G78" i="14"/>
  <c r="B88"/>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90" i="14"/>
  <c r="B87"/>
  <c r="C87"/>
  <c r="C76"/>
  <c r="B76"/>
  <c r="B26" i="17"/>
  <c r="C78" i="14" l="1"/>
  <c r="C8" i="61"/>
  <c r="C10" s="1"/>
  <c r="B78" i="14"/>
  <c r="B4" i="6" s="1"/>
  <c r="B8" i="61"/>
  <c r="B10" s="1"/>
  <c r="B90" i="14"/>
  <c r="B17" i="61"/>
  <c r="B20" s="1"/>
  <c r="C90" i="14"/>
  <c r="C17" i="61"/>
  <c r="C20" s="1"/>
  <c r="H14" i="15"/>
  <c r="H16" s="1"/>
  <c r="G14"/>
  <c r="G16" s="1"/>
  <c r="H10" i="14" l="1"/>
  <c r="H16" s="1"/>
  <c r="G5" i="48"/>
  <c r="H5"/>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9"/>
  <c r="I27"/>
  <c r="I25"/>
  <c r="I24"/>
  <c r="I31"/>
  <c r="I28"/>
  <c r="I30"/>
  <c r="I22"/>
  <c r="I32"/>
  <c r="I26"/>
  <c r="D4"/>
  <c r="D22" s="1"/>
  <c r="E11" i="14"/>
  <c r="H29" i="48"/>
  <c r="H32"/>
  <c r="H28"/>
  <c r="H25"/>
  <c r="H22"/>
  <c r="H26"/>
  <c r="H30"/>
  <c r="H24"/>
  <c r="H23"/>
  <c r="C4"/>
  <c r="D11" i="14"/>
  <c r="G23" i="48"/>
  <c r="G22"/>
  <c r="G30"/>
  <c r="G32"/>
  <c r="G25"/>
  <c r="G26"/>
  <c r="G24"/>
  <c r="G29"/>
  <c r="B4"/>
  <c r="C11" i="14"/>
  <c r="F30" i="48"/>
  <c r="F32"/>
  <c r="F24"/>
  <c r="F27"/>
  <c r="F28"/>
  <c r="F29"/>
  <c r="F31"/>
  <c r="N27"/>
  <c r="N31"/>
  <c r="N32"/>
  <c r="N24"/>
  <c r="N30"/>
  <c r="N28"/>
  <c r="N29"/>
  <c r="B10"/>
  <c r="C19" i="14"/>
  <c r="E31" i="48"/>
  <c r="E32"/>
  <c r="E29"/>
  <c r="E24"/>
  <c r="E30"/>
  <c r="E28"/>
  <c r="M29"/>
  <c r="M25"/>
  <c r="M22"/>
  <c r="M26"/>
  <c r="M24"/>
  <c r="M30"/>
  <c r="M32"/>
  <c r="M23"/>
  <c r="L10" i="14"/>
  <c r="L16" s="1"/>
  <c r="L27" s="1"/>
  <c r="K5" i="48"/>
  <c r="D30"/>
  <c r="D28"/>
  <c r="D24"/>
  <c r="D29"/>
  <c r="D31"/>
  <c r="D32"/>
  <c r="L29"/>
  <c r="L32"/>
  <c r="L22"/>
  <c r="L31"/>
  <c r="L30"/>
  <c r="L28"/>
  <c r="L24"/>
  <c r="L27"/>
  <c r="Q10" i="14"/>
  <c r="P5" i="48"/>
  <c r="P23" s="1"/>
  <c r="K32"/>
  <c r="K24"/>
  <c r="K30"/>
  <c r="K26"/>
  <c r="K28"/>
  <c r="K31"/>
  <c r="K22"/>
  <c r="K25"/>
  <c r="K27"/>
  <c r="K29"/>
  <c r="C24" i="14"/>
  <c r="C26" s="1"/>
  <c r="B7" i="48"/>
  <c r="J24"/>
  <c r="J31"/>
  <c r="J30"/>
  <c r="J32"/>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C22" i="14"/>
  <c r="E9" i="48"/>
  <c r="E27" s="1"/>
  <c r="F20" i="14"/>
  <c r="F22" s="1"/>
  <c r="Q13"/>
  <c r="Q16" s="1"/>
  <c r="Q27" s="1"/>
  <c r="P8" i="48"/>
  <c r="P26" s="1"/>
  <c r="D9"/>
  <c r="D27" s="1"/>
  <c r="E20" i="14"/>
  <c r="E22" s="1"/>
  <c r="P10"/>
  <c r="O5" i="48"/>
  <c r="O23" s="1"/>
  <c r="C20" i="14"/>
  <c r="B9" i="48"/>
  <c r="K24" i="14"/>
  <c r="K26" s="1"/>
  <c r="J7" i="48"/>
  <c r="J25" s="1"/>
  <c r="G11" i="14"/>
  <c r="F4" i="48"/>
  <c r="F22" s="1"/>
  <c r="I5"/>
  <c r="J10" i="14"/>
  <c r="J16" s="1"/>
  <c r="J27" s="1"/>
  <c r="J63" s="1"/>
  <c r="P22" i="48"/>
  <c r="P15"/>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E5"/>
  <c r="E23" s="1"/>
  <c r="F10" i="14"/>
  <c r="G28" i="4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E8" i="48"/>
  <c r="G27"/>
  <c r="G33" s="1"/>
  <c r="G15"/>
  <c r="H63" i="14"/>
  <c r="R20"/>
  <c r="R22" s="1"/>
  <c r="F16"/>
  <c r="F27" s="1"/>
  <c r="N8" i="48"/>
  <c r="N26" s="1"/>
  <c r="O13" i="14"/>
  <c r="F8" i="48"/>
  <c r="G13" i="14"/>
  <c r="E22" i="16"/>
  <c r="F43" i="14" s="1"/>
  <c r="F46" s="1"/>
  <c r="F61" s="1"/>
  <c r="F22" i="16"/>
  <c r="G43" i="14" s="1"/>
  <c r="N22" i="16"/>
  <c r="O43" i="14" s="1"/>
  <c r="J22" i="16"/>
  <c r="K43" i="14" s="1"/>
  <c r="K46" s="1"/>
  <c r="K61" s="1"/>
  <c r="E26" i="48" l="1"/>
  <c r="E33" s="1"/>
  <c r="E15"/>
  <c r="J26"/>
  <c r="J33" s="1"/>
  <c r="J15"/>
  <c r="F63" i="14"/>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<sst xmlns="http://schemas.openxmlformats.org/spreadsheetml/2006/main" count="2392" uniqueCount="888">
  <si>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</si>
  <si>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</si>
  <si>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</si>
  <si>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</si>
  <si>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</si>
  <si>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</si>
  <si>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</si>
  <si>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</si>
  <si>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</si>
  <si>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</si>
  <si>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</si>
  <si>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</si>
  <si>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</si>
  <si>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</si>
  <si>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</si>
  <si>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</si>
  <si>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</si>
  <si>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</si>
  <si>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</si>
  <si>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</si>
  <si>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</si>
  <si>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</si>
  <si>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</si>
  <si>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</si>
  <si>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</si>
  <si>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</si>
  <si>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</si>
  <si>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</si>
  <si>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</si>
  <si>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</si>
  <si>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</si>
  <si>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</si>
  <si>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</si>
  <si>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</si>
  <si>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</si>
  <si>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</si>
  <si>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</si>
  <si>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</si>
  <si>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</si>
  <si>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</si>
  <si>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</si>
  <si>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</si>
  <si>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</si>
  <si>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</si>
  <si>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</si>
  <si>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</si>
  <si>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</si>
  <si>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</si>
  <si>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</si>
  <si>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</si>
  <si>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</si>
  <si>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</si>
  <si>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</si>
  <si>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</si>
  <si>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</si>
  <si>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</si>
  <si>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</si>
  <si>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</si>
  <si>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</si>
  <si>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</si>
  <si>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</si>
  <si>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</si>
  <si>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</si>
  <si>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</si>
  <si>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</si>
  <si>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</si>
  <si>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</si>
  <si>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</si>
  <si>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</si>
  <si>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</si>
  <si>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</si>
  <si>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</si>
  <si>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</si>
  <si>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</si>
  <si>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</si>
  <si>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</si>
  <si>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</si>
  <si>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</si>
  <si>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</si>
  <si>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</si>
  <si>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</si>
  <si>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</si>
  <si>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</si>
  <si>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</si>
  <si>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</si>
  <si>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</si>
  <si>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</si>
  <si>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</si>
  <si>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</si>
  <si>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</si>
  <si>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</si>
  <si>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</si>
  <si>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</si>
  <si>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</si>
  <si>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</si>
  <si>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</si>
  <si>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</si>
  <si>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</si>
  <si>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</si>
  <si>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</si>
  <si>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</si>
  <si>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</si>
  <si>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</si>
  <si>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</si>
  <si>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</si>
  <si>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</si>
  <si>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</si>
  <si>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</si>
  <si>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</si>
  <si>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</si>
  <si>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</si>
  <si>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</si>
  <si>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</si>
  <si>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</si>
  <si>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</si>
  <si>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</si>
  <si>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</si>
  <si>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</si>
  <si>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</si>
  <si>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</si>
  <si>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</si>
  <si>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</si>
  <si>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</si>
  <si>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</si>
  <si>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</si>
  <si>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</si>
  <si>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</si>
  <si>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</si>
  <si>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</si>
  <si>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</si>
  <si>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</si>
  <si>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</si>
  <si>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</si>
  <si>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</si>
  <si>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</si>
  <si>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</si>
  <si>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</si>
  <si>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</si>
  <si>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</si>
  <si>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</si>
  <si>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</si>
  <si>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</si>
  <si>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</si>
  <si>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</si>
  <si>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</si>
  <si>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</si>
  <si>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</si>
  <si>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</si>
  <si>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</si>
  <si>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</si>
  <si>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</si>
  <si>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</si>
  <si>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</si>
  <si>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</si>
  <si>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</si>
  <si>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</si>
  <si>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</si>
  <si>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</si>
  <si>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</si>
  <si>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</si>
  <si>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</si>
  <si>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</si>
  <si>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</si>
  <si>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</si>
  <si>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</si>
  <si>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</si>
  <si>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</si>
  <si>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</si>
  <si>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</si>
  <si>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</si>
  <si>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</si>
  <si>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</si>
  <si>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</si>
  <si>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</si>
  <si>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</si>
  <si>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</si>
  <si>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</si>
  <si>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</si>
  <si>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</si>
  <si>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</si>
  <si>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</si>
  <si>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</si>
  <si>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</si>
  <si>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</si>
  <si>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</si>
  <si>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</si>
  <si>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</si>
  <si>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</si>
  <si>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</si>
  <si>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</si>
  <si>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</si>
  <si>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</si>
  <si>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</si>
  <si>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</si>
  <si>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</si>
  <si>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</si>
  <si>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</si>
  <si>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</si>
  <si>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</si>
  <si>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</si>
  <si>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</si>
  <si>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</si>
  <si>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</si>
  <si>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</si>
  <si>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</si>
  <si>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</si>
  <si>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</si>
  <si>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</si>
  <si>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</si>
  <si>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</si>
  <si>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</si>
  <si>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</si>
  <si>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</si>
  <si>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</si>
  <si>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</si>
  <si>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</si>
  <si>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</si>
  <si>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</si>
  <si>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</si>
  <si>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</si>
  <si>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</si>
  <si>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</si>
  <si>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</si>
  <si>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</si>
  <si>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</si>
  <si>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</si>
  <si>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</si>
  <si>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</si>
  <si>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</si>
  <si>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</si>
  <si>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</si>
  <si>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</si>
  <si>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</si>
  <si>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</si>
  <si>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</si>
  <si>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</si>
  <si>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</si>
  <si>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</si>
  <si>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</si>
  <si>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</si>
  <si>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</si>
  <si>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</si>
  <si>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</si>
  <si>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</si>
  <si>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</si>
  <si>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</si>
  <si>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</si>
  <si>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</si>
  <si>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</si>
  <si>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</si>
  <si>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</si>
  <si>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</si>
  <si>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</si>
  <si>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</si>
  <si>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</si>
  <si>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</si>
  <si>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</si>
  <si>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</si>
  <si>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</si>
  <si>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</si>
  <si>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</si>
  <si>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</si>
  <si>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</si>
  <si>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</si>
  <si>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</si>
  <si>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</si>
  <si>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</si>
  <si>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</si>
  <si>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</si>
  <si>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</si>
  <si>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</si>
  <si>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</si>
  <si>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</si>
  <si>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</si>
  <si>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</si>
  <si>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</si>
  <si>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</si>
  <si>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</si>
  <si>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</si>
  <si>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</si>
  <si>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</si>
  <si>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</si>
  <si>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</si>
  <si>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</si>
  <si>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</si>
  <si>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</si>
  <si>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</si>
  <si>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</si>
  <si>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</si>
  <si>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</si>
  <si>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</si>
  <si>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</si>
  <si>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</si>
  <si>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</si>
  <si>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</si>
  <si>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</si>
  <si>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</si>
  <si>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</si>
  <si>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</si>
  <si>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</si>
  <si>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</si>
  <si>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</si>
  <si>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</si>
  <si>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</si>
  <si>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</si>
  <si>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</si>
  <si>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</si>
  <si>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</si>
  <si>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</si>
  <si>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</si>
  <si>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</si>
  <si>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</si>
  <si>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</si>
  <si>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</si>
  <si>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</si>
  <si>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</si>
  <si>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</si>
  <si>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</si>
  <si>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</si>
  <si>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</si>
  <si>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</si>
  <si>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</si>
  <si>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</si>
  <si>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</si>
  <si>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</si>
  <si>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</si>
  <si>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</si>
  <si>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</si>
  <si>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</si>
  <si>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</si>
  <si>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</si>
  <si>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</si>
  <si>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</si>
  <si>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</si>
  <si>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</si>
  <si>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</si>
  <si>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</si>
  <si>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</si>
  <si>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</si>
  <si>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</si>
  <si>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</si>
  <si>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</si>
  <si>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</si>
  <si>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</si>
  <si>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</si>
  <si>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</si>
  <si>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</si>
  <si>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</si>
  <si>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</si>
  <si>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</si>
  <si>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</si>
  <si>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</si>
  <si>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</si>
  <si>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</si>
  <si>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</si>
  <si>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</si>
  <si>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</si>
  <si>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</si>
  <si>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</si>
  <si>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</si>
  <si>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</si>
  <si>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</si>
  <si>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</si>
  <si>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</si>
  <si>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</si>
  <si>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</si>
  <si>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</si>
  <si>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</si>
  <si>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</si>
  <si>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</si>
  <si>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</si>
  <si>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</si>
  <si>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</si>
  <si>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</si>
  <si>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</si>
  <si>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</si>
  <si>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</si>
  <si>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</si>
  <si>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</si>
  <si>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</si>
  <si>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</si>
  <si>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</si>
  <si>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</si>
  <si>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</si>
  <si>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</si>
  <si>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</si>
  <si>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</si>
  <si>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</si>
  <si>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</si>
  <si>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</si>
  <si>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</si>
  <si>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</si>
  <si>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</si>
  <si>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</si>
  <si>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</si>
  <si>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</si>
  <si>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</si>
  <si>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</si>
  <si>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</si>
  <si>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</si>
  <si>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</si>
  <si>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</si>
  <si>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</si>
  <si>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</si>
  <si>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</si>
  <si>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</si>
  <si>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</si>
  <si>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</si>
  <si>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</si>
  <si>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</si>
  <si>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</si>
  <si>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</si>
  <si>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</si>
  <si>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</si>
  <si>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</si>
  <si>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</si>
  <si>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</si>
  <si>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</si>
  <si>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</si>
  <si>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</si>
  <si>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</si>
  <si>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</si>
  <si>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</si>
  <si>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</si>
  <si>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</si>
  <si>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</si>
  <si>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</si>
  <si>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</si>
  <si>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</si>
  <si>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</si>
  <si>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</si>
  <si>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</si>
  <si>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</si>
  <si>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</si>
  <si>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</si>
  <si>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</si>
  <si>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</si>
  <si>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</si>
  <si>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</si>
  <si>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</si>
  <si>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</si>
  <si>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</si>
  <si>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</si>
  <si>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</si>
  <si>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</si>
  <si>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</si>
  <si>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</si>
  <si>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</si>
  <si>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</si>
  <si>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</si>
  <si>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</si>
  <si>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</si>
  <si>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</si>
  <si>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</si>
  <si>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</si>
  <si>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</si>
  <si>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</si>
  <si>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</si>
  <si>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</si>
  <si>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</si>
  <si>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</si>
  <si>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</si>
  <si>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</si>
  <si>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</si>
  <si>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</si>
  <si>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</si>
  <si>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</si>
  <si>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</si>
  <si>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</si>
  <si>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</si>
  <si>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</si>
  <si>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</si>
  <si>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</si>
  <si>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</si>
  <si>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</si>
  <si>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</si>
  <si>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</si>
  <si>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</si>
  <si>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</si>
  <si>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</si>
  <si>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</si>
  <si>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</si>
  <si>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</si>
  <si>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</si>
  <si>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</si>
  <si>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</si>
  <si>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</si>
  <si>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</si>
  <si>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</si>
  <si>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</si>
  <si>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</si>
  <si>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</si>
  <si>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</si>
  <si>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</si>
  <si>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</si>
  <si>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</si>
  <si>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</si>
  <si>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</si>
  <si>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</si>
  <si>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</si>
  <si>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</si>
  <si>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</si>
  <si>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</si>
  <si>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</si>
  <si>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</si>
  <si>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</si>
  <si>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</si>
  <si>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</si>
  <si>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</si>
  <si>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</si>
  <si>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</si>
  <si>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</si>
  <si>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</si>
  <si>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</si>
  <si>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</si>
  <si>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</si>
  <si>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</si>
  <si>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</si>
  <si>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</si>
  <si>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</si>
  <si>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</si>
  <si>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</si>
  <si>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</si>
  <si>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</si>
  <si>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</si>
  <si>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</si>
  <si>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</si>
  <si>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</si>
  <si>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</si>
  <si>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</si>
  <si>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</si>
  <si>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</si>
  <si>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</si>
  <si>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</si>
  <si>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</si>
  <si>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</si>
  <si>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</si>
  <si>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</si>
  <si>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</si>
  <si>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</si>
  <si>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</si>
  <si>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</si>
  <si>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</si>
  <si>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</si>
  <si>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</si>
  <si>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</si>
  <si>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</si>
  <si>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</si>
  <si>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</si>
  <si>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</si>
  <si>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</si>
  <si>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</si>
  <si>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</si>
  <si>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</si>
  <si>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</si>
  <si>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</si>
  <si>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</si>
  <si>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</si>
  <si>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</si>
  <si>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</si>
  <si>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</si>
  <si>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</si>
  <si>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</si>
  <si>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</si>
  <si>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</si>
  <si>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</si>
  <si>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</si>
  <si>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</si>
  <si>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</si>
  <si>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</si>
  <si>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</si>
  <si>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</si>
  <si>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</si>
  <si>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</si>
  <si>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</si>
  <si>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</si>
  <si>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</si>
  <si>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</si>
  <si>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</si>
  <si>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</si>
  <si>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</si>
  <si>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</si>
  <si>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</si>
  <si>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</si>
  <si>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</si>
  <si>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</si>
  <si>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</si>
  <si>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</si>
  <si>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</si>
  <si>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</si>
  <si>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</si>
  <si>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</si>
  <si>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</si>
  <si>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</si>
  <si>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</si>
  <si>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</si>
  <si>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</si>
  <si>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</si>
  <si>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</si>
  <si>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</si>
  <si>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</si>
  <si>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</si>
  <si>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</si>
  <si>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</si>
  <si>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</si>
  <si>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</si>
  <si>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</si>
  <si>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</si>
  <si>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</si>
  <si>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</si>
  <si>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</si>
  <si>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</si>
  <si>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</si>
  <si>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</si>
  <si>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</si>
  <si>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</si>
  <si>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</si>
  <si>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</si>
  <si>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</si>
  <si>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</si>
  <si>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</si>
  <si>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</si>
  <si>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</si>
  <si>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</si>
  <si>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</si>
  <si>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</si>
  <si>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</si>
  <si>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</si>
  <si>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</si>
  <si>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</si>
  <si>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</si>
  <si>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</si>
  <si>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</si>
  <si>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</si>
  <si>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</si>
  <si>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</si>
  <si>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</si>
  <si>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</si>
  <si>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</si>
  <si>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</si>
  <si>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</si>
  <si>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</si>
  <si>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</si>
  <si>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</si>
  <si>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</si>
  <si>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</si>
  <si>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</si>
  <si>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</si>
  <si>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</si>
  <si>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</si>
  <si>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</si>
  <si>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</si>
  <si>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</si>
  <si>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</si>
  <si>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</si>
  <si>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</si>
  <si>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</si>
  <si>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</si>
  <si>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</si>
  <si>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</si>
  <si>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</si>
  <si>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</si>
  <si>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</si>
  <si>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</si>
  <si>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</si>
  <si>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</si>
  <si>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</si>
  <si>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</si>
  <si>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</si>
  <si>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</si>
  <si>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</si>
  <si>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</si>
  <si>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</si>
  <si>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</si>
  <si>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</si>
  <si>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</si>
  <si>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</si>
  <si>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</si>
  <si>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</si>
  <si>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</si>
  <si>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</si>
  <si>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</si>
  <si>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</si>
  <si>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</si>
  <si>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</si>
  <si>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</si>
  <si>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</si>
  <si>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</si>
  <si>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</si>
  <si>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</si>
  <si>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</si>
  <si>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</si>
  <si>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</si>
  <si>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</si>
  <si>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</si>
  <si>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</si>
  <si>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</si>
  <si>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</si>
  <si>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</si>
  <si>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</si>
  <si>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</si>
  <si>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</si>
  <si>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</si>
  <si>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</si>
  <si>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</si>
  <si>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</si>
  <si>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</si>
  <si>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</si>
  <si>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</si>
  <si>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</si>
  <si>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</si>
  <si>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</si>
  <si>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</si>
  <si>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</si>
  <si>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</si>
  <si>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</si>
  <si>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</si>
  <si>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</si>
  <si>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</si>
  <si>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</si>
  <si>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</si>
  <si>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</si>
  <si>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</si>
  <si>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</si>
  <si>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</si>
  <si>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</si>
  <si>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</si>
  <si>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</si>
  <si>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</si>
  <si>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</si>
  <si>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</si>
  <si>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</si>
  <si>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</si>
  <si>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</si>
  <si>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</si>
  <si>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</si>
  <si>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</si>
  <si>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</si>
  <si>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</si>
  <si>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</si>
  <si>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</si>
  <si>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</si>
  <si>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</si>
  <si>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</si>
  <si>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</si>
  <si>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</si>
  <si>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</si>
  <si>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</si>
  <si>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</si>
  <si>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</si>
  <si>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</si>
  <si>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</si>
  <si>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</si>
  <si>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</si>
  <si>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</si>
  <si>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</si>
  <si>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</si>
  <si>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</si>
  <si>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</si>
  <si>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</si>
  <si>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</si>
  <si>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</si>
  <si>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</si>
  <si>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</si>
  <si>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</si>
  <si>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</si>
  <si>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</si>
  <si>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</si>
  <si>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</si>
  <si>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</si>
  <si>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</si>
  <si>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</si>
  <si>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</si>
  <si>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</si>
  <si>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</si>
  <si>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</si>
  <si>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</si>
  <si>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</si>
  <si>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</si>
  <si>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</si>
  <si>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</si>
  <si>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</si>
  <si>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</si>
  <si>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</si>
  <si>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</si>
  <si>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</si>
  <si>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</si>
  <si>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</si>
  <si>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</si>
  <si>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</si>
  <si>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</si>
  <si>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</si>
  <si>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</si>
  <si>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</si>
  <si>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</si>
  <si>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</si>
  <si>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</si>
  <si>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</si>
  <si>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</si>
  <si>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</si>
  <si>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</si>
  <si>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</si>
  <si>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</si>
  <si>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</si>
  <si>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</si>
  <si>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</si>
  <si>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</si>
  <si>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</si>
  <si>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</si>
  <si>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</si>
  <si>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</si>
  <si>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</si>
  <si>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</si>
  <si>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</si>
  <si>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</si>
  <si>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</si>
  <si>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</si>
  <si>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</si>
  <si>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</si>
  <si>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</si>
  <si>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</si>
  <si>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</si>
  <si>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</si>
  <si>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</si>
  <si>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</si>
  <si>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</si>
  <si>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</si>
  <si>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</si>
  <si>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</si>
  <si>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</si>
  <si>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</si>
  <si>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</si>
  <si>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</si>
  <si>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</si>
  <si>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</si>
  <si>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</si>
  <si>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</si>
  <si>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</si>
  <si>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</si>
  <si>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</si>
  <si>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</si>
  <si>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</si>
  <si>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</si>
  <si>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</si>
  <si>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</si>
  <si>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</si>
  <si>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</si>
  <si>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</si>
  <si>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</si>
  <si>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</si>
  <si>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</si>
  <si>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</si>
  <si>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</si>
  <si>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</si>
  <si>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</si>
  <si>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</si>
  <si>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</si>
  <si>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</si>
  <si>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</si>
  <si>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</si>
  <si>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</si>
  <si>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</si>
  <si>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</si>
  <si>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</si>
  <si>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</si>
  <si>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</si>
  <si>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</si>
  <si>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</si>
  <si>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</si>
  <si>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</si>
  <si>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</si>
  <si>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</si>
  <si>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</si>
  <si>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72020</t>
  </si>
  <si>
    <t>LOMMEL</t>
  </si>
  <si>
    <t>Eandis (januari 2018); Infrax (juni 2018)</t>
  </si>
  <si>
    <t>MOW (september 2017)</t>
  </si>
  <si>
    <t>referentietaak LNE (2017); Jaarverslag De Lijn (2016)</t>
  </si>
  <si>
    <t>VEA (april 2018)</t>
  </si>
  <si>
    <t>VEA (januari 2017)</t>
  </si>
  <si>
    <t>VEA (juni 2018)</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</si>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</sst>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290807.97064453067</c:v>
                </c:pt>
                <c:pt idx="1">
                  <c:v>208452.56562782003</c:v>
                </c:pt>
                <c:pt idx="2">
                  <c:v>2003.385</c:v>
                </c:pt>
                <c:pt idx="3">
                  <c:v>4141.5300694288208</c:v>
                </c:pt>
                <c:pt idx="4">
                  <c:v>426355.19308330293</c:v>
                </c:pt>
                <c:pt idx="5">
                  <c:v>149632.54607622523</c:v>
                </c:pt>
                <c:pt idx="6">
                  <c:v>2298.8295730938476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800960"/>
        <c:axId val="75802496"/>
      </c:barChart>
      <c:catAx>
        <c:axId val="75800960"/>
        <c:scaling>
          <c:orientation val="minMax"/>
        </c:scaling>
        <c:axPos val="b"/>
        <c:numFmt formatCode="General" sourceLinked="0"/>
        <c:tickLblPos val="nextTo"/>
        <c:crossAx val="75802496"/>
        <c:crosses val="autoZero"/>
        <c:auto val="1"/>
        <c:lblAlgn val="ctr"/>
        <c:lblOffset val="100"/>
      </c:catAx>
      <c:valAx>
        <c:axId val="75802496"/>
        <c:scaling>
          <c:orientation val="minMax"/>
        </c:scaling>
        <c:axPos val="l"/>
        <c:majorGridlines>
          <c:spPr>
            <a:ln>
              <a:noFill/>
            </a:ln>
          </c:spPr>
        </c:majorGridlines>
        <c:numFmt formatCode="#,##0" sourceLinked="1"/>
        <c:tickLblPos val="nextTo"/>
        <c:crossAx val="7580096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290807.97064453067</c:v>
                </c:pt>
                <c:pt idx="1">
                  <c:v>208452.56562782003</c:v>
                </c:pt>
                <c:pt idx="2">
                  <c:v>2003.385</c:v>
                </c:pt>
                <c:pt idx="3">
                  <c:v>4141.5300694288208</c:v>
                </c:pt>
                <c:pt idx="4">
                  <c:v>426355.19308330293</c:v>
                </c:pt>
                <c:pt idx="5">
                  <c:v>149632.54607622523</c:v>
                </c:pt>
                <c:pt idx="6">
                  <c:v>2298.8295730938476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51551.001296178169</c:v>
                </c:pt>
                <c:pt idx="2">
                  <c:v>33009.365966196914</c:v>
                </c:pt>
                <c:pt idx="3">
                  <c:v>299.80813073298742</c:v>
                </c:pt>
                <c:pt idx="4">
                  <c:v>1011.3474872146609</c:v>
                </c:pt>
                <c:pt idx="5">
                  <c:v>77794.763385432321</c:v>
                </c:pt>
                <c:pt idx="6">
                  <c:v>37402.505707387885</c:v>
                </c:pt>
                <c:pt idx="7">
                  <c:v>580.8005866811236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73984"/>
        <c:axId val="156479872"/>
      </c:barChart>
      <c:catAx>
        <c:axId val="156473984"/>
        <c:scaling>
          <c:orientation val="minMax"/>
        </c:scaling>
        <c:axPos val="b"/>
        <c:numFmt formatCode="General" sourceLinked="0"/>
        <c:tickLblPos val="nextTo"/>
        <c:crossAx val="156479872"/>
        <c:crosses val="autoZero"/>
        <c:auto val="1"/>
        <c:lblAlgn val="ctr"/>
        <c:lblOffset val="100"/>
      </c:catAx>
      <c:valAx>
        <c:axId val="156479872"/>
        <c:scaling>
          <c:orientation val="minMax"/>
        </c:scaling>
        <c:axPos val="l"/>
        <c:majorGridlines>
          <c:spPr>
            <a:ln>
              <a:noFill/>
            </a:ln>
          </c:spPr>
        </c:majorGridlines>
        <c:numFmt formatCode="#,##0" sourceLinked="1"/>
        <c:tickLblPos val="nextTo"/>
        <c:crossAx val="15647398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51551.001296178169</c:v>
                </c:pt>
                <c:pt idx="2">
                  <c:v>33009.365966196914</c:v>
                </c:pt>
                <c:pt idx="3">
                  <c:v>299.80813073298742</c:v>
                </c:pt>
                <c:pt idx="4">
                  <c:v>1011.3474872146609</c:v>
                </c:pt>
                <c:pt idx="5">
                  <c:v>77794.763385432321</c:v>
                </c:pt>
                <c:pt idx="6">
                  <c:v>37402.505707387885</c:v>
                </c:pt>
                <c:pt idx="7">
                  <c:v>580.8005866811236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72020</v>
      </c>
      <c r="B6" s="415"/>
      <c r="C6" s="416"/>
    </row>
    <row r="7" spans="1:7" s="413" customFormat="1" ht="15.75" customHeight="1">
      <c r="A7" s="417" t="str">
        <f>txtMunicipality</f>
        <v>LOMMEL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0.14965078141894214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0.14965078141894214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13976</v>
      </c>
      <c r="C9" s="342">
        <v>14437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2013.81</v>
      </c>
    </row>
    <row r="15" spans="1:6">
      <c r="A15" s="348" t="s">
        <v>184</v>
      </c>
      <c r="B15" s="334">
        <v>10</v>
      </c>
    </row>
    <row r="16" spans="1:6">
      <c r="A16" s="348" t="s">
        <v>6</v>
      </c>
      <c r="B16" s="334">
        <v>554</v>
      </c>
    </row>
    <row r="17" spans="1:6">
      <c r="A17" s="348" t="s">
        <v>7</v>
      </c>
      <c r="B17" s="334">
        <v>216</v>
      </c>
    </row>
    <row r="18" spans="1:6">
      <c r="A18" s="348" t="s">
        <v>8</v>
      </c>
      <c r="B18" s="334">
        <v>511</v>
      </c>
    </row>
    <row r="19" spans="1:6">
      <c r="A19" s="348" t="s">
        <v>9</v>
      </c>
      <c r="B19" s="334">
        <v>471</v>
      </c>
    </row>
    <row r="20" spans="1:6">
      <c r="A20" s="348" t="s">
        <v>10</v>
      </c>
      <c r="B20" s="334">
        <v>178</v>
      </c>
    </row>
    <row r="21" spans="1:6">
      <c r="A21" s="348" t="s">
        <v>11</v>
      </c>
      <c r="B21" s="334">
        <v>3840</v>
      </c>
    </row>
    <row r="22" spans="1:6">
      <c r="A22" s="348" t="s">
        <v>12</v>
      </c>
      <c r="B22" s="334">
        <v>1750</v>
      </c>
    </row>
    <row r="23" spans="1:6">
      <c r="A23" s="348" t="s">
        <v>13</v>
      </c>
      <c r="B23" s="334">
        <v>60</v>
      </c>
    </row>
    <row r="24" spans="1:6">
      <c r="A24" s="348" t="s">
        <v>14</v>
      </c>
      <c r="B24" s="334">
        <v>5</v>
      </c>
    </row>
    <row r="25" spans="1:6">
      <c r="A25" s="348" t="s">
        <v>15</v>
      </c>
      <c r="B25" s="334">
        <v>840</v>
      </c>
    </row>
    <row r="26" spans="1:6">
      <c r="A26" s="348" t="s">
        <v>16</v>
      </c>
      <c r="B26" s="334">
        <v>50</v>
      </c>
    </row>
    <row r="27" spans="1:6">
      <c r="A27" s="348" t="s">
        <v>17</v>
      </c>
      <c r="B27" s="334">
        <v>0</v>
      </c>
    </row>
    <row r="28" spans="1:6" s="356" customFormat="1">
      <c r="A28" s="355" t="s">
        <v>18</v>
      </c>
      <c r="B28" s="355">
        <v>94681</v>
      </c>
    </row>
    <row r="29" spans="1:6">
      <c r="A29" s="355" t="s">
        <v>744</v>
      </c>
      <c r="B29" s="355">
        <v>180</v>
      </c>
      <c r="C29" s="356"/>
      <c r="D29" s="356"/>
      <c r="E29" s="356"/>
      <c r="F29" s="356"/>
    </row>
    <row r="30" spans="1:6">
      <c r="A30" s="341" t="s">
        <v>745</v>
      </c>
      <c r="B30" s="341">
        <v>84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158213</v>
      </c>
    </row>
    <row r="37" spans="1:6">
      <c r="A37" s="348" t="s">
        <v>25</v>
      </c>
      <c r="B37" s="348" t="s">
        <v>28</v>
      </c>
      <c r="C37" s="334">
        <v>0</v>
      </c>
      <c r="D37" s="334">
        <v>0</v>
      </c>
      <c r="E37" s="334">
        <v>0</v>
      </c>
      <c r="F37" s="334">
        <v>0</v>
      </c>
    </row>
    <row r="38" spans="1:6">
      <c r="A38" s="348" t="s">
        <v>25</v>
      </c>
      <c r="B38" s="348" t="s">
        <v>29</v>
      </c>
      <c r="C38" s="334">
        <v>0</v>
      </c>
      <c r="D38" s="334">
        <v>0</v>
      </c>
      <c r="E38" s="334">
        <v>2</v>
      </c>
      <c r="F38" s="334">
        <v>73627</v>
      </c>
    </row>
    <row r="39" spans="1:6">
      <c r="A39" s="348" t="s">
        <v>30</v>
      </c>
      <c r="B39" s="348" t="s">
        <v>31</v>
      </c>
      <c r="C39" s="334">
        <v>8542</v>
      </c>
      <c r="D39" s="334">
        <v>134205058.59999999</v>
      </c>
      <c r="E39" s="334">
        <v>13999</v>
      </c>
      <c r="F39" s="334">
        <v>47881731.649999999</v>
      </c>
    </row>
    <row r="40" spans="1:6">
      <c r="A40" s="348" t="s">
        <v>30</v>
      </c>
      <c r="B40" s="348" t="s">
        <v>29</v>
      </c>
      <c r="C40" s="334">
        <v>0</v>
      </c>
      <c r="D40" s="334">
        <v>0</v>
      </c>
      <c r="E40" s="334">
        <v>0</v>
      </c>
      <c r="F40" s="334">
        <v>0</v>
      </c>
    </row>
    <row r="41" spans="1:6">
      <c r="A41" s="348" t="s">
        <v>32</v>
      </c>
      <c r="B41" s="348" t="s">
        <v>33</v>
      </c>
      <c r="C41" s="334">
        <v>117</v>
      </c>
      <c r="D41" s="334">
        <v>34174395.278999999</v>
      </c>
      <c r="E41" s="334">
        <v>255</v>
      </c>
      <c r="F41" s="334">
        <v>26407741.048999999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22</v>
      </c>
      <c r="D44" s="334">
        <v>4183608.1150000002</v>
      </c>
      <c r="E44" s="334">
        <v>76</v>
      </c>
      <c r="F44" s="334">
        <v>43565549.931000002</v>
      </c>
    </row>
    <row r="45" spans="1:6">
      <c r="A45" s="348" t="s">
        <v>32</v>
      </c>
      <c r="B45" s="348" t="s">
        <v>37</v>
      </c>
      <c r="C45" s="334">
        <v>6</v>
      </c>
      <c r="D45" s="334">
        <v>335711</v>
      </c>
      <c r="E45" s="334">
        <v>18</v>
      </c>
      <c r="F45" s="334">
        <v>2634956.2170000002</v>
      </c>
    </row>
    <row r="46" spans="1:6">
      <c r="A46" s="348" t="s">
        <v>32</v>
      </c>
      <c r="B46" s="348" t="s">
        <v>38</v>
      </c>
      <c r="C46" s="334">
        <v>0</v>
      </c>
      <c r="D46" s="334">
        <v>0</v>
      </c>
      <c r="E46" s="334">
        <v>0</v>
      </c>
      <c r="F46" s="334">
        <v>0</v>
      </c>
    </row>
    <row r="47" spans="1:6">
      <c r="A47" s="348" t="s">
        <v>32</v>
      </c>
      <c r="B47" s="348" t="s">
        <v>39</v>
      </c>
      <c r="C47" s="334">
        <v>3</v>
      </c>
      <c r="D47" s="334">
        <v>187180</v>
      </c>
      <c r="E47" s="334">
        <v>9</v>
      </c>
      <c r="F47" s="334">
        <v>1828502.5560000001</v>
      </c>
    </row>
    <row r="48" spans="1:6">
      <c r="A48" s="348" t="s">
        <v>32</v>
      </c>
      <c r="B48" s="348" t="s">
        <v>29</v>
      </c>
      <c r="C48" s="334">
        <v>2</v>
      </c>
      <c r="D48" s="334">
        <v>340878</v>
      </c>
      <c r="E48" s="334">
        <v>1</v>
      </c>
      <c r="F48" s="334">
        <v>20601</v>
      </c>
    </row>
    <row r="49" spans="1:6">
      <c r="A49" s="348" t="s">
        <v>32</v>
      </c>
      <c r="B49" s="348" t="s">
        <v>40</v>
      </c>
      <c r="C49" s="334">
        <v>0</v>
      </c>
      <c r="D49" s="334">
        <v>0</v>
      </c>
      <c r="E49" s="334">
        <v>0</v>
      </c>
      <c r="F49" s="334">
        <v>0</v>
      </c>
    </row>
    <row r="50" spans="1:6">
      <c r="A50" s="348" t="s">
        <v>32</v>
      </c>
      <c r="B50" s="348" t="s">
        <v>41</v>
      </c>
      <c r="C50" s="334">
        <v>9</v>
      </c>
      <c r="D50" s="334">
        <v>229669944</v>
      </c>
      <c r="E50" s="334">
        <v>25</v>
      </c>
      <c r="F50" s="334">
        <v>52567669.600000001</v>
      </c>
    </row>
    <row r="51" spans="1:6">
      <c r="A51" s="348" t="s">
        <v>42</v>
      </c>
      <c r="B51" s="348" t="s">
        <v>43</v>
      </c>
      <c r="C51" s="334">
        <v>8</v>
      </c>
      <c r="D51" s="334">
        <v>301819</v>
      </c>
      <c r="E51" s="334">
        <v>42</v>
      </c>
      <c r="F51" s="334">
        <v>724556.5</v>
      </c>
    </row>
    <row r="52" spans="1:6">
      <c r="A52" s="348" t="s">
        <v>42</v>
      </c>
      <c r="B52" s="348" t="s">
        <v>29</v>
      </c>
      <c r="C52" s="334">
        <v>0</v>
      </c>
      <c r="D52" s="334">
        <v>0</v>
      </c>
      <c r="E52" s="334">
        <v>0</v>
      </c>
      <c r="F52" s="334">
        <v>0</v>
      </c>
    </row>
    <row r="53" spans="1:6">
      <c r="A53" s="348" t="s">
        <v>44</v>
      </c>
      <c r="B53" s="348" t="s">
        <v>45</v>
      </c>
      <c r="C53" s="334">
        <v>100</v>
      </c>
      <c r="D53" s="334">
        <v>3491799.3360000001</v>
      </c>
      <c r="E53" s="334">
        <v>298</v>
      </c>
      <c r="F53" s="334">
        <v>2715712.5</v>
      </c>
    </row>
    <row r="54" spans="1:6">
      <c r="A54" s="348" t="s">
        <v>46</v>
      </c>
      <c r="B54" s="348" t="s">
        <v>47</v>
      </c>
      <c r="C54" s="334">
        <v>0</v>
      </c>
      <c r="D54" s="334">
        <v>0</v>
      </c>
      <c r="E54" s="334">
        <v>3</v>
      </c>
      <c r="F54" s="334">
        <v>2003385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122</v>
      </c>
      <c r="D57" s="334">
        <v>11917211.986</v>
      </c>
      <c r="E57" s="334">
        <v>242</v>
      </c>
      <c r="F57" s="334">
        <v>26384972.866</v>
      </c>
    </row>
    <row r="58" spans="1:6">
      <c r="A58" s="348" t="s">
        <v>49</v>
      </c>
      <c r="B58" s="348" t="s">
        <v>51</v>
      </c>
      <c r="C58" s="334">
        <v>74</v>
      </c>
      <c r="D58" s="334">
        <v>2839186</v>
      </c>
      <c r="E58" s="334">
        <v>114</v>
      </c>
      <c r="F58" s="334">
        <v>1757743.4650000001</v>
      </c>
    </row>
    <row r="59" spans="1:6">
      <c r="A59" s="348" t="s">
        <v>49</v>
      </c>
      <c r="B59" s="348" t="s">
        <v>52</v>
      </c>
      <c r="C59" s="334">
        <v>286</v>
      </c>
      <c r="D59" s="334">
        <v>14805957.449999999</v>
      </c>
      <c r="E59" s="334">
        <v>497</v>
      </c>
      <c r="F59" s="334">
        <v>18902863.368000001</v>
      </c>
    </row>
    <row r="60" spans="1:6">
      <c r="A60" s="348" t="s">
        <v>49</v>
      </c>
      <c r="B60" s="348" t="s">
        <v>53</v>
      </c>
      <c r="C60" s="334">
        <v>134</v>
      </c>
      <c r="D60" s="334">
        <v>35161468</v>
      </c>
      <c r="E60" s="334">
        <v>168</v>
      </c>
      <c r="F60" s="334">
        <v>12834552</v>
      </c>
    </row>
    <row r="61" spans="1:6">
      <c r="A61" s="348" t="s">
        <v>49</v>
      </c>
      <c r="B61" s="348" t="s">
        <v>54</v>
      </c>
      <c r="C61" s="334">
        <v>232</v>
      </c>
      <c r="D61" s="334">
        <v>10512316.446</v>
      </c>
      <c r="E61" s="334">
        <v>420</v>
      </c>
      <c r="F61" s="334">
        <v>12601991.481000001</v>
      </c>
    </row>
    <row r="62" spans="1:6">
      <c r="A62" s="348" t="s">
        <v>49</v>
      </c>
      <c r="B62" s="348" t="s">
        <v>55</v>
      </c>
      <c r="C62" s="334">
        <v>28</v>
      </c>
      <c r="D62" s="334">
        <v>7650402.2580000004</v>
      </c>
      <c r="E62" s="334">
        <v>42</v>
      </c>
      <c r="F62" s="334">
        <v>1598639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11202</v>
      </c>
      <c r="E65" s="334">
        <v>1</v>
      </c>
      <c r="F65" s="334">
        <v>50313</v>
      </c>
    </row>
    <row r="66" spans="1:6">
      <c r="A66" s="348" t="s">
        <v>56</v>
      </c>
      <c r="B66" s="348" t="s">
        <v>58</v>
      </c>
      <c r="C66" s="334">
        <v>0</v>
      </c>
      <c r="D66" s="334">
        <v>0</v>
      </c>
      <c r="E66" s="334">
        <v>19</v>
      </c>
      <c r="F66" s="334">
        <v>289979.14600000001</v>
      </c>
    </row>
    <row r="67" spans="1:6">
      <c r="A67" s="355" t="s">
        <v>56</v>
      </c>
      <c r="B67" s="355" t="s">
        <v>59</v>
      </c>
      <c r="C67" s="334">
        <v>0</v>
      </c>
      <c r="D67" s="334">
        <v>0</v>
      </c>
      <c r="E67" s="334">
        <v>0</v>
      </c>
      <c r="F67" s="334">
        <v>0</v>
      </c>
    </row>
    <row r="68" spans="1:6">
      <c r="A68" s="341" t="s">
        <v>56</v>
      </c>
      <c r="B68" s="341" t="s">
        <v>60</v>
      </c>
      <c r="C68" s="334">
        <v>7</v>
      </c>
      <c r="D68" s="334">
        <v>235700</v>
      </c>
      <c r="E68" s="334">
        <v>13</v>
      </c>
      <c r="F68" s="334">
        <v>112262.55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149537387</v>
      </c>
      <c r="E73" s="475">
        <v>151100723.50256094</v>
      </c>
    </row>
    <row r="74" spans="1:6">
      <c r="A74" s="348" t="s">
        <v>64</v>
      </c>
      <c r="B74" s="348" t="s">
        <v>657</v>
      </c>
      <c r="C74" s="1295" t="s">
        <v>659</v>
      </c>
      <c r="D74" s="475">
        <v>8553578.5</v>
      </c>
      <c r="E74" s="475">
        <v>8639634.204606317</v>
      </c>
    </row>
    <row r="75" spans="1:6">
      <c r="A75" s="348" t="s">
        <v>65</v>
      </c>
      <c r="B75" s="348" t="s">
        <v>656</v>
      </c>
      <c r="C75" s="1295" t="s">
        <v>660</v>
      </c>
      <c r="D75" s="475">
        <v>40134655</v>
      </c>
      <c r="E75" s="475">
        <v>40781387.648284256</v>
      </c>
    </row>
    <row r="76" spans="1:6">
      <c r="A76" s="348" t="s">
        <v>65</v>
      </c>
      <c r="B76" s="348" t="s">
        <v>657</v>
      </c>
      <c r="C76" s="1295" t="s">
        <v>661</v>
      </c>
      <c r="D76" s="475">
        <v>554978.5</v>
      </c>
      <c r="E76" s="475">
        <v>562457.37054342416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623481</v>
      </c>
      <c r="C83" s="475">
        <v>637539.76573127322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44783.65125662044</v>
      </c>
    </row>
    <row r="91" spans="1:6">
      <c r="A91" s="348" t="s">
        <v>68</v>
      </c>
      <c r="B91" s="334">
        <v>12030.489521937241</v>
      </c>
    </row>
    <row r="92" spans="1:6">
      <c r="A92" s="341" t="s">
        <v>69</v>
      </c>
      <c r="B92" s="342">
        <v>16968.355874134235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3255</v>
      </c>
    </row>
    <row r="98" spans="1:6">
      <c r="A98" s="348" t="s">
        <v>72</v>
      </c>
      <c r="B98" s="334">
        <v>3</v>
      </c>
    </row>
    <row r="99" spans="1:6">
      <c r="A99" s="348" t="s">
        <v>73</v>
      </c>
      <c r="B99" s="334">
        <v>121</v>
      </c>
    </row>
    <row r="100" spans="1:6">
      <c r="A100" s="348" t="s">
        <v>74</v>
      </c>
      <c r="B100" s="334">
        <v>517</v>
      </c>
    </row>
    <row r="101" spans="1:6">
      <c r="A101" s="348" t="s">
        <v>75</v>
      </c>
      <c r="B101" s="334">
        <v>132</v>
      </c>
    </row>
    <row r="102" spans="1:6">
      <c r="A102" s="348" t="s">
        <v>76</v>
      </c>
      <c r="B102" s="334">
        <v>111</v>
      </c>
    </row>
    <row r="103" spans="1:6">
      <c r="A103" s="348" t="s">
        <v>77</v>
      </c>
      <c r="B103" s="334">
        <v>171</v>
      </c>
    </row>
    <row r="104" spans="1:6">
      <c r="A104" s="348" t="s">
        <v>78</v>
      </c>
      <c r="B104" s="334">
        <v>7050</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48</v>
      </c>
      <c r="C123" s="334">
        <v>47</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479</v>
      </c>
    </row>
    <row r="130" spans="1:6">
      <c r="A130" s="348" t="s">
        <v>295</v>
      </c>
      <c r="B130" s="334">
        <v>2</v>
      </c>
    </row>
    <row r="131" spans="1:6">
      <c r="A131" s="348" t="s">
        <v>296</v>
      </c>
      <c r="B131" s="334">
        <v>3</v>
      </c>
    </row>
    <row r="132" spans="1:6">
      <c r="A132" s="341" t="s">
        <v>297</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284653.2753147328</v>
      </c>
      <c r="C3" s="43" t="s">
        <v>170</v>
      </c>
      <c r="D3" s="43"/>
      <c r="E3" s="154"/>
      <c r="F3" s="43"/>
      <c r="G3" s="43"/>
      <c r="H3" s="43"/>
      <c r="I3" s="43"/>
      <c r="J3" s="43"/>
      <c r="K3" s="96"/>
    </row>
    <row r="4" spans="1:11">
      <c r="A4" s="383" t="s">
        <v>171</v>
      </c>
      <c r="B4" s="49">
        <f>IF(ISERROR('SEAP template'!B78+'SEAP template'!C78),0,'SEAP template'!B78+'SEAP template'!C78)</f>
        <v>91899.496652691916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0.14965078141894214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25881.428571428572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2003.385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0.14965078141894214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299.80813073298742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47881.731650000002</v>
      </c>
      <c r="C5" s="17">
        <f>IF(ISERROR('Eigen informatie GS &amp; warmtenet'!B57),0,'Eigen informatie GS &amp; warmtenet'!B57)</f>
        <v>0</v>
      </c>
      <c r="D5" s="30">
        <f>(SUM(HH_hh_gas_kWh,HH_rest_gas_kWh)/1000)*0.902</f>
        <v>121052.96285719999</v>
      </c>
      <c r="E5" s="17">
        <f>B46*B57</f>
        <v>10095.886738254514</v>
      </c>
      <c r="F5" s="17">
        <f>B51*B62</f>
        <v>59328.186496311202</v>
      </c>
      <c r="G5" s="18"/>
      <c r="H5" s="17"/>
      <c r="I5" s="17"/>
      <c r="J5" s="17">
        <f>B50*B61+C50*C61</f>
        <v>0</v>
      </c>
      <c r="K5" s="17"/>
      <c r="L5" s="17"/>
      <c r="M5" s="17"/>
      <c r="N5" s="17">
        <f>B48*B59+C48*C59</f>
        <v>37534.073380827656</v>
      </c>
      <c r="O5" s="17">
        <f>B69*B70*B71</f>
        <v>825.43999999999994</v>
      </c>
      <c r="P5" s="17">
        <f>B77*B78*B79/1000-B77*B78*B79/1000/B80</f>
        <v>2059.1999999999998</v>
      </c>
    </row>
    <row r="6" spans="1:16">
      <c r="A6" s="16" t="s">
        <v>621</v>
      </c>
      <c r="B6" s="788">
        <f>kWh_PV_kleiner_dan_10kW</f>
        <v>12030.489521937241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59912.221171937243</v>
      </c>
      <c r="C8" s="21">
        <f>C5</f>
        <v>0</v>
      </c>
      <c r="D8" s="21">
        <f>D5</f>
        <v>121052.96285719999</v>
      </c>
      <c r="E8" s="21">
        <f>E5</f>
        <v>10095.886738254514</v>
      </c>
      <c r="F8" s="21">
        <f>F5</f>
        <v>59328.186496311202</v>
      </c>
      <c r="G8" s="21"/>
      <c r="H8" s="21"/>
      <c r="I8" s="21"/>
      <c r="J8" s="21">
        <f>J5</f>
        <v>0</v>
      </c>
      <c r="K8" s="21"/>
      <c r="L8" s="21">
        <f>L5</f>
        <v>0</v>
      </c>
      <c r="M8" s="21">
        <f>M5</f>
        <v>0</v>
      </c>
      <c r="N8" s="21">
        <f>N5</f>
        <v>37534.073380827656</v>
      </c>
      <c r="O8" s="21">
        <f>O5</f>
        <v>825.43999999999994</v>
      </c>
      <c r="P8" s="21">
        <f>P5</f>
        <v>2059.1999999999998</v>
      </c>
    </row>
    <row r="9" spans="1:16">
      <c r="B9" s="19"/>
      <c r="C9" s="19"/>
      <c r="D9" s="258"/>
      <c r="E9" s="19"/>
      <c r="F9" s="19"/>
      <c r="G9" s="19"/>
      <c r="H9" s="19"/>
      <c r="I9" s="19"/>
      <c r="J9" s="19"/>
      <c r="K9" s="19"/>
      <c r="L9" s="19"/>
      <c r="M9" s="19"/>
      <c r="N9" s="19"/>
      <c r="O9" s="19"/>
      <c r="P9" s="19"/>
    </row>
    <row r="10" spans="1:16">
      <c r="A10" s="24" t="s">
        <v>214</v>
      </c>
      <c r="B10" s="25">
        <f ca="1">'EF ele_warmte'!B12</f>
        <v>0.14965078141894214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8965.9107149248975</v>
      </c>
      <c r="C12" s="23">
        <f ca="1">C10*C8</f>
        <v>0</v>
      </c>
      <c r="D12" s="23">
        <f>D8*D10</f>
        <v>24452.698497154401</v>
      </c>
      <c r="E12" s="23">
        <f>E10*E8</f>
        <v>2291.7662895837748</v>
      </c>
      <c r="F12" s="23">
        <f>F10*F8</f>
        <v>15840.625794515092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3255</v>
      </c>
      <c r="C18" s="166" t="s">
        <v>111</v>
      </c>
      <c r="D18" s="228"/>
      <c r="E18" s="15"/>
    </row>
    <row r="19" spans="1:7">
      <c r="A19" s="171" t="s">
        <v>72</v>
      </c>
      <c r="B19" s="37">
        <f>aantalw2001_ander</f>
        <v>3</v>
      </c>
      <c r="C19" s="166" t="s">
        <v>111</v>
      </c>
      <c r="D19" s="229"/>
      <c r="E19" s="15"/>
    </row>
    <row r="20" spans="1:7">
      <c r="A20" s="171" t="s">
        <v>73</v>
      </c>
      <c r="B20" s="37">
        <f>aantalw2001_propaan</f>
        <v>121</v>
      </c>
      <c r="C20" s="167">
        <f>IF(ISERROR(B20/SUM($B$20,$B$21,$B$22)*100),0,B20/SUM($B$20,$B$21,$B$22)*100)</f>
        <v>15.714285714285714</v>
      </c>
      <c r="D20" s="229"/>
      <c r="E20" s="15"/>
    </row>
    <row r="21" spans="1:7">
      <c r="A21" s="171" t="s">
        <v>74</v>
      </c>
      <c r="B21" s="37">
        <f>aantalw2001_elektriciteit</f>
        <v>517</v>
      </c>
      <c r="C21" s="167">
        <f>IF(ISERROR(B21/SUM($B$20,$B$21,$B$22)*100),0,B21/SUM($B$20,$B$21,$B$22)*100)</f>
        <v>67.142857142857139</v>
      </c>
      <c r="D21" s="229"/>
      <c r="E21" s="15"/>
    </row>
    <row r="22" spans="1:7">
      <c r="A22" s="171" t="s">
        <v>75</v>
      </c>
      <c r="B22" s="37">
        <f>aantalw2001_hout</f>
        <v>132</v>
      </c>
      <c r="C22" s="167">
        <f>IF(ISERROR(B22/SUM($B$20,$B$21,$B$22)*100),0,B22/SUM($B$20,$B$21,$B$22)*100)</f>
        <v>17.142857142857142</v>
      </c>
      <c r="D22" s="229"/>
      <c r="E22" s="15"/>
    </row>
    <row r="23" spans="1:7">
      <c r="A23" s="171" t="s">
        <v>76</v>
      </c>
      <c r="B23" s="37">
        <f>aantalw2001_niet_gespec</f>
        <v>111</v>
      </c>
      <c r="C23" s="166" t="s">
        <v>111</v>
      </c>
      <c r="D23" s="228"/>
      <c r="E23" s="15"/>
    </row>
    <row r="24" spans="1:7">
      <c r="A24" s="171" t="s">
        <v>77</v>
      </c>
      <c r="B24" s="37">
        <f>aantalw2001_steenkool</f>
        <v>171</v>
      </c>
      <c r="C24" s="166" t="s">
        <v>111</v>
      </c>
      <c r="D24" s="229"/>
      <c r="E24" s="15"/>
    </row>
    <row r="25" spans="1:7">
      <c r="A25" s="171" t="s">
        <v>78</v>
      </c>
      <c r="B25" s="37">
        <f>aantalw2001_stookolie</f>
        <v>7050</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793</v>
      </c>
      <c r="B28" s="37">
        <f>aantalHuishoudens2011</f>
        <v>13976</v>
      </c>
      <c r="C28" s="36"/>
      <c r="D28" s="228"/>
    </row>
    <row r="29" spans="1:7" s="15" customFormat="1">
      <c r="A29" s="230" t="s">
        <v>794</v>
      </c>
      <c r="B29" s="37">
        <f>SUM(HH_hh_gas_aantal,HH_rest_gas_aantal)</f>
        <v>8542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8542</v>
      </c>
      <c r="C32" s="167">
        <f>IF(ISERROR(B32/SUM($B$32,$B$34,$B$35,$B$36,$B$38,$B$39)*100),0,B32/SUM($B$32,$B$34,$B$35,$B$36,$B$38,$B$39)*100)</f>
        <v>61.595038938563597</v>
      </c>
      <c r="D32" s="233"/>
      <c r="G32" s="15"/>
    </row>
    <row r="33" spans="1:7">
      <c r="A33" s="171" t="s">
        <v>72</v>
      </c>
      <c r="B33" s="34" t="s">
        <v>111</v>
      </c>
      <c r="C33" s="167"/>
      <c r="D33" s="233"/>
      <c r="G33" s="15"/>
    </row>
    <row r="34" spans="1:7">
      <c r="A34" s="171" t="s">
        <v>73</v>
      </c>
      <c r="B34" s="33">
        <f>IF((($B$28-$B$32-$B$39-$B$77-$B$38)*C20/100)&lt;0,0,($B$28-$B$32-$B$39-$B$77-$B$38)*C20/100)</f>
        <v>476.81857142857143</v>
      </c>
      <c r="C34" s="167">
        <f>IF(ISERROR(B34/SUM($B$32,$B$34,$B$35,$B$36,$B$38,$B$39)*100),0,B34/SUM($B$32,$B$34,$B$35,$B$36,$B$38,$B$39)*100)</f>
        <v>3.4382648646421363</v>
      </c>
      <c r="D34" s="233"/>
      <c r="G34" s="15"/>
    </row>
    <row r="35" spans="1:7">
      <c r="A35" s="171" t="s">
        <v>74</v>
      </c>
      <c r="B35" s="33">
        <f>IF((($B$28-$B$32-$B$39-$B$77-$B$38)*C21/100)&lt;0,0,($B$28-$B$32-$B$39-$B$77-$B$38)*C21/100)</f>
        <v>2037.3157142857142</v>
      </c>
      <c r="C35" s="167">
        <f>IF(ISERROR(B35/SUM($B$32,$B$34,$B$35,$B$36,$B$38,$B$39)*100),0,B35/SUM($B$32,$B$34,$B$35,$B$36,$B$38,$B$39)*100)</f>
        <v>14.690768058016399</v>
      </c>
      <c r="D35" s="233"/>
      <c r="G35" s="15"/>
    </row>
    <row r="36" spans="1:7">
      <c r="A36" s="171" t="s">
        <v>75</v>
      </c>
      <c r="B36" s="33">
        <f>IF((($B$28-$B$32-$B$39-$B$77-$B$38)*C22/100)&lt;0,0,($B$28-$B$32-$B$39-$B$77-$B$38)*C22/100)</f>
        <v>520.16571428571433</v>
      </c>
      <c r="C36" s="167">
        <f>IF(ISERROR(B36/SUM($B$32,$B$34,$B$35,$B$36,$B$38,$B$39)*100),0,B36/SUM($B$32,$B$34,$B$35,$B$36,$B$38,$B$39)*100)</f>
        <v>3.7508343977914214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2291.6999999999998</v>
      </c>
      <c r="C39" s="167">
        <f>IF(ISERROR(B39/SUM($B$32,$B$34,$B$35,$B$36,$B$38,$B$39)*100),0,B39/SUM($B$32,$B$34,$B$35,$B$36,$B$38,$B$39)*100)</f>
        <v>16.525093740986442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8542</v>
      </c>
      <c r="C44" s="34" t="s">
        <v>111</v>
      </c>
      <c r="D44" s="174"/>
    </row>
    <row r="45" spans="1:7">
      <c r="A45" s="171" t="s">
        <v>72</v>
      </c>
      <c r="B45" s="33" t="str">
        <f t="shared" si="0"/>
        <v>-</v>
      </c>
      <c r="C45" s="34" t="s">
        <v>111</v>
      </c>
      <c r="D45" s="174"/>
    </row>
    <row r="46" spans="1:7">
      <c r="A46" s="171" t="s">
        <v>73</v>
      </c>
      <c r="B46" s="33">
        <f t="shared" si="0"/>
        <v>476.81857142857143</v>
      </c>
      <c r="C46" s="34" t="s">
        <v>111</v>
      </c>
      <c r="D46" s="174"/>
    </row>
    <row r="47" spans="1:7">
      <c r="A47" s="171" t="s">
        <v>74</v>
      </c>
      <c r="B47" s="33">
        <f t="shared" si="0"/>
        <v>2037.3157142857142</v>
      </c>
      <c r="C47" s="34" t="s">
        <v>111</v>
      </c>
      <c r="D47" s="174"/>
    </row>
    <row r="48" spans="1:7">
      <c r="A48" s="171" t="s">
        <v>75</v>
      </c>
      <c r="B48" s="33">
        <f t="shared" si="0"/>
        <v>520.16571428571433</v>
      </c>
      <c r="C48" s="33">
        <f>B48*10</f>
        <v>5201.6571428571433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2291.6999999999998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74080.762180000005</v>
      </c>
      <c r="C5" s="17">
        <f>IF(ISERROR('Eigen informatie GS &amp; warmtenet'!B58),0,'Eigen informatie GS &amp; warmtenet'!B58)</f>
        <v>0</v>
      </c>
      <c r="D5" s="30">
        <f>SUM(D6:D12)</f>
        <v>74763.661010280004</v>
      </c>
      <c r="E5" s="17">
        <f>SUM(E6:E12)</f>
        <v>925.15303983286492</v>
      </c>
      <c r="F5" s="17">
        <f>SUM(F6:F12)</f>
        <v>14604.594778610584</v>
      </c>
      <c r="G5" s="18"/>
      <c r="H5" s="17"/>
      <c r="I5" s="17"/>
      <c r="J5" s="17">
        <f>SUM(J6:J12)</f>
        <v>0.57271433468302635</v>
      </c>
      <c r="K5" s="17"/>
      <c r="L5" s="17"/>
      <c r="M5" s="17"/>
      <c r="N5" s="17">
        <f>SUM(N6:N12)</f>
        <v>22479.087366055879</v>
      </c>
      <c r="O5" s="17">
        <f>B38*B39*B40</f>
        <v>3.1266666666666669</v>
      </c>
      <c r="P5" s="17">
        <f>B46*B47*B48/1000-B46*B47*B48/1000/B49</f>
        <v>76.266666666666666</v>
      </c>
      <c r="R5" s="32"/>
    </row>
    <row r="6" spans="1:18">
      <c r="A6" s="32" t="s">
        <v>54</v>
      </c>
      <c r="B6" s="37">
        <f>B26</f>
        <v>12601.991481000001</v>
      </c>
      <c r="C6" s="33"/>
      <c r="D6" s="37">
        <f>IF(ISERROR(TER_kantoor_gas_kWh/1000),0,TER_kantoor_gas_kWh/1000)*0.902</f>
        <v>9482.1094342920005</v>
      </c>
      <c r="E6" s="33">
        <f>$C$26*'E Balans VL '!I12/100/3.6*1000000</f>
        <v>7.8985091246204939E-2</v>
      </c>
      <c r="F6" s="33">
        <f>$C$26*('E Balans VL '!L12+'E Balans VL '!N12)/100/3.6*1000000</f>
        <v>1893.7271863680501</v>
      </c>
      <c r="G6" s="34"/>
      <c r="H6" s="33"/>
      <c r="I6" s="33"/>
      <c r="J6" s="33">
        <f>$C$26*('E Balans VL '!D12+'E Balans VL '!E12)/100/3.6*1000000</f>
        <v>0</v>
      </c>
      <c r="K6" s="33"/>
      <c r="L6" s="33"/>
      <c r="M6" s="33"/>
      <c r="N6" s="33">
        <f>$C$26*'E Balans VL '!Y12/100/3.6*1000000</f>
        <v>12.051936401287925</v>
      </c>
      <c r="O6" s="33"/>
      <c r="P6" s="33"/>
      <c r="R6" s="32"/>
    </row>
    <row r="7" spans="1:18">
      <c r="A7" s="32" t="s">
        <v>53</v>
      </c>
      <c r="B7" s="37">
        <f t="shared" ref="B7:B12" si="0">B27</f>
        <v>12834.552</v>
      </c>
      <c r="C7" s="33"/>
      <c r="D7" s="37">
        <f>IF(ISERROR(TER_horeca_gas_kWh/1000),0,TER_horeca_gas_kWh/1000)*0.902</f>
        <v>31715.644136000003</v>
      </c>
      <c r="E7" s="33">
        <f>$C$27*'E Balans VL '!I9/100/3.6*1000000</f>
        <v>183.7886468117442</v>
      </c>
      <c r="F7" s="33">
        <f>$C$27*('E Balans VL '!L9+'E Balans VL '!N9)/100/3.6*1000000</f>
        <v>1625.2775830329517</v>
      </c>
      <c r="G7" s="34"/>
      <c r="H7" s="33"/>
      <c r="I7" s="33"/>
      <c r="J7" s="33">
        <f>$C$27*('E Balans VL '!D9+'E Balans VL '!E9)/100/3.6*1000000</f>
        <v>0</v>
      </c>
      <c r="K7" s="33"/>
      <c r="L7" s="33"/>
      <c r="M7" s="33"/>
      <c r="N7" s="33">
        <f>$C$27*'E Balans VL '!Y9/100/3.6*1000000</f>
        <v>3.6896507224191004</v>
      </c>
      <c r="O7" s="33"/>
      <c r="P7" s="33"/>
      <c r="R7" s="32"/>
    </row>
    <row r="8" spans="1:18">
      <c r="A8" s="6" t="s">
        <v>52</v>
      </c>
      <c r="B8" s="37">
        <f t="shared" si="0"/>
        <v>18902.863368000002</v>
      </c>
      <c r="C8" s="33"/>
      <c r="D8" s="37">
        <f>IF(ISERROR(TER_handel_gas_kWh/1000),0,TER_handel_gas_kWh/1000)*0.902</f>
        <v>13354.9736199</v>
      </c>
      <c r="E8" s="33">
        <f>$C$28*'E Balans VL '!I13/100/3.6*1000000</f>
        <v>685.60452336068181</v>
      </c>
      <c r="F8" s="33">
        <f>$C$28*('E Balans VL '!L13+'E Balans VL '!N13)/100/3.6*1000000</f>
        <v>3640.8828883374663</v>
      </c>
      <c r="G8" s="34"/>
      <c r="H8" s="33"/>
      <c r="I8" s="33"/>
      <c r="J8" s="33">
        <f>$C$28*('E Balans VL '!D13+'E Balans VL '!E13)/100/3.6*1000000</f>
        <v>0</v>
      </c>
      <c r="K8" s="33"/>
      <c r="L8" s="33"/>
      <c r="M8" s="33"/>
      <c r="N8" s="33">
        <f>$C$28*'E Balans VL '!Y13/100/3.6*1000000</f>
        <v>26.184815119565563</v>
      </c>
      <c r="O8" s="33"/>
      <c r="P8" s="33"/>
      <c r="R8" s="32"/>
    </row>
    <row r="9" spans="1:18">
      <c r="A9" s="32" t="s">
        <v>51</v>
      </c>
      <c r="B9" s="37">
        <f t="shared" si="0"/>
        <v>1757.743465</v>
      </c>
      <c r="C9" s="33"/>
      <c r="D9" s="37">
        <f>IF(ISERROR(TER_gezond_gas_kWh/1000),0,TER_gezond_gas_kWh/1000)*0.902</f>
        <v>2560.945772</v>
      </c>
      <c r="E9" s="33">
        <f>$C$29*'E Balans VL '!I10/100/3.6*1000000</f>
        <v>0.11005209549043045</v>
      </c>
      <c r="F9" s="33">
        <f>$C$29*('E Balans VL '!L10+'E Balans VL '!N10)/100/3.6*1000000</f>
        <v>261.1181435449206</v>
      </c>
      <c r="G9" s="34"/>
      <c r="H9" s="33"/>
      <c r="I9" s="33"/>
      <c r="J9" s="33">
        <f>$C$29*('E Balans VL '!D10+'E Balans VL '!E10)/100/3.6*1000000</f>
        <v>0</v>
      </c>
      <c r="K9" s="33"/>
      <c r="L9" s="33"/>
      <c r="M9" s="33"/>
      <c r="N9" s="33">
        <f>$C$29*'E Balans VL '!Y10/100/3.6*1000000</f>
        <v>27.188945524366268</v>
      </c>
      <c r="O9" s="33"/>
      <c r="P9" s="33"/>
      <c r="R9" s="32"/>
    </row>
    <row r="10" spans="1:18">
      <c r="A10" s="32" t="s">
        <v>50</v>
      </c>
      <c r="B10" s="37">
        <f t="shared" si="0"/>
        <v>26384.972866</v>
      </c>
      <c r="C10" s="33"/>
      <c r="D10" s="37">
        <f>IF(ISERROR(TER_ander_gas_kWh/1000),0,TER_ander_gas_kWh/1000)*0.902</f>
        <v>10749.325211372001</v>
      </c>
      <c r="E10" s="33">
        <f>$C$30*'E Balans VL '!I14/100/3.6*1000000</f>
        <v>31.449944816653677</v>
      </c>
      <c r="F10" s="33">
        <f>$C$30*('E Balans VL '!L14+'E Balans VL '!N14)/100/3.6*1000000</f>
        <v>6903.4818855093918</v>
      </c>
      <c r="G10" s="34"/>
      <c r="H10" s="33"/>
      <c r="I10" s="33"/>
      <c r="J10" s="33">
        <f>$C$30*('E Balans VL '!D14+'E Balans VL '!E14)/100/3.6*1000000</f>
        <v>0.57271433468302635</v>
      </c>
      <c r="K10" s="33"/>
      <c r="L10" s="33"/>
      <c r="M10" s="33"/>
      <c r="N10" s="33">
        <f>$C$30*'E Balans VL '!Y14/100/3.6*1000000</f>
        <v>22405.473326609077</v>
      </c>
      <c r="O10" s="33"/>
      <c r="P10" s="33"/>
      <c r="R10" s="32"/>
    </row>
    <row r="11" spans="1:18">
      <c r="A11" s="32" t="s">
        <v>55</v>
      </c>
      <c r="B11" s="37">
        <f t="shared" si="0"/>
        <v>1598.6389999999999</v>
      </c>
      <c r="C11" s="33"/>
      <c r="D11" s="37">
        <f>IF(ISERROR(TER_onderwijs_gas_kWh/1000),0,TER_onderwijs_gas_kWh/1000)*0.902</f>
        <v>6900.6628367160001</v>
      </c>
      <c r="E11" s="33">
        <f>$C$31*'E Balans VL '!I11/100/3.6*1000000</f>
        <v>24.12088765704852</v>
      </c>
      <c r="F11" s="33">
        <f>$C$31*('E Balans VL '!L11+'E Balans VL '!N11)/100/3.6*1000000</f>
        <v>280.10709181780226</v>
      </c>
      <c r="G11" s="34"/>
      <c r="H11" s="33"/>
      <c r="I11" s="33"/>
      <c r="J11" s="33">
        <f>$C$31*('E Balans VL '!D11+'E Balans VL '!E11)/100/3.6*1000000</f>
        <v>0</v>
      </c>
      <c r="K11" s="33"/>
      <c r="L11" s="33"/>
      <c r="M11" s="33"/>
      <c r="N11" s="33">
        <f>$C$31*'E Balans VL '!Y11/100/3.6*1000000</f>
        <v>4.4986916791649909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18117</v>
      </c>
      <c r="C13" s="247">
        <f ca="1">'lokale energieproductie'!O91+'lokale energieproductie'!O60</f>
        <v>25881.428571428572</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-51762.857142857145</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92197.762180000005</v>
      </c>
      <c r="C16" s="21">
        <f t="shared" ca="1" si="1"/>
        <v>25881.428571428572</v>
      </c>
      <c r="D16" s="21">
        <f t="shared" ca="1" si="1"/>
        <v>74763.661010280004</v>
      </c>
      <c r="E16" s="21">
        <f t="shared" si="1"/>
        <v>925.15303983286492</v>
      </c>
      <c r="F16" s="21">
        <f t="shared" ca="1" si="1"/>
        <v>14604.594778610584</v>
      </c>
      <c r="G16" s="21">
        <f t="shared" si="1"/>
        <v>0</v>
      </c>
      <c r="H16" s="21">
        <f t="shared" si="1"/>
        <v>0</v>
      </c>
      <c r="I16" s="21">
        <f t="shared" si="1"/>
        <v>0</v>
      </c>
      <c r="J16" s="21">
        <f t="shared" si="1"/>
        <v>0.57271433468302635</v>
      </c>
      <c r="K16" s="21">
        <f t="shared" si="1"/>
        <v>0</v>
      </c>
      <c r="L16" s="21">
        <f t="shared" ca="1" si="1"/>
        <v>0</v>
      </c>
      <c r="M16" s="21">
        <f t="shared" si="1"/>
        <v>0</v>
      </c>
      <c r="N16" s="21">
        <f t="shared" ca="1" si="1"/>
        <v>0</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0.14965078141894214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13797.467155314791</v>
      </c>
      <c r="C20" s="23">
        <f t="shared" ref="C20:P20" ca="1" si="2">C16*C18</f>
        <v>0</v>
      </c>
      <c r="D20" s="23">
        <f t="shared" ca="1" si="2"/>
        <v>15102.259524076562</v>
      </c>
      <c r="E20" s="23">
        <f t="shared" si="2"/>
        <v>210.00974004206034</v>
      </c>
      <c r="F20" s="23">
        <f t="shared" ca="1" si="2"/>
        <v>3899.4268058890261</v>
      </c>
      <c r="G20" s="23">
        <f t="shared" si="2"/>
        <v>0</v>
      </c>
      <c r="H20" s="23">
        <f t="shared" si="2"/>
        <v>0</v>
      </c>
      <c r="I20" s="23">
        <f t="shared" si="2"/>
        <v>0</v>
      </c>
      <c r="J20" s="23">
        <f t="shared" si="2"/>
        <v>0.20274087447779132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12601.991481000001</v>
      </c>
      <c r="C26" s="39">
        <f>IF(ISERROR(B26*3.6/1000000/'E Balans VL '!Z12*100),0,B26*3.6/1000000/'E Balans VL '!Z12*100)</f>
        <v>0.2663861367413079</v>
      </c>
      <c r="D26" s="237" t="s">
        <v>754</v>
      </c>
      <c r="F26" s="6"/>
    </row>
    <row r="27" spans="1:18">
      <c r="A27" s="231" t="s">
        <v>53</v>
      </c>
      <c r="B27" s="33">
        <f>IF(ISERROR(TER_horeca_ele_kWh/1000),0,TER_horeca_ele_kWh/1000)</f>
        <v>12834.552</v>
      </c>
      <c r="C27" s="39">
        <f>IF(ISERROR(B27*3.6/1000000/'E Balans VL '!Z9*100),0,B27*3.6/1000000/'E Balans VL '!Z9*100)</f>
        <v>1.0117429504782538</v>
      </c>
      <c r="D27" s="237" t="s">
        <v>754</v>
      </c>
      <c r="F27" s="6"/>
    </row>
    <row r="28" spans="1:18">
      <c r="A28" s="171" t="s">
        <v>52</v>
      </c>
      <c r="B28" s="33">
        <f>IF(ISERROR(TER_handel_ele_kWh/1000),0,TER_handel_ele_kWh/1000)</f>
        <v>18902.863368000002</v>
      </c>
      <c r="C28" s="39">
        <f>IF(ISERROR(B28*3.6/1000000/'E Balans VL '!Z13*100),0,B28*3.6/1000000/'E Balans VL '!Z13*100)</f>
        <v>0.54863747106577798</v>
      </c>
      <c r="D28" s="237" t="s">
        <v>754</v>
      </c>
      <c r="F28" s="6"/>
    </row>
    <row r="29" spans="1:18">
      <c r="A29" s="231" t="s">
        <v>51</v>
      </c>
      <c r="B29" s="33">
        <f>IF(ISERROR(TER_gezond_ele_kWh/1000),0,TER_gezond_ele_kWh/1000)</f>
        <v>1757.743465</v>
      </c>
      <c r="C29" s="39">
        <f>IF(ISERROR(B29*3.6/1000000/'E Balans VL '!Z10*100),0,B29*3.6/1000000/'E Balans VL '!Z10*100)</f>
        <v>0.18511924977406455</v>
      </c>
      <c r="D29" s="237" t="s">
        <v>754</v>
      </c>
      <c r="F29" s="6"/>
    </row>
    <row r="30" spans="1:18">
      <c r="A30" s="231" t="s">
        <v>50</v>
      </c>
      <c r="B30" s="33">
        <f>IF(ISERROR(TER_ander_ele_kWh/1000),0,TER_ander_ele_kWh/1000)</f>
        <v>26384.972866</v>
      </c>
      <c r="C30" s="39">
        <f>IF(ISERROR(B30*3.6/1000000/'E Balans VL '!Z14*100),0,B30*3.6/1000000/'E Balans VL '!Z14*100)</f>
        <v>1.9461613293837596</v>
      </c>
      <c r="D30" s="237" t="s">
        <v>754</v>
      </c>
      <c r="F30" s="6"/>
    </row>
    <row r="31" spans="1:18">
      <c r="A31" s="231" t="s">
        <v>55</v>
      </c>
      <c r="B31" s="33">
        <f>IF(ISERROR(TER_onderwijs_ele_kWh/1000),0,TER_onderwijs_ele_kWh/1000)</f>
        <v>1598.6389999999999</v>
      </c>
      <c r="C31" s="39">
        <f>IF(ISERROR(B31*3.6/1000000/'E Balans VL '!Z11*100),0,B31*3.6/1000000/'E Balans VL '!Z11*100)</f>
        <v>0.39701694836087192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127025.02035300001</v>
      </c>
      <c r="C5" s="17">
        <f>IF(ISERROR('Eigen informatie GS &amp; warmtenet'!B59),0,'Eigen informatie GS &amp; warmtenet'!B59)</f>
        <v>0</v>
      </c>
      <c r="D5" s="30">
        <f>SUM(D6:D15)</f>
        <v>242540.32818738799</v>
      </c>
      <c r="E5" s="17">
        <f>SUM(E6:E15)</f>
        <v>8311.3559438446337</v>
      </c>
      <c r="F5" s="17">
        <f>SUM(F6:F15)</f>
        <v>29602.571871797525</v>
      </c>
      <c r="G5" s="18"/>
      <c r="H5" s="17"/>
      <c r="I5" s="17"/>
      <c r="J5" s="17">
        <f>SUM(J6:J15)</f>
        <v>4.6865733723155234</v>
      </c>
      <c r="K5" s="17"/>
      <c r="L5" s="17"/>
      <c r="M5" s="17"/>
      <c r="N5" s="17">
        <f>SUM(N6:N15)</f>
        <v>18871.230153900426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43565.549931000001</v>
      </c>
      <c r="C8" s="33"/>
      <c r="D8" s="37">
        <f>IF( ISERROR(IND_metaal_Gas_kWH/1000),0,IND_metaal_Gas_kWH/1000)*0.902</f>
        <v>3773.6145197300002</v>
      </c>
      <c r="E8" s="33">
        <f>C30*'E Balans VL '!I18/100/3.6*1000000</f>
        <v>400.54315560727758</v>
      </c>
      <c r="F8" s="33">
        <f>C30*'E Balans VL '!L18/100/3.6*1000000+C30*'E Balans VL '!N18/100/3.6*1000000</f>
        <v>4084.998139550009</v>
      </c>
      <c r="G8" s="34"/>
      <c r="H8" s="33"/>
      <c r="I8" s="33"/>
      <c r="J8" s="40">
        <f>C30*'E Balans VL '!D18/100/3.6*1000000+C30*'E Balans VL '!E18/100/3.6*1000000</f>
        <v>0</v>
      </c>
      <c r="K8" s="33"/>
      <c r="L8" s="33"/>
      <c r="M8" s="33"/>
      <c r="N8" s="33">
        <f>C30*'E Balans VL '!Y18/100/3.6*1000000</f>
        <v>621.5345648687653</v>
      </c>
      <c r="O8" s="33"/>
      <c r="P8" s="33"/>
      <c r="R8" s="32"/>
    </row>
    <row r="9" spans="1:18">
      <c r="A9" s="6" t="s">
        <v>33</v>
      </c>
      <c r="B9" s="37">
        <f t="shared" si="0"/>
        <v>26407.741049</v>
      </c>
      <c r="C9" s="33"/>
      <c r="D9" s="37">
        <f>IF( ISERROR(IND_andere_gas_kWh/1000),0,IND_andere_gas_kWh/1000)*0.902</f>
        <v>30825.304541657999</v>
      </c>
      <c r="E9" s="33">
        <f>C31*'E Balans VL '!I19/100/3.6*1000000</f>
        <v>7719.4968067034069</v>
      </c>
      <c r="F9" s="33">
        <f>C31*'E Balans VL '!L19/100/3.6*1000000+C31*'E Balans VL '!N19/100/3.6*1000000</f>
        <v>21220.618815199759</v>
      </c>
      <c r="G9" s="34"/>
      <c r="H9" s="33"/>
      <c r="I9" s="33"/>
      <c r="J9" s="40">
        <f>C31*'E Balans VL '!D19/100/3.6*1000000+C31*'E Balans VL '!E19/100/3.6*1000000</f>
        <v>0</v>
      </c>
      <c r="K9" s="33"/>
      <c r="L9" s="33"/>
      <c r="M9" s="33"/>
      <c r="N9" s="33">
        <f>C31*'E Balans VL '!Y19/100/3.6*1000000</f>
        <v>8725.5271976157946</v>
      </c>
      <c r="O9" s="33"/>
      <c r="P9" s="33"/>
      <c r="R9" s="32"/>
    </row>
    <row r="10" spans="1:18">
      <c r="A10" s="6" t="s">
        <v>41</v>
      </c>
      <c r="B10" s="37">
        <f t="shared" si="0"/>
        <v>52567.669600000001</v>
      </c>
      <c r="C10" s="33"/>
      <c r="D10" s="37">
        <f>IF( ISERROR(IND_voed_gas_kWh/1000),0,IND_voed_gas_kWh/1000)*0.902</f>
        <v>207162.28948800001</v>
      </c>
      <c r="E10" s="33">
        <f>C32*'E Balans VL '!I20/100/3.6*1000000</f>
        <v>111.20772011017074</v>
      </c>
      <c r="F10" s="33">
        <f>C32*'E Balans VL '!L20/100/3.6*1000000+C32*'E Balans VL '!N20/100/3.6*1000000</f>
        <v>3342.3061294678755</v>
      </c>
      <c r="G10" s="34"/>
      <c r="H10" s="33"/>
      <c r="I10" s="33"/>
      <c r="J10" s="40">
        <f>C32*'E Balans VL '!D20/100/3.6*1000000+C32*'E Balans VL '!E20/100/3.6*1000000</f>
        <v>0</v>
      </c>
      <c r="K10" s="33"/>
      <c r="L10" s="33"/>
      <c r="M10" s="33"/>
      <c r="N10" s="33">
        <f>C32*'E Balans VL '!Y20/100/3.6*1000000</f>
        <v>3627.6879528390627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2634.9562170000004</v>
      </c>
      <c r="C12" s="33"/>
      <c r="D12" s="37">
        <f>IF( ISERROR(IND_min_gas_kWh/1000),0,IND_min_gas_kWh/1000)*0.902</f>
        <v>302.81132200000002</v>
      </c>
      <c r="E12" s="33">
        <f>C34*'E Balans VL '!I22/100/3.6*1000000</f>
        <v>76.376530866128448</v>
      </c>
      <c r="F12" s="33">
        <f>C34*'E Balans VL '!L22/100/3.6*1000000+C34*'E Balans VL '!N22/100/3.6*1000000</f>
        <v>905.92772307346547</v>
      </c>
      <c r="G12" s="34"/>
      <c r="H12" s="33"/>
      <c r="I12" s="33"/>
      <c r="J12" s="40">
        <f>C34*'E Balans VL '!D22/100/3.6*1000000+C34*'E Balans VL '!E22/100/3.6*1000000</f>
        <v>4.3300270967429606</v>
      </c>
      <c r="K12" s="33"/>
      <c r="L12" s="33"/>
      <c r="M12" s="33"/>
      <c r="N12" s="33">
        <f>C34*'E Balans VL '!Y22/100/3.6*1000000</f>
        <v>576.83521690433622</v>
      </c>
      <c r="O12" s="33"/>
      <c r="P12" s="33"/>
      <c r="R12" s="32"/>
    </row>
    <row r="13" spans="1:18">
      <c r="A13" s="6" t="s">
        <v>39</v>
      </c>
      <c r="B13" s="37">
        <f t="shared" si="0"/>
        <v>1828.5025560000001</v>
      </c>
      <c r="C13" s="33"/>
      <c r="D13" s="37">
        <f>IF( ISERROR(IND_papier_gas_kWh/1000),0,IND_papier_gas_kWh/1000)*0.902</f>
        <v>168.83636000000001</v>
      </c>
      <c r="E13" s="33">
        <f>C35*'E Balans VL '!I23/100/3.6*1000000</f>
        <v>2.5942269516757297</v>
      </c>
      <c r="F13" s="33">
        <f>C35*'E Balans VL '!L23/100/3.6*1000000+C35*'E Balans VL '!N23/100/3.6*1000000</f>
        <v>44.640623004871657</v>
      </c>
      <c r="G13" s="34"/>
      <c r="H13" s="33"/>
      <c r="I13" s="33"/>
      <c r="J13" s="40">
        <f>C35*'E Balans VL '!D23/100/3.6*1000000+C35*'E Balans VL '!E23/100/3.6*1000000</f>
        <v>0.28279508731351077</v>
      </c>
      <c r="K13" s="33"/>
      <c r="L13" s="33"/>
      <c r="M13" s="33"/>
      <c r="N13" s="33">
        <f>C35*'E Balans VL '!Y23/100/3.6*1000000</f>
        <v>5315.0240940069607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20.600999999999999</v>
      </c>
      <c r="C15" s="33"/>
      <c r="D15" s="37">
        <f>IF( ISERROR(IND_rest_gas_kWh/1000),0,IND_rest_gas_kWh/1000)*0.902</f>
        <v>307.47195599999998</v>
      </c>
      <c r="E15" s="33">
        <f>C37*'E Balans VL '!I15/100/3.6*1000000</f>
        <v>1.1375036059746924</v>
      </c>
      <c r="F15" s="33">
        <f>C37*'E Balans VL '!L15/100/3.6*1000000+C37*'E Balans VL '!N15/100/3.6*1000000</f>
        <v>4.0804415015402347</v>
      </c>
      <c r="G15" s="34"/>
      <c r="H15" s="33"/>
      <c r="I15" s="33"/>
      <c r="J15" s="40">
        <f>C37*'E Balans VL '!D15/100/3.6*1000000+C37*'E Balans VL '!E15/100/3.6*1000000</f>
        <v>7.3751188259052414E-2</v>
      </c>
      <c r="K15" s="33"/>
      <c r="L15" s="33"/>
      <c r="M15" s="33"/>
      <c r="N15" s="33">
        <f>C37*'E Balans VL '!Y15/100/3.6*1000000</f>
        <v>4.6211276655085145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127025.02035300001</v>
      </c>
      <c r="C18" s="21">
        <f>C5+C16</f>
        <v>0</v>
      </c>
      <c r="D18" s="21">
        <f>MAX((D5+D16),0)</f>
        <v>242540.32818738799</v>
      </c>
      <c r="E18" s="21">
        <f>MAX((E5+E16),0)</f>
        <v>8311.3559438446337</v>
      </c>
      <c r="F18" s="21">
        <f>MAX((F5+F16),0)</f>
        <v>29602.571871797525</v>
      </c>
      <c r="G18" s="21"/>
      <c r="H18" s="21"/>
      <c r="I18" s="21"/>
      <c r="J18" s="21">
        <f>MAX((J5+J16),0)</f>
        <v>4.6865733723155234</v>
      </c>
      <c r="K18" s="21"/>
      <c r="L18" s="21">
        <f>MAX((L5+L16),0)</f>
        <v>0</v>
      </c>
      <c r="M18" s="21"/>
      <c r="N18" s="21">
        <f>MAX((N5+N16),0)</f>
        <v>18871.230153900426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0.14965078141894214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19009.393555583483</v>
      </c>
      <c r="C22" s="23">
        <f ca="1">C18*C20</f>
        <v>0</v>
      </c>
      <c r="D22" s="23">
        <f>D18*D20</f>
        <v>48993.146293852376</v>
      </c>
      <c r="E22" s="23">
        <f>E18*E20</f>
        <v>1886.6777992527318</v>
      </c>
      <c r="F22" s="23">
        <f>F18*F20</f>
        <v>7903.8866897699399</v>
      </c>
      <c r="G22" s="23"/>
      <c r="H22" s="23"/>
      <c r="I22" s="23"/>
      <c r="J22" s="23">
        <f>J18*J20</f>
        <v>1.6590469737996951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43565.549931000001</v>
      </c>
      <c r="C30" s="39">
        <f>IF(ISERROR(B30*3.6/1000000/'E Balans VL '!Z18*100),0,B30*3.6/1000000/'E Balans VL '!Z18*100)</f>
        <v>2.4689714239661273</v>
      </c>
      <c r="D30" s="237" t="s">
        <v>754</v>
      </c>
    </row>
    <row r="31" spans="1:18">
      <c r="A31" s="6" t="s">
        <v>33</v>
      </c>
      <c r="B31" s="37">
        <f>IF( ISERROR(IND_ander_ele_kWh/1000),0,IND_ander_ele_kWh/1000)</f>
        <v>26407.741049</v>
      </c>
      <c r="C31" s="39">
        <f>IF(ISERROR(B31*3.6/1000000/'E Balans VL '!Z19*100),0,B31*3.6/1000000/'E Balans VL '!Z19*100)</f>
        <v>1.1977451740627307</v>
      </c>
      <c r="D31" s="237" t="s">
        <v>754</v>
      </c>
    </row>
    <row r="32" spans="1:18">
      <c r="A32" s="171" t="s">
        <v>41</v>
      </c>
      <c r="B32" s="37">
        <f>IF( ISERROR(IND_voed_ele_kWh/1000),0,IND_voed_ele_kWh/1000)</f>
        <v>52567.669600000001</v>
      </c>
      <c r="C32" s="39">
        <f>IF(ISERROR(B32*3.6/1000000/'E Balans VL '!Z20*100),0,B32*3.6/1000000/'E Balans VL '!Z20*100)</f>
        <v>1.6261566577985449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2634.9562170000004</v>
      </c>
      <c r="C34" s="39">
        <f>IF(ISERROR(B34*3.6/1000000/'E Balans VL '!Z22*100),0,B34*3.6/1000000/'E Balans VL '!Z22*100)</f>
        <v>0.47394641375113172</v>
      </c>
      <c r="D34" s="237" t="s">
        <v>754</v>
      </c>
    </row>
    <row r="35" spans="1:5">
      <c r="A35" s="171" t="s">
        <v>39</v>
      </c>
      <c r="B35" s="37">
        <f>IF( ISERROR(IND_papier_ele_kWh/1000),0,IND_papier_ele_kWh/1000)</f>
        <v>1828.5025560000001</v>
      </c>
      <c r="C35" s="39">
        <f>IF(ISERROR(B35*3.6/1000000/'E Balans VL '!Z22*100),0,B35*3.6/1000000/'E Balans VL '!Z22*100)</f>
        <v>0.32889056120167703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20.600999999999999</v>
      </c>
      <c r="C37" s="39">
        <f>IF(ISERROR(B37*3.6/1000000/'E Balans VL '!Z15*100),0,B37*3.6/1000000/'E Balans VL '!Z15*100)</f>
        <v>1.6328822543419308E-4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724.55650000000003</v>
      </c>
      <c r="C5" s="17">
        <f>'Eigen informatie GS &amp; warmtenet'!B60</f>
        <v>0</v>
      </c>
      <c r="D5" s="30">
        <f>IF(ISERROR(SUM(LB_lb_gas_kWh,LB_rest_gas_kWh)/1000),0,SUM(LB_lb_gas_kWh,LB_rest_gas_kWh)/1000)*0.902</f>
        <v>272.24073800000002</v>
      </c>
      <c r="E5" s="17">
        <f>B17*'E Balans VL '!I25/3.6*1000000/100</f>
        <v>21.296928585984656</v>
      </c>
      <c r="F5" s="17">
        <f>B17*('E Balans VL '!L25/3.6*1000000+'E Balans VL '!N25/3.6*1000000)/100</f>
        <v>3018.4632260217877</v>
      </c>
      <c r="G5" s="18"/>
      <c r="H5" s="17"/>
      <c r="I5" s="17"/>
      <c r="J5" s="17">
        <f>('E Balans VL '!D25+'E Balans VL '!E25)/3.6*1000000*landbouw!B17/100</f>
        <v>104.97267682104857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724.55650000000003</v>
      </c>
      <c r="C8" s="21">
        <f>C5+C6</f>
        <v>0</v>
      </c>
      <c r="D8" s="21">
        <f>MAX((D5+D6),0)</f>
        <v>272.24073800000002</v>
      </c>
      <c r="E8" s="21">
        <f>MAX((E5+E6),0)</f>
        <v>21.296928585984656</v>
      </c>
      <c r="F8" s="21">
        <f>MAX((F5+F6),0)</f>
        <v>3018.4632260217877</v>
      </c>
      <c r="G8" s="21"/>
      <c r="H8" s="21"/>
      <c r="I8" s="21"/>
      <c r="J8" s="21">
        <f>MAX((J5+J6),0)</f>
        <v>104.97267682104857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0.14965078141894214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108.43044640717376</v>
      </c>
      <c r="C12" s="23">
        <f ca="1">C8*C10</f>
        <v>0</v>
      </c>
      <c r="D12" s="23">
        <f>D8*D10</f>
        <v>54.992629076000007</v>
      </c>
      <c r="E12" s="23">
        <f>E8*E10</f>
        <v>4.8344027890185171</v>
      </c>
      <c r="F12" s="23">
        <f>F8*F10</f>
        <v>805.92968134781734</v>
      </c>
      <c r="G12" s="23"/>
      <c r="H12" s="23"/>
      <c r="I12" s="23"/>
      <c r="J12" s="23">
        <f>J8*J10</f>
        <v>37.160327594651193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0.10281684057669238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164.51072527442864</v>
      </c>
      <c r="C26" s="247">
        <f>B26*'GWP N2O_CH4'!B5</f>
        <v>3454.7252307630015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52.782221762919832</v>
      </c>
      <c r="C27" s="247">
        <f>B27*'GWP N2O_CH4'!B5</f>
        <v>1108.4266570213165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2.0591138501996653</v>
      </c>
      <c r="C28" s="247">
        <f>B28*'GWP N2O_CH4'!B4</f>
        <v>638.32529356189627</v>
      </c>
      <c r="D28" s="50"/>
    </row>
    <row r="29" spans="1:4">
      <c r="A29" s="41" t="s">
        <v>277</v>
      </c>
      <c r="B29" s="247">
        <f>B34*'ha_N2O bodem landbouw'!B4</f>
        <v>13.102331949755618</v>
      </c>
      <c r="C29" s="247">
        <f>B29*'GWP N2O_CH4'!B4</f>
        <v>4061.7229044242413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2.9899069982896238E-3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2.6862339526401136E-4</v>
      </c>
      <c r="C5" s="463" t="s">
        <v>211</v>
      </c>
      <c r="D5" s="448">
        <f>SUM(D6:D11)</f>
        <v>9.383589251369302E-4</v>
      </c>
      <c r="E5" s="448">
        <f>SUM(E6:E11)</f>
        <v>1.2513349905794065E-3</v>
      </c>
      <c r="F5" s="461" t="s">
        <v>211</v>
      </c>
      <c r="G5" s="448">
        <f>SUM(G6:G11)</f>
        <v>0.40372942155075581</v>
      </c>
      <c r="H5" s="448">
        <f>SUM(H6:H11)</f>
        <v>0.10578097889878206</v>
      </c>
      <c r="I5" s="463" t="s">
        <v>211</v>
      </c>
      <c r="J5" s="463" t="s">
        <v>211</v>
      </c>
      <c r="K5" s="463" t="s">
        <v>211</v>
      </c>
      <c r="L5" s="463" t="s">
        <v>211</v>
      </c>
      <c r="M5" s="448">
        <f>SUM(M6:M11)</f>
        <v>2.6708448113892655E-2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2.1178261272079537E-4</v>
      </c>
      <c r="C6" s="449"/>
      <c r="D6" s="892">
        <f>vkm_2011_GW_PW*SUMIFS(TableVerdeelsleutelVkm[CNG],TableVerdeelsleutelVkm[Voertuigtype],"Lichte voertuigen")*SUMIFS(TableECFTransport[EnergieConsumptieFactor (PJ per km)],TableECFTransport[Index],CONCATENATE($A6,"_CNG_CNG"))</f>
        <v>6.3522628599918909E-4</v>
      </c>
      <c r="E6" s="892">
        <f>vkm_2011_GW_PW*SUMIFS(TableVerdeelsleutelVkm[LPG],TableVerdeelsleutelVkm[Voertuigtype],"Lichte voertuigen")*SUMIFS(TableECFTransport[EnergieConsumptieFactor (PJ per km)],TableECFTransport[Index],CONCATENATE($A6,"_LPG_LPG"))</f>
        <v>8.6781035243407932E-4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0.22437597609459306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7.224968077840295E-2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1.5240408590997673E-2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8.026720051850797E-2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2.4463811680239103E-5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4.690544392138429E-3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5.6840782543215982E-5</v>
      </c>
      <c r="C8" s="449"/>
      <c r="D8" s="451">
        <f>vkm_2011_NGW_PW*SUMIFS(TableVerdeelsleutelVkm[CNG],TableVerdeelsleutelVkm[Voertuigtype],"Lichte voertuigen")*SUMIFS(TableECFTransport[EnergieConsumptieFactor (PJ per km)],TableECFTransport[Index],CONCATENATE($A8,"_CNG_CNG"))</f>
        <v>3.0313263913774117E-4</v>
      </c>
      <c r="E8" s="451">
        <f>vkm_2011_NGW_PW*SUMIFS(TableVerdeelsleutelVkm[LPG],TableVerdeelsleutelVkm[Voertuigtype],"Lichte voertuigen")*SUMIFS(TableECFTransport[EnergieConsumptieFactor (PJ per km)],TableECFTransport[Index],CONCATENATE($A8,"_LPG_LPG"))</f>
        <v>3.8352463814532705E-4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9.2408389654373299E-2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3.350491827358619E-2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6.3872673141906365E-3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6.677855283281465E-3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1.9160351126872688E-6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3.9022781656591535E-4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74.617609795558707</v>
      </c>
      <c r="C14" s="21"/>
      <c r="D14" s="21">
        <f t="shared" ref="D14:M14" si="0">((D5)*10^9/3600)+D12</f>
        <v>260.65525698248064</v>
      </c>
      <c r="E14" s="21">
        <f t="shared" si="0"/>
        <v>347.59305293872404</v>
      </c>
      <c r="F14" s="21"/>
      <c r="G14" s="21">
        <f t="shared" si="0"/>
        <v>112147.06154187661</v>
      </c>
      <c r="H14" s="21">
        <f t="shared" si="0"/>
        <v>29383.605249661683</v>
      </c>
      <c r="I14" s="21"/>
      <c r="J14" s="21"/>
      <c r="K14" s="21"/>
      <c r="L14" s="21"/>
      <c r="M14" s="21">
        <f t="shared" si="0"/>
        <v>7419.013364970182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0.14965078141894214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11.166583613519071</v>
      </c>
      <c r="C18" s="23"/>
      <c r="D18" s="23">
        <f t="shared" ref="D18:M18" si="1">D14*D16</f>
        <v>52.652361910461089</v>
      </c>
      <c r="E18" s="23">
        <f t="shared" si="1"/>
        <v>78.903623017090354</v>
      </c>
      <c r="F18" s="23"/>
      <c r="G18" s="23">
        <f t="shared" si="1"/>
        <v>29943.265431681055</v>
      </c>
      <c r="H18" s="23">
        <f t="shared" si="1"/>
        <v>7316.517707165759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7.8310191462623406E-3</v>
      </c>
      <c r="H50" s="321">
        <f t="shared" si="2"/>
        <v>0</v>
      </c>
      <c r="I50" s="321">
        <f t="shared" si="2"/>
        <v>0</v>
      </c>
      <c r="J50" s="321">
        <f t="shared" si="2"/>
        <v>0</v>
      </c>
      <c r="K50" s="321">
        <f t="shared" si="2"/>
        <v>0</v>
      </c>
      <c r="L50" s="321">
        <f t="shared" si="2"/>
        <v>0</v>
      </c>
      <c r="M50" s="321">
        <f t="shared" si="2"/>
        <v>4.4476731687551074E-4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7.8310191462623406E-3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4.4476731687551074E-4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2175.2830961839836</v>
      </c>
      <c r="H54" s="21">
        <f t="shared" si="3"/>
        <v>0</v>
      </c>
      <c r="I54" s="21">
        <f t="shared" si="3"/>
        <v>0</v>
      </c>
      <c r="J54" s="21">
        <f t="shared" si="3"/>
        <v>0</v>
      </c>
      <c r="K54" s="21">
        <f t="shared" si="3"/>
        <v>0</v>
      </c>
      <c r="L54" s="21">
        <f t="shared" si="3"/>
        <v>0</v>
      </c>
      <c r="M54" s="21">
        <f t="shared" si="3"/>
        <v>123.5464769098641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0.14965078141894214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580.8005866811236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94201.14718</v>
      </c>
      <c r="D10" s="1013">
        <f ca="1">tertiair!C16</f>
        <v>25881.428571428572</v>
      </c>
      <c r="E10" s="1013">
        <f ca="1">tertiair!D16</f>
        <v>74763.661010280004</v>
      </c>
      <c r="F10" s="1013">
        <f>tertiair!E16</f>
        <v>925.15303983286492</v>
      </c>
      <c r="G10" s="1013">
        <f ca="1">tertiair!F16</f>
        <v>14604.594778610584</v>
      </c>
      <c r="H10" s="1013">
        <f>tertiair!G16</f>
        <v>0</v>
      </c>
      <c r="I10" s="1013">
        <f>tertiair!H16</f>
        <v>0</v>
      </c>
      <c r="J10" s="1013">
        <f>tertiair!I16</f>
        <v>0</v>
      </c>
      <c r="K10" s="1013">
        <f>tertiair!J16</f>
        <v>0.57271433468302635</v>
      </c>
      <c r="L10" s="1013">
        <f>tertiair!K16</f>
        <v>0</v>
      </c>
      <c r="M10" s="1013">
        <f ca="1">tertiair!L16</f>
        <v>0</v>
      </c>
      <c r="N10" s="1013">
        <f>tertiair!M16</f>
        <v>0</v>
      </c>
      <c r="O10" s="1013">
        <f ca="1">tertiair!N16</f>
        <v>0</v>
      </c>
      <c r="P10" s="1013">
        <f>tertiair!O16</f>
        <v>3.1266666666666669</v>
      </c>
      <c r="Q10" s="1014">
        <f>tertiair!P16</f>
        <v>76.266666666666666</v>
      </c>
      <c r="R10" s="700">
        <f ca="1">SUM(C10:Q10)</f>
        <v>210455.95062782004</v>
      </c>
      <c r="S10" s="67"/>
    </row>
    <row r="11" spans="1:19" s="473" customFormat="1">
      <c r="A11" s="809" t="s">
        <v>225</v>
      </c>
      <c r="B11" s="814"/>
      <c r="C11" s="1013">
        <f>huishoudens!B8</f>
        <v>59912.221171937243</v>
      </c>
      <c r="D11" s="1013">
        <f>huishoudens!C8</f>
        <v>0</v>
      </c>
      <c r="E11" s="1013">
        <f>huishoudens!D8</f>
        <v>121052.96285719999</v>
      </c>
      <c r="F11" s="1013">
        <f>huishoudens!E8</f>
        <v>10095.886738254514</v>
      </c>
      <c r="G11" s="1013">
        <f>huishoudens!F8</f>
        <v>59328.186496311202</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37534.073380827656</v>
      </c>
      <c r="P11" s="1013">
        <f>huishoudens!O8</f>
        <v>825.43999999999994</v>
      </c>
      <c r="Q11" s="1014">
        <f>huishoudens!P8</f>
        <v>2059.1999999999998</v>
      </c>
      <c r="R11" s="700">
        <f>SUM(C11:Q11)</f>
        <v>290807.97064453067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127025.02035300001</v>
      </c>
      <c r="D13" s="1013">
        <f>industrie!C18</f>
        <v>0</v>
      </c>
      <c r="E13" s="1013">
        <f>industrie!D18</f>
        <v>242540.32818738799</v>
      </c>
      <c r="F13" s="1013">
        <f>industrie!E18</f>
        <v>8311.3559438446337</v>
      </c>
      <c r="G13" s="1013">
        <f>industrie!F18</f>
        <v>29602.571871797525</v>
      </c>
      <c r="H13" s="1013">
        <f>industrie!G18</f>
        <v>0</v>
      </c>
      <c r="I13" s="1013">
        <f>industrie!H18</f>
        <v>0</v>
      </c>
      <c r="J13" s="1013">
        <f>industrie!I18</f>
        <v>0</v>
      </c>
      <c r="K13" s="1013">
        <f>industrie!J18</f>
        <v>4.6865733723155234</v>
      </c>
      <c r="L13" s="1013">
        <f>industrie!K18</f>
        <v>0</v>
      </c>
      <c r="M13" s="1013">
        <f>industrie!L18</f>
        <v>0</v>
      </c>
      <c r="N13" s="1013">
        <f>industrie!M18</f>
        <v>0</v>
      </c>
      <c r="O13" s="1013">
        <f>industrie!N18</f>
        <v>18871.230153900426</v>
      </c>
      <c r="P13" s="1013">
        <f>industrie!O18</f>
        <v>0</v>
      </c>
      <c r="Q13" s="1014">
        <f>industrie!P18</f>
        <v>0</v>
      </c>
      <c r="R13" s="700">
        <f>SUM(C13:Q13)</f>
        <v>426355.19308330293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281138.38870493724</v>
      </c>
      <c r="D16" s="732">
        <f t="shared" ref="D16:R16" ca="1" si="0">SUM(D9:D15)</f>
        <v>25881.428571428572</v>
      </c>
      <c r="E16" s="732">
        <f t="shared" ca="1" si="0"/>
        <v>438356.95205486799</v>
      </c>
      <c r="F16" s="732">
        <f t="shared" si="0"/>
        <v>19332.395721932015</v>
      </c>
      <c r="G16" s="732">
        <f t="shared" ca="1" si="0"/>
        <v>103535.35314671931</v>
      </c>
      <c r="H16" s="732">
        <f t="shared" si="0"/>
        <v>0</v>
      </c>
      <c r="I16" s="732">
        <f t="shared" si="0"/>
        <v>0</v>
      </c>
      <c r="J16" s="732">
        <f t="shared" si="0"/>
        <v>0</v>
      </c>
      <c r="K16" s="732">
        <f t="shared" si="0"/>
        <v>5.25928770699855</v>
      </c>
      <c r="L16" s="732">
        <f t="shared" si="0"/>
        <v>0</v>
      </c>
      <c r="M16" s="732">
        <f t="shared" ca="1" si="0"/>
        <v>0</v>
      </c>
      <c r="N16" s="732">
        <f t="shared" si="0"/>
        <v>0</v>
      </c>
      <c r="O16" s="732">
        <f t="shared" ca="1" si="0"/>
        <v>56405.303534728082</v>
      </c>
      <c r="P16" s="732">
        <f t="shared" si="0"/>
        <v>828.56666666666661</v>
      </c>
      <c r="Q16" s="732">
        <f t="shared" si="0"/>
        <v>2135.4666666666667</v>
      </c>
      <c r="R16" s="732">
        <f t="shared" ca="1" si="0"/>
        <v>927619.11435565364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2175.2830961839836</v>
      </c>
      <c r="I19" s="1013">
        <f>transport!H54</f>
        <v>0</v>
      </c>
      <c r="J19" s="1013">
        <f>transport!I54</f>
        <v>0</v>
      </c>
      <c r="K19" s="1013">
        <f>transport!J54</f>
        <v>0</v>
      </c>
      <c r="L19" s="1013">
        <f>transport!K54</f>
        <v>0</v>
      </c>
      <c r="M19" s="1013">
        <f>transport!L54</f>
        <v>0</v>
      </c>
      <c r="N19" s="1013">
        <f>transport!M54</f>
        <v>123.5464769098641</v>
      </c>
      <c r="O19" s="1013">
        <f>transport!N54</f>
        <v>0</v>
      </c>
      <c r="P19" s="1013">
        <f>transport!O54</f>
        <v>0</v>
      </c>
      <c r="Q19" s="1014">
        <f>transport!P54</f>
        <v>0</v>
      </c>
      <c r="R19" s="700">
        <f>SUM(C19:Q19)</f>
        <v>2298.8295730938476</v>
      </c>
      <c r="S19" s="67"/>
    </row>
    <row r="20" spans="1:19" s="473" customFormat="1">
      <c r="A20" s="809" t="s">
        <v>307</v>
      </c>
      <c r="B20" s="814"/>
      <c r="C20" s="1013">
        <f>transport!B14</f>
        <v>74.617609795558707</v>
      </c>
      <c r="D20" s="1013">
        <f>transport!C14</f>
        <v>0</v>
      </c>
      <c r="E20" s="1013">
        <f>transport!D14</f>
        <v>260.65525698248064</v>
      </c>
      <c r="F20" s="1013">
        <f>transport!E14</f>
        <v>347.59305293872404</v>
      </c>
      <c r="G20" s="1013">
        <f>transport!F14</f>
        <v>0</v>
      </c>
      <c r="H20" s="1013">
        <f>transport!G14</f>
        <v>112147.06154187661</v>
      </c>
      <c r="I20" s="1013">
        <f>transport!H14</f>
        <v>29383.605249661683</v>
      </c>
      <c r="J20" s="1013">
        <f>transport!I14</f>
        <v>0</v>
      </c>
      <c r="K20" s="1013">
        <f>transport!J14</f>
        <v>0</v>
      </c>
      <c r="L20" s="1013">
        <f>transport!K14</f>
        <v>0</v>
      </c>
      <c r="M20" s="1013">
        <f>transport!L14</f>
        <v>0</v>
      </c>
      <c r="N20" s="1013">
        <f>transport!M14</f>
        <v>7419.013364970182</v>
      </c>
      <c r="O20" s="1013">
        <f>transport!N14</f>
        <v>0</v>
      </c>
      <c r="P20" s="1013">
        <f>transport!O14</f>
        <v>0</v>
      </c>
      <c r="Q20" s="1014">
        <f>transport!P14</f>
        <v>0</v>
      </c>
      <c r="R20" s="700">
        <f>SUM(C20:Q20)</f>
        <v>149632.54607622523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74.617609795558707</v>
      </c>
      <c r="D22" s="812">
        <f t="shared" ref="D22:R22" si="1">SUM(D18:D21)</f>
        <v>0</v>
      </c>
      <c r="E22" s="812">
        <f t="shared" si="1"/>
        <v>260.65525698248064</v>
      </c>
      <c r="F22" s="812">
        <f t="shared" si="1"/>
        <v>347.59305293872404</v>
      </c>
      <c r="G22" s="812">
        <f t="shared" si="1"/>
        <v>0</v>
      </c>
      <c r="H22" s="812">
        <f t="shared" si="1"/>
        <v>114322.34463806059</v>
      </c>
      <c r="I22" s="812">
        <f t="shared" si="1"/>
        <v>29383.605249661683</v>
      </c>
      <c r="J22" s="812">
        <f t="shared" si="1"/>
        <v>0</v>
      </c>
      <c r="K22" s="812">
        <f t="shared" si="1"/>
        <v>0</v>
      </c>
      <c r="L22" s="812">
        <f t="shared" si="1"/>
        <v>0</v>
      </c>
      <c r="M22" s="812">
        <f t="shared" si="1"/>
        <v>0</v>
      </c>
      <c r="N22" s="812">
        <f t="shared" si="1"/>
        <v>7542.5598418800464</v>
      </c>
      <c r="O22" s="812">
        <f t="shared" si="1"/>
        <v>0</v>
      </c>
      <c r="P22" s="812">
        <f t="shared" si="1"/>
        <v>0</v>
      </c>
      <c r="Q22" s="812">
        <f t="shared" si="1"/>
        <v>0</v>
      </c>
      <c r="R22" s="812">
        <f t="shared" si="1"/>
        <v>151931.37564931909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724.55650000000003</v>
      </c>
      <c r="D24" s="1013">
        <f>+landbouw!C8</f>
        <v>0</v>
      </c>
      <c r="E24" s="1013">
        <f>+landbouw!D8</f>
        <v>272.24073800000002</v>
      </c>
      <c r="F24" s="1013">
        <f>+landbouw!E8</f>
        <v>21.296928585984656</v>
      </c>
      <c r="G24" s="1013">
        <f>+landbouw!F8</f>
        <v>3018.4632260217877</v>
      </c>
      <c r="H24" s="1013">
        <f>+landbouw!G8</f>
        <v>0</v>
      </c>
      <c r="I24" s="1013">
        <f>+landbouw!H8</f>
        <v>0</v>
      </c>
      <c r="J24" s="1013">
        <f>+landbouw!I8</f>
        <v>0</v>
      </c>
      <c r="K24" s="1013">
        <f>+landbouw!J8</f>
        <v>104.97267682104857</v>
      </c>
      <c r="L24" s="1013">
        <f>+landbouw!K8</f>
        <v>0</v>
      </c>
      <c r="M24" s="1013">
        <f>+landbouw!L8</f>
        <v>0</v>
      </c>
      <c r="N24" s="1013">
        <f>+landbouw!M8</f>
        <v>0</v>
      </c>
      <c r="O24" s="1013">
        <f>+landbouw!N8</f>
        <v>0</v>
      </c>
      <c r="P24" s="1013">
        <f>+landbouw!O8</f>
        <v>0</v>
      </c>
      <c r="Q24" s="1014">
        <f>+landbouw!P8</f>
        <v>0</v>
      </c>
      <c r="R24" s="700">
        <f>SUM(C24:Q24)</f>
        <v>4141.5300694288208</v>
      </c>
      <c r="S24" s="67"/>
    </row>
    <row r="25" spans="1:19" s="473" customFormat="1" ht="15" thickBot="1">
      <c r="A25" s="831" t="s">
        <v>836</v>
      </c>
      <c r="B25" s="1016"/>
      <c r="C25" s="1017">
        <f>IF(Onbekend_ele_kWh="---",0,Onbekend_ele_kWh)/1000+IF(REST_rest_ele_kWh="---",0,REST_rest_ele_kWh)/1000</f>
        <v>2715.7125000000001</v>
      </c>
      <c r="D25" s="1017"/>
      <c r="E25" s="1017">
        <f>IF(onbekend_gas_kWh="---",0,onbekend_gas_kWh)/1000+IF(REST_rest_gas_kWh="---",0,REST_rest_gas_kWh)/1000</f>
        <v>3491.799336</v>
      </c>
      <c r="F25" s="1017"/>
      <c r="G25" s="1017"/>
      <c r="H25" s="1017"/>
      <c r="I25" s="1017"/>
      <c r="J25" s="1017"/>
      <c r="K25" s="1017"/>
      <c r="L25" s="1017"/>
      <c r="M25" s="1017"/>
      <c r="N25" s="1017"/>
      <c r="O25" s="1017"/>
      <c r="P25" s="1017"/>
      <c r="Q25" s="1018"/>
      <c r="R25" s="700">
        <f>SUM(C25:Q25)</f>
        <v>6207.5118359999997</v>
      </c>
      <c r="S25" s="67"/>
    </row>
    <row r="26" spans="1:19" s="473" customFormat="1" ht="15.75" thickBot="1">
      <c r="A26" s="705" t="s">
        <v>837</v>
      </c>
      <c r="B26" s="817"/>
      <c r="C26" s="812">
        <f>SUM(C24:C25)</f>
        <v>3440.2690000000002</v>
      </c>
      <c r="D26" s="812">
        <f t="shared" ref="D26:R26" si="2">SUM(D24:D25)</f>
        <v>0</v>
      </c>
      <c r="E26" s="812">
        <f t="shared" si="2"/>
        <v>3764.040074</v>
      </c>
      <c r="F26" s="812">
        <f t="shared" si="2"/>
        <v>21.296928585984656</v>
      </c>
      <c r="G26" s="812">
        <f t="shared" si="2"/>
        <v>3018.4632260217877</v>
      </c>
      <c r="H26" s="812">
        <f t="shared" si="2"/>
        <v>0</v>
      </c>
      <c r="I26" s="812">
        <f t="shared" si="2"/>
        <v>0</v>
      </c>
      <c r="J26" s="812">
        <f t="shared" si="2"/>
        <v>0</v>
      </c>
      <c r="K26" s="812">
        <f t="shared" si="2"/>
        <v>104.97267682104857</v>
      </c>
      <c r="L26" s="812">
        <f t="shared" si="2"/>
        <v>0</v>
      </c>
      <c r="M26" s="812">
        <f t="shared" si="2"/>
        <v>0</v>
      </c>
      <c r="N26" s="812">
        <f t="shared" si="2"/>
        <v>0</v>
      </c>
      <c r="O26" s="812">
        <f t="shared" si="2"/>
        <v>0</v>
      </c>
      <c r="P26" s="812">
        <f t="shared" si="2"/>
        <v>0</v>
      </c>
      <c r="Q26" s="812">
        <f t="shared" si="2"/>
        <v>0</v>
      </c>
      <c r="R26" s="812">
        <f t="shared" si="2"/>
        <v>10349.041905428821</v>
      </c>
      <c r="S26" s="67"/>
    </row>
    <row r="27" spans="1:19" s="473" customFormat="1" ht="17.25" thickTop="1" thickBot="1">
      <c r="A27" s="706" t="s">
        <v>116</v>
      </c>
      <c r="B27" s="805"/>
      <c r="C27" s="707">
        <f ca="1">C22+C16+C26</f>
        <v>284653.2753147328</v>
      </c>
      <c r="D27" s="707">
        <f t="shared" ref="D27:R27" ca="1" si="3">D22+D16+D26</f>
        <v>25881.428571428572</v>
      </c>
      <c r="E27" s="707">
        <f t="shared" ca="1" si="3"/>
        <v>442381.64738585049</v>
      </c>
      <c r="F27" s="707">
        <f t="shared" si="3"/>
        <v>19701.285703456721</v>
      </c>
      <c r="G27" s="707">
        <f t="shared" ca="1" si="3"/>
        <v>106553.8163727411</v>
      </c>
      <c r="H27" s="707">
        <f t="shared" si="3"/>
        <v>114322.34463806059</v>
      </c>
      <c r="I27" s="707">
        <f t="shared" si="3"/>
        <v>29383.605249661683</v>
      </c>
      <c r="J27" s="707">
        <f t="shared" si="3"/>
        <v>0</v>
      </c>
      <c r="K27" s="707">
        <f t="shared" si="3"/>
        <v>110.23196452804711</v>
      </c>
      <c r="L27" s="707">
        <f t="shared" si="3"/>
        <v>0</v>
      </c>
      <c r="M27" s="707">
        <f t="shared" ca="1" si="3"/>
        <v>0</v>
      </c>
      <c r="N27" s="707">
        <f t="shared" si="3"/>
        <v>7542.5598418800464</v>
      </c>
      <c r="O27" s="707">
        <f t="shared" ca="1" si="3"/>
        <v>56405.303534728082</v>
      </c>
      <c r="P27" s="707">
        <f t="shared" si="3"/>
        <v>828.56666666666661</v>
      </c>
      <c r="Q27" s="707">
        <f t="shared" si="3"/>
        <v>2135.4666666666667</v>
      </c>
      <c r="R27" s="707">
        <f t="shared" ca="1" si="3"/>
        <v>1089899.5319104015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14097.275286047778</v>
      </c>
      <c r="D40" s="1013">
        <f ca="1">tertiair!C20</f>
        <v>0</v>
      </c>
      <c r="E40" s="1013">
        <f ca="1">tertiair!D20</f>
        <v>15102.259524076562</v>
      </c>
      <c r="F40" s="1013">
        <f>tertiair!E20</f>
        <v>210.00974004206034</v>
      </c>
      <c r="G40" s="1013">
        <f ca="1">tertiair!F20</f>
        <v>3899.4268058890261</v>
      </c>
      <c r="H40" s="1013">
        <f>tertiair!G20</f>
        <v>0</v>
      </c>
      <c r="I40" s="1013">
        <f>tertiair!H20</f>
        <v>0</v>
      </c>
      <c r="J40" s="1013">
        <f>tertiair!I20</f>
        <v>0</v>
      </c>
      <c r="K40" s="1013">
        <f>tertiair!J20</f>
        <v>0.20274087447779132</v>
      </c>
      <c r="L40" s="1013">
        <f>tertiair!K20</f>
        <v>0</v>
      </c>
      <c r="M40" s="1013">
        <f ca="1">tertiair!L20</f>
        <v>0</v>
      </c>
      <c r="N40" s="1013">
        <f>tertiair!M20</f>
        <v>0</v>
      </c>
      <c r="O40" s="1013">
        <f ca="1">tertiair!N20</f>
        <v>0</v>
      </c>
      <c r="P40" s="1013">
        <f>tertiair!O20</f>
        <v>0</v>
      </c>
      <c r="Q40" s="774">
        <f>tertiair!P20</f>
        <v>0</v>
      </c>
      <c r="R40" s="850">
        <f t="shared" ca="1" si="4"/>
        <v>33309.174096929899</v>
      </c>
    </row>
    <row r="41" spans="1:18">
      <c r="A41" s="822" t="s">
        <v>225</v>
      </c>
      <c r="B41" s="829"/>
      <c r="C41" s="1013">
        <f ca="1">huishoudens!B12</f>
        <v>8965.9107149248975</v>
      </c>
      <c r="D41" s="1013">
        <f ca="1">huishoudens!C12</f>
        <v>0</v>
      </c>
      <c r="E41" s="1013">
        <f>huishoudens!D12</f>
        <v>24452.698497154401</v>
      </c>
      <c r="F41" s="1013">
        <f>huishoudens!E12</f>
        <v>2291.7662895837748</v>
      </c>
      <c r="G41" s="1013">
        <f>huishoudens!F12</f>
        <v>15840.625794515092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51551.001296178169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19009.393555583483</v>
      </c>
      <c r="D43" s="1013">
        <f ca="1">industrie!C22</f>
        <v>0</v>
      </c>
      <c r="E43" s="1013">
        <f>industrie!D22</f>
        <v>48993.146293852376</v>
      </c>
      <c r="F43" s="1013">
        <f>industrie!E22</f>
        <v>1886.6777992527318</v>
      </c>
      <c r="G43" s="1013">
        <f>industrie!F22</f>
        <v>7903.8866897699399</v>
      </c>
      <c r="H43" s="1013">
        <f>industrie!G22</f>
        <v>0</v>
      </c>
      <c r="I43" s="1013">
        <f>industrie!H22</f>
        <v>0</v>
      </c>
      <c r="J43" s="1013">
        <f>industrie!I22</f>
        <v>0</v>
      </c>
      <c r="K43" s="1013">
        <f>industrie!J22</f>
        <v>1.6590469737996951</v>
      </c>
      <c r="L43" s="1013">
        <f>industrie!K22</f>
        <v>0</v>
      </c>
      <c r="M43" s="1013">
        <f>industrie!L22</f>
        <v>0</v>
      </c>
      <c r="N43" s="1013">
        <f>industrie!M22</f>
        <v>0</v>
      </c>
      <c r="O43" s="1013">
        <f>industrie!N22</f>
        <v>0</v>
      </c>
      <c r="P43" s="1013">
        <f>industrie!O22</f>
        <v>0</v>
      </c>
      <c r="Q43" s="774">
        <f>industrie!P22</f>
        <v>0</v>
      </c>
      <c r="R43" s="849">
        <f t="shared" ca="1" si="4"/>
        <v>77794.763385432321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42072.579556556157</v>
      </c>
      <c r="D46" s="732">
        <f t="shared" ref="D46:Q46" ca="1" si="5">SUM(D39:D45)</f>
        <v>0</v>
      </c>
      <c r="E46" s="732">
        <f t="shared" ca="1" si="5"/>
        <v>88548.104315083343</v>
      </c>
      <c r="F46" s="732">
        <f t="shared" si="5"/>
        <v>4388.453828878567</v>
      </c>
      <c r="G46" s="732">
        <f t="shared" ca="1" si="5"/>
        <v>27643.939290174058</v>
      </c>
      <c r="H46" s="732">
        <f t="shared" si="5"/>
        <v>0</v>
      </c>
      <c r="I46" s="732">
        <f t="shared" si="5"/>
        <v>0</v>
      </c>
      <c r="J46" s="732">
        <f t="shared" si="5"/>
        <v>0</v>
      </c>
      <c r="K46" s="732">
        <f t="shared" si="5"/>
        <v>1.8617878482774866</v>
      </c>
      <c r="L46" s="732">
        <f t="shared" si="5"/>
        <v>0</v>
      </c>
      <c r="M46" s="732">
        <f t="shared" ca="1" si="5"/>
        <v>0</v>
      </c>
      <c r="N46" s="732">
        <f t="shared" si="5"/>
        <v>0</v>
      </c>
      <c r="O46" s="732">
        <f t="shared" ca="1" si="5"/>
        <v>0</v>
      </c>
      <c r="P46" s="732">
        <f t="shared" si="5"/>
        <v>0</v>
      </c>
      <c r="Q46" s="732">
        <f t="shared" si="5"/>
        <v>0</v>
      </c>
      <c r="R46" s="732">
        <f ca="1">SUM(R39:R45)</f>
        <v>162654.93877854041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580.8005866811236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580.8005866811236</v>
      </c>
    </row>
    <row r="50" spans="1:18">
      <c r="A50" s="825" t="s">
        <v>307</v>
      </c>
      <c r="B50" s="835"/>
      <c r="C50" s="703">
        <f ca="1">transport!B18</f>
        <v>11.166583613519071</v>
      </c>
      <c r="D50" s="703">
        <f>transport!C18</f>
        <v>0</v>
      </c>
      <c r="E50" s="703">
        <f>transport!D18</f>
        <v>52.652361910461089</v>
      </c>
      <c r="F50" s="703">
        <f>transport!E18</f>
        <v>78.903623017090354</v>
      </c>
      <c r="G50" s="703">
        <f>transport!F18</f>
        <v>0</v>
      </c>
      <c r="H50" s="703">
        <f>transport!G18</f>
        <v>29943.265431681055</v>
      </c>
      <c r="I50" s="703">
        <f>transport!H18</f>
        <v>7316.517707165759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37402.505707387885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11.166583613519071</v>
      </c>
      <c r="D52" s="732">
        <f t="shared" ref="D52:Q52" ca="1" si="6">SUM(D48:D51)</f>
        <v>0</v>
      </c>
      <c r="E52" s="732">
        <f t="shared" si="6"/>
        <v>52.652361910461089</v>
      </c>
      <c r="F52" s="732">
        <f t="shared" si="6"/>
        <v>78.903623017090354</v>
      </c>
      <c r="G52" s="732">
        <f t="shared" si="6"/>
        <v>0</v>
      </c>
      <c r="H52" s="732">
        <f t="shared" si="6"/>
        <v>30524.06601836218</v>
      </c>
      <c r="I52" s="732">
        <f t="shared" si="6"/>
        <v>7316.517707165759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37983.306294069007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108.43044640717376</v>
      </c>
      <c r="D54" s="703">
        <f ca="1">+landbouw!C12</f>
        <v>0</v>
      </c>
      <c r="E54" s="703">
        <f>+landbouw!D12</f>
        <v>54.992629076000007</v>
      </c>
      <c r="F54" s="703">
        <f>+landbouw!E12</f>
        <v>4.8344027890185171</v>
      </c>
      <c r="G54" s="703">
        <f>+landbouw!F12</f>
        <v>805.92968134781734</v>
      </c>
      <c r="H54" s="703">
        <f>+landbouw!G12</f>
        <v>0</v>
      </c>
      <c r="I54" s="703">
        <f>+landbouw!H12</f>
        <v>0</v>
      </c>
      <c r="J54" s="703">
        <f>+landbouw!I12</f>
        <v>0</v>
      </c>
      <c r="K54" s="703">
        <f>+landbouw!J12</f>
        <v>37.160327594651193</v>
      </c>
      <c r="L54" s="703">
        <f>+landbouw!K12</f>
        <v>0</v>
      </c>
      <c r="M54" s="703">
        <f>+landbouw!L12</f>
        <v>0</v>
      </c>
      <c r="N54" s="703">
        <f>+landbouw!M12</f>
        <v>0</v>
      </c>
      <c r="O54" s="703">
        <f>+landbouw!N12</f>
        <v>0</v>
      </c>
      <c r="P54" s="703">
        <f>+landbouw!O12</f>
        <v>0</v>
      </c>
      <c r="Q54" s="704">
        <f>+landbouw!P12</f>
        <v>0</v>
      </c>
      <c r="R54" s="731">
        <f ca="1">SUM(C54:Q54)</f>
        <v>1011.3474872146609</v>
      </c>
    </row>
    <row r="55" spans="1:18" ht="15" thickBot="1">
      <c r="A55" s="825" t="s">
        <v>836</v>
      </c>
      <c r="B55" s="835"/>
      <c r="C55" s="703">
        <f ca="1">C25*'EF ele_warmte'!B12</f>
        <v>406.40849773418893</v>
      </c>
      <c r="D55" s="703"/>
      <c r="E55" s="703">
        <f>E25*EF_CO2_aardgas</f>
        <v>705.34346587200002</v>
      </c>
      <c r="F55" s="703"/>
      <c r="G55" s="703"/>
      <c r="H55" s="703"/>
      <c r="I55" s="703"/>
      <c r="J55" s="703"/>
      <c r="K55" s="703"/>
      <c r="L55" s="703"/>
      <c r="M55" s="703"/>
      <c r="N55" s="703"/>
      <c r="O55" s="703"/>
      <c r="P55" s="703"/>
      <c r="Q55" s="704"/>
      <c r="R55" s="731">
        <f ca="1">SUM(C55:Q55)</f>
        <v>1111.7519636061888</v>
      </c>
    </row>
    <row r="56" spans="1:18" ht="15.75" thickBot="1">
      <c r="A56" s="823" t="s">
        <v>837</v>
      </c>
      <c r="B56" s="836"/>
      <c r="C56" s="732">
        <f ca="1">SUM(C54:C55)</f>
        <v>514.83894414136273</v>
      </c>
      <c r="D56" s="732">
        <f t="shared" ref="D56:Q56" ca="1" si="7">SUM(D54:D55)</f>
        <v>0</v>
      </c>
      <c r="E56" s="732">
        <f t="shared" si="7"/>
        <v>760.33609494799998</v>
      </c>
      <c r="F56" s="732">
        <f t="shared" si="7"/>
        <v>4.8344027890185171</v>
      </c>
      <c r="G56" s="732">
        <f t="shared" si="7"/>
        <v>805.92968134781734</v>
      </c>
      <c r="H56" s="732">
        <f t="shared" si="7"/>
        <v>0</v>
      </c>
      <c r="I56" s="732">
        <f t="shared" si="7"/>
        <v>0</v>
      </c>
      <c r="J56" s="732">
        <f t="shared" si="7"/>
        <v>0</v>
      </c>
      <c r="K56" s="732">
        <f t="shared" si="7"/>
        <v>37.160327594651193</v>
      </c>
      <c r="L56" s="732">
        <f t="shared" si="7"/>
        <v>0</v>
      </c>
      <c r="M56" s="732">
        <f t="shared" si="7"/>
        <v>0</v>
      </c>
      <c r="N56" s="732">
        <f t="shared" si="7"/>
        <v>0</v>
      </c>
      <c r="O56" s="732">
        <f t="shared" si="7"/>
        <v>0</v>
      </c>
      <c r="P56" s="732">
        <f t="shared" si="7"/>
        <v>0</v>
      </c>
      <c r="Q56" s="733">
        <f t="shared" si="7"/>
        <v>0</v>
      </c>
      <c r="R56" s="734">
        <f ca="1">SUM(R54:R55)</f>
        <v>2123.0994508208496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42598.585084311038</v>
      </c>
      <c r="D61" s="740">
        <f t="shared" ref="D61:Q61" ca="1" si="8">D46+D52+D56</f>
        <v>0</v>
      </c>
      <c r="E61" s="740">
        <f t="shared" ca="1" si="8"/>
        <v>89361.092771941796</v>
      </c>
      <c r="F61" s="740">
        <f t="shared" si="8"/>
        <v>4472.1918546846764</v>
      </c>
      <c r="G61" s="740">
        <f t="shared" ca="1" si="8"/>
        <v>28449.868971521875</v>
      </c>
      <c r="H61" s="740">
        <f t="shared" si="8"/>
        <v>30524.06601836218</v>
      </c>
      <c r="I61" s="740">
        <f t="shared" si="8"/>
        <v>7316.517707165759</v>
      </c>
      <c r="J61" s="740">
        <f t="shared" si="8"/>
        <v>0</v>
      </c>
      <c r="K61" s="740">
        <f t="shared" si="8"/>
        <v>39.02211544292868</v>
      </c>
      <c r="L61" s="740">
        <f t="shared" si="8"/>
        <v>0</v>
      </c>
      <c r="M61" s="740">
        <f t="shared" ca="1" si="8"/>
        <v>0</v>
      </c>
      <c r="N61" s="740">
        <f t="shared" si="8"/>
        <v>0</v>
      </c>
      <c r="O61" s="740">
        <f t="shared" ca="1" si="8"/>
        <v>0</v>
      </c>
      <c r="P61" s="740">
        <f t="shared" si="8"/>
        <v>0</v>
      </c>
      <c r="Q61" s="740">
        <f t="shared" si="8"/>
        <v>0</v>
      </c>
      <c r="R61" s="740">
        <f ca="1">R46+R52+R56</f>
        <v>202761.34452343028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0.14965078141894214</v>
      </c>
      <c r="D63" s="781">
        <f t="shared" ca="1" si="9"/>
        <v>0</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44783.65125662044</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28998.845396071476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18117</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21314.117647058822</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91899.496652691916</v>
      </c>
      <c r="C78" s="755">
        <f>SUM(C72:C77)</f>
        <v>0</v>
      </c>
      <c r="D78" s="756">
        <f t="shared" ref="D78:H78" si="10">SUM(D76:D77)</f>
        <v>0</v>
      </c>
      <c r="E78" s="756">
        <f t="shared" si="10"/>
        <v>0</v>
      </c>
      <c r="F78" s="756">
        <f t="shared" si="10"/>
        <v>0</v>
      </c>
      <c r="G78" s="756">
        <f t="shared" si="10"/>
        <v>0</v>
      </c>
      <c r="H78" s="756">
        <f t="shared" si="10"/>
        <v>0</v>
      </c>
      <c r="I78" s="756">
        <f>SUM(I76:I77)</f>
        <v>0</v>
      </c>
      <c r="J78" s="756">
        <f>SUM(J76:J77)</f>
        <v>21314.117647058822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25881.428571428572</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30448.739495798323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25881.428571428572</v>
      </c>
      <c r="C90" s="755">
        <f>SUM(C87:C89)</f>
        <v>0</v>
      </c>
      <c r="D90" s="755">
        <f t="shared" ref="D90:H90" si="12">SUM(D87:D89)</f>
        <v>0</v>
      </c>
      <c r="E90" s="755">
        <f t="shared" si="12"/>
        <v>0</v>
      </c>
      <c r="F90" s="755">
        <f t="shared" si="12"/>
        <v>0</v>
      </c>
      <c r="G90" s="755">
        <f t="shared" si="12"/>
        <v>0</v>
      </c>
      <c r="H90" s="755">
        <f t="shared" si="12"/>
        <v>0</v>
      </c>
      <c r="I90" s="755">
        <f>SUM(I87:I89)</f>
        <v>0</v>
      </c>
      <c r="J90" s="755">
        <f>SUM(J87:J89)</f>
        <v>30448.739495798323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44783.65125662044</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28998.845396071476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18117</v>
      </c>
      <c r="C8" s="570">
        <f>B101</f>
        <v>0</v>
      </c>
      <c r="D8" s="1044"/>
      <c r="E8" s="1044">
        <f>E101</f>
        <v>0</v>
      </c>
      <c r="F8" s="1045"/>
      <c r="G8" s="571"/>
      <c r="H8" s="1044">
        <f>I101</f>
        <v>0</v>
      </c>
      <c r="I8" s="1044">
        <f>G101+F101</f>
        <v>0</v>
      </c>
      <c r="J8" s="1044">
        <f>H101+D101+C101</f>
        <v>21314.117647058822</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91899.496652691916</v>
      </c>
      <c r="C10" s="583">
        <f t="shared" ref="C10:L10" si="0">SUM(C8:C9)</f>
        <v>0</v>
      </c>
      <c r="D10" s="583">
        <f t="shared" si="0"/>
        <v>0</v>
      </c>
      <c r="E10" s="583">
        <f t="shared" si="0"/>
        <v>0</v>
      </c>
      <c r="F10" s="583">
        <f t="shared" si="0"/>
        <v>0</v>
      </c>
      <c r="G10" s="583">
        <f t="shared" si="0"/>
        <v>0</v>
      </c>
      <c r="H10" s="583">
        <f t="shared" si="0"/>
        <v>0</v>
      </c>
      <c r="I10" s="583">
        <f t="shared" si="0"/>
        <v>0</v>
      </c>
      <c r="J10" s="583">
        <f t="shared" si="0"/>
        <v>21314.117647058822</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25881.428571428572</v>
      </c>
      <c r="C17" s="595">
        <f>B102</f>
        <v>0</v>
      </c>
      <c r="D17" s="596"/>
      <c r="E17" s="596">
        <f>E102</f>
        <v>0</v>
      </c>
      <c r="F17" s="1050"/>
      <c r="G17" s="597"/>
      <c r="H17" s="595">
        <f>I102</f>
        <v>0</v>
      </c>
      <c r="I17" s="596">
        <f>G102+F102</f>
        <v>0</v>
      </c>
      <c r="J17" s="596">
        <f>H102+D102+C102</f>
        <v>30448.739495798323</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25881.428571428572</v>
      </c>
      <c r="C20" s="582">
        <f>SUM(C17:C19)</f>
        <v>0</v>
      </c>
      <c r="D20" s="582">
        <f t="shared" ref="D20:L20" si="1">SUM(D17:D19)</f>
        <v>0</v>
      </c>
      <c r="E20" s="582">
        <f t="shared" si="1"/>
        <v>0</v>
      </c>
      <c r="F20" s="582">
        <f t="shared" si="1"/>
        <v>0</v>
      </c>
      <c r="G20" s="582">
        <f t="shared" si="1"/>
        <v>0</v>
      </c>
      <c r="H20" s="582">
        <f t="shared" si="1"/>
        <v>0</v>
      </c>
      <c r="I20" s="582">
        <f t="shared" si="1"/>
        <v>0</v>
      </c>
      <c r="J20" s="582">
        <f t="shared" si="1"/>
        <v>30448.739495798323</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72020</v>
      </c>
      <c r="C28" s="796">
        <v>3920</v>
      </c>
      <c r="D28" s="653" t="s">
        <v>881</v>
      </c>
      <c r="E28" s="652" t="s">
        <v>882</v>
      </c>
      <c r="F28" s="652" t="s">
        <v>883</v>
      </c>
      <c r="G28" s="652" t="s">
        <v>884</v>
      </c>
      <c r="H28" s="652" t="s">
        <v>885</v>
      </c>
      <c r="I28" s="652" t="s">
        <v>886</v>
      </c>
      <c r="J28" s="795">
        <v>39532</v>
      </c>
      <c r="K28" s="795">
        <v>39873</v>
      </c>
      <c r="L28" s="652" t="s">
        <v>887</v>
      </c>
      <c r="M28" s="652">
        <v>4026</v>
      </c>
      <c r="N28" s="652">
        <v>18117</v>
      </c>
      <c r="O28" s="652">
        <v>25881.428571428572</v>
      </c>
      <c r="P28" s="652">
        <v>0</v>
      </c>
      <c r="Q28" s="652">
        <v>51762.857142857145</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4026</v>
      </c>
      <c r="N58" s="610">
        <f>SUM(N28:N57)</f>
        <v>18117</v>
      </c>
      <c r="O58" s="610">
        <f t="shared" ref="O58:W58" si="2">SUM(O28:O57)</f>
        <v>25881.428571428572</v>
      </c>
      <c r="P58" s="610">
        <f t="shared" si="2"/>
        <v>0</v>
      </c>
      <c r="Q58" s="610">
        <f t="shared" si="2"/>
        <v>51762.857142857145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4026</v>
      </c>
      <c r="N60" s="610">
        <f ca="1">SUMIF($Z$28:AD57,"tertiair",N28:N57)</f>
        <v>18117</v>
      </c>
      <c r="O60" s="610">
        <f ca="1">SUMIF($Z$28:AE57,"tertiair",O28:O57)</f>
        <v>25881.428571428572</v>
      </c>
      <c r="P60" s="610">
        <f ca="1">SUMIF($Z$28:AF57,"tertiair",P28:P57)</f>
        <v>0</v>
      </c>
      <c r="Q60" s="610">
        <f ca="1">SUMIF($Z$28:AG57,"tertiair",Q28:Q57)</f>
        <v>51762.857142857145</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21314.117647058822</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30448.739495798323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59912.221171937243</v>
      </c>
      <c r="C4" s="477">
        <f>huishoudens!C8</f>
        <v>0</v>
      </c>
      <c r="D4" s="477">
        <f>huishoudens!D8</f>
        <v>121052.96285719999</v>
      </c>
      <c r="E4" s="477">
        <f>huishoudens!E8</f>
        <v>10095.886738254514</v>
      </c>
      <c r="F4" s="477">
        <f>huishoudens!F8</f>
        <v>59328.186496311202</v>
      </c>
      <c r="G4" s="477">
        <f>huishoudens!G8</f>
        <v>0</v>
      </c>
      <c r="H4" s="477">
        <f>huishoudens!H8</f>
        <v>0</v>
      </c>
      <c r="I4" s="477">
        <f>huishoudens!I8</f>
        <v>0</v>
      </c>
      <c r="J4" s="477">
        <f>huishoudens!J8</f>
        <v>0</v>
      </c>
      <c r="K4" s="477">
        <f>huishoudens!K8</f>
        <v>0</v>
      </c>
      <c r="L4" s="477">
        <f>huishoudens!L8</f>
        <v>0</v>
      </c>
      <c r="M4" s="477">
        <f>huishoudens!M8</f>
        <v>0</v>
      </c>
      <c r="N4" s="477">
        <f>huishoudens!N8</f>
        <v>37534.073380827656</v>
      </c>
      <c r="O4" s="477">
        <f>huishoudens!O8</f>
        <v>825.43999999999994</v>
      </c>
      <c r="P4" s="478">
        <f>huishoudens!P8</f>
        <v>2059.1999999999998</v>
      </c>
      <c r="Q4" s="479">
        <f>SUM(B4:P4)</f>
        <v>290807.97064453067</v>
      </c>
    </row>
    <row r="5" spans="1:17">
      <c r="A5" s="476" t="s">
        <v>156</v>
      </c>
      <c r="B5" s="477">
        <f ca="1">tertiair!B16</f>
        <v>92197.762180000005</v>
      </c>
      <c r="C5" s="477">
        <f ca="1">tertiair!C16</f>
        <v>25881.428571428572</v>
      </c>
      <c r="D5" s="477">
        <f ca="1">tertiair!D16</f>
        <v>74763.661010280004</v>
      </c>
      <c r="E5" s="477">
        <f>tertiair!E16</f>
        <v>925.15303983286492</v>
      </c>
      <c r="F5" s="477">
        <f ca="1">tertiair!F16</f>
        <v>14604.594778610584</v>
      </c>
      <c r="G5" s="477">
        <f>tertiair!G16</f>
        <v>0</v>
      </c>
      <c r="H5" s="477">
        <f>tertiair!H16</f>
        <v>0</v>
      </c>
      <c r="I5" s="477">
        <f>tertiair!I16</f>
        <v>0</v>
      </c>
      <c r="J5" s="477">
        <f>tertiair!J16</f>
        <v>0.57271433468302635</v>
      </c>
      <c r="K5" s="477">
        <f>tertiair!K16</f>
        <v>0</v>
      </c>
      <c r="L5" s="477">
        <f ca="1">tertiair!L16</f>
        <v>0</v>
      </c>
      <c r="M5" s="477">
        <f>tertiair!M16</f>
        <v>0</v>
      </c>
      <c r="N5" s="477">
        <f ca="1">tertiair!N16</f>
        <v>0</v>
      </c>
      <c r="O5" s="477">
        <f>tertiair!O16</f>
        <v>3.1266666666666669</v>
      </c>
      <c r="P5" s="478">
        <f>tertiair!P16</f>
        <v>76.266666666666666</v>
      </c>
      <c r="Q5" s="476">
        <f t="shared" ref="Q5:Q14" ca="1" si="0">SUM(B5:P5)</f>
        <v>208452.56562782003</v>
      </c>
    </row>
    <row r="6" spans="1:17">
      <c r="A6" s="476" t="s">
        <v>194</v>
      </c>
      <c r="B6" s="477">
        <f>'openbare verlichting'!B8</f>
        <v>2003.385</v>
      </c>
      <c r="C6" s="477"/>
      <c r="D6" s="477"/>
      <c r="E6" s="477"/>
      <c r="F6" s="477"/>
      <c r="G6" s="477"/>
      <c r="H6" s="477"/>
      <c r="I6" s="477"/>
      <c r="J6" s="477"/>
      <c r="K6" s="477"/>
      <c r="L6" s="477"/>
      <c r="M6" s="477"/>
      <c r="N6" s="477"/>
      <c r="O6" s="477"/>
      <c r="P6" s="478"/>
      <c r="Q6" s="476">
        <f t="shared" si="0"/>
        <v>2003.385</v>
      </c>
    </row>
    <row r="7" spans="1:17">
      <c r="A7" s="476" t="s">
        <v>112</v>
      </c>
      <c r="B7" s="477">
        <f>landbouw!B8</f>
        <v>724.55650000000003</v>
      </c>
      <c r="C7" s="477">
        <f>landbouw!C8</f>
        <v>0</v>
      </c>
      <c r="D7" s="477">
        <f>landbouw!D8</f>
        <v>272.24073800000002</v>
      </c>
      <c r="E7" s="477">
        <f>landbouw!E8</f>
        <v>21.296928585984656</v>
      </c>
      <c r="F7" s="477">
        <f>landbouw!F8</f>
        <v>3018.4632260217877</v>
      </c>
      <c r="G7" s="477">
        <f>landbouw!G8</f>
        <v>0</v>
      </c>
      <c r="H7" s="477">
        <f>landbouw!H8</f>
        <v>0</v>
      </c>
      <c r="I7" s="477">
        <f>landbouw!I8</f>
        <v>0</v>
      </c>
      <c r="J7" s="477">
        <f>landbouw!J8</f>
        <v>104.97267682104857</v>
      </c>
      <c r="K7" s="477">
        <f>landbouw!K8</f>
        <v>0</v>
      </c>
      <c r="L7" s="477">
        <f>landbouw!L8</f>
        <v>0</v>
      </c>
      <c r="M7" s="477">
        <f>landbouw!M8</f>
        <v>0</v>
      </c>
      <c r="N7" s="477">
        <f>landbouw!N8</f>
        <v>0</v>
      </c>
      <c r="O7" s="477">
        <f>landbouw!O8</f>
        <v>0</v>
      </c>
      <c r="P7" s="478">
        <f>landbouw!P8</f>
        <v>0</v>
      </c>
      <c r="Q7" s="476">
        <f t="shared" si="0"/>
        <v>4141.5300694288208</v>
      </c>
    </row>
    <row r="8" spans="1:17">
      <c r="A8" s="476" t="s">
        <v>635</v>
      </c>
      <c r="B8" s="477">
        <f>industrie!B18</f>
        <v>127025.02035300001</v>
      </c>
      <c r="C8" s="477">
        <f>industrie!C18</f>
        <v>0</v>
      </c>
      <c r="D8" s="477">
        <f>industrie!D18</f>
        <v>242540.32818738799</v>
      </c>
      <c r="E8" s="477">
        <f>industrie!E18</f>
        <v>8311.3559438446337</v>
      </c>
      <c r="F8" s="477">
        <f>industrie!F18</f>
        <v>29602.571871797525</v>
      </c>
      <c r="G8" s="477">
        <f>industrie!G18</f>
        <v>0</v>
      </c>
      <c r="H8" s="477">
        <f>industrie!H18</f>
        <v>0</v>
      </c>
      <c r="I8" s="477">
        <f>industrie!I18</f>
        <v>0</v>
      </c>
      <c r="J8" s="477">
        <f>industrie!J18</f>
        <v>4.6865733723155234</v>
      </c>
      <c r="K8" s="477">
        <f>industrie!K18</f>
        <v>0</v>
      </c>
      <c r="L8" s="477">
        <f>industrie!L18</f>
        <v>0</v>
      </c>
      <c r="M8" s="477">
        <f>industrie!M18</f>
        <v>0</v>
      </c>
      <c r="N8" s="477">
        <f>industrie!N18</f>
        <v>18871.230153900426</v>
      </c>
      <c r="O8" s="477">
        <f>industrie!O18</f>
        <v>0</v>
      </c>
      <c r="P8" s="478">
        <f>industrie!P18</f>
        <v>0</v>
      </c>
      <c r="Q8" s="476">
        <f t="shared" si="0"/>
        <v>426355.19308330293</v>
      </c>
    </row>
    <row r="9" spans="1:17" s="482" customFormat="1">
      <c r="A9" s="480" t="s">
        <v>561</v>
      </c>
      <c r="B9" s="481">
        <f>transport!B14</f>
        <v>74.617609795558707</v>
      </c>
      <c r="C9" s="481">
        <f>transport!C14</f>
        <v>0</v>
      </c>
      <c r="D9" s="481">
        <f>transport!D14</f>
        <v>260.65525698248064</v>
      </c>
      <c r="E9" s="481">
        <f>transport!E14</f>
        <v>347.59305293872404</v>
      </c>
      <c r="F9" s="481">
        <f>transport!F14</f>
        <v>0</v>
      </c>
      <c r="G9" s="481">
        <f>transport!G14</f>
        <v>112147.06154187661</v>
      </c>
      <c r="H9" s="481">
        <f>transport!H14</f>
        <v>29383.605249661683</v>
      </c>
      <c r="I9" s="481">
        <f>transport!I14</f>
        <v>0</v>
      </c>
      <c r="J9" s="481">
        <f>transport!J14</f>
        <v>0</v>
      </c>
      <c r="K9" s="481">
        <f>transport!K14</f>
        <v>0</v>
      </c>
      <c r="L9" s="481">
        <f>transport!L14</f>
        <v>0</v>
      </c>
      <c r="M9" s="481">
        <f>transport!M14</f>
        <v>7419.013364970182</v>
      </c>
      <c r="N9" s="481">
        <f>transport!N14</f>
        <v>0</v>
      </c>
      <c r="O9" s="481">
        <f>transport!O14</f>
        <v>0</v>
      </c>
      <c r="P9" s="481">
        <f>transport!P14</f>
        <v>0</v>
      </c>
      <c r="Q9" s="480">
        <f>SUM(B9:P9)</f>
        <v>149632.54607622523</v>
      </c>
    </row>
    <row r="10" spans="1:17">
      <c r="A10" s="476" t="s">
        <v>551</v>
      </c>
      <c r="B10" s="477">
        <f>transport!B54</f>
        <v>0</v>
      </c>
      <c r="C10" s="477">
        <f>transport!C54</f>
        <v>0</v>
      </c>
      <c r="D10" s="477">
        <f>transport!D54</f>
        <v>0</v>
      </c>
      <c r="E10" s="477">
        <f>transport!E54</f>
        <v>0</v>
      </c>
      <c r="F10" s="477">
        <f>transport!F54</f>
        <v>0</v>
      </c>
      <c r="G10" s="477">
        <f>transport!G54</f>
        <v>2175.2830961839836</v>
      </c>
      <c r="H10" s="477">
        <f>transport!H54</f>
        <v>0</v>
      </c>
      <c r="I10" s="477">
        <f>transport!I54</f>
        <v>0</v>
      </c>
      <c r="J10" s="477">
        <f>transport!J54</f>
        <v>0</v>
      </c>
      <c r="K10" s="477">
        <f>transport!K54</f>
        <v>0</v>
      </c>
      <c r="L10" s="477">
        <f>transport!L54</f>
        <v>0</v>
      </c>
      <c r="M10" s="477">
        <f>transport!M54</f>
        <v>123.5464769098641</v>
      </c>
      <c r="N10" s="477">
        <f>transport!N54</f>
        <v>0</v>
      </c>
      <c r="O10" s="477">
        <f>transport!O54</f>
        <v>0</v>
      </c>
      <c r="P10" s="478">
        <f>transport!P54</f>
        <v>0</v>
      </c>
      <c r="Q10" s="476">
        <f t="shared" si="0"/>
        <v>2298.8295730938476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2715.7125000000001</v>
      </c>
      <c r="C14" s="484"/>
      <c r="D14" s="484">
        <f>'SEAP template'!E25</f>
        <v>3491.799336</v>
      </c>
      <c r="E14" s="484"/>
      <c r="F14" s="484"/>
      <c r="G14" s="484"/>
      <c r="H14" s="484"/>
      <c r="I14" s="484"/>
      <c r="J14" s="484"/>
      <c r="K14" s="484"/>
      <c r="L14" s="484"/>
      <c r="M14" s="484"/>
      <c r="N14" s="484"/>
      <c r="O14" s="484"/>
      <c r="P14" s="485"/>
      <c r="Q14" s="476">
        <f t="shared" si="0"/>
        <v>6207.5118359999997</v>
      </c>
    </row>
    <row r="15" spans="1:17" s="486" customFormat="1">
      <c r="A15" s="1039" t="s">
        <v>555</v>
      </c>
      <c r="B15" s="987">
        <f ca="1">SUM(B4:B14)</f>
        <v>284653.27531473286</v>
      </c>
      <c r="C15" s="987">
        <f t="shared" ref="C15:Q15" ca="1" si="1">SUM(C4:C14)</f>
        <v>25881.428571428572</v>
      </c>
      <c r="D15" s="987">
        <f t="shared" ca="1" si="1"/>
        <v>442381.64738585049</v>
      </c>
      <c r="E15" s="987">
        <f t="shared" si="1"/>
        <v>19701.285703456721</v>
      </c>
      <c r="F15" s="987">
        <f t="shared" ca="1" si="1"/>
        <v>106553.8163727411</v>
      </c>
      <c r="G15" s="987">
        <f t="shared" si="1"/>
        <v>114322.34463806059</v>
      </c>
      <c r="H15" s="987">
        <f t="shared" si="1"/>
        <v>29383.605249661683</v>
      </c>
      <c r="I15" s="987">
        <f t="shared" si="1"/>
        <v>0</v>
      </c>
      <c r="J15" s="987">
        <f t="shared" si="1"/>
        <v>110.23196452804711</v>
      </c>
      <c r="K15" s="987">
        <f t="shared" si="1"/>
        <v>0</v>
      </c>
      <c r="L15" s="987">
        <f t="shared" ca="1" si="1"/>
        <v>0</v>
      </c>
      <c r="M15" s="987">
        <f t="shared" si="1"/>
        <v>7542.5598418800464</v>
      </c>
      <c r="N15" s="987">
        <f t="shared" ca="1" si="1"/>
        <v>56405.303534728082</v>
      </c>
      <c r="O15" s="987">
        <f t="shared" si="1"/>
        <v>828.56666666666661</v>
      </c>
      <c r="P15" s="987">
        <f t="shared" si="1"/>
        <v>2135.4666666666667</v>
      </c>
      <c r="Q15" s="987">
        <f t="shared" ca="1" si="1"/>
        <v>1089899.5319104015</v>
      </c>
    </row>
    <row r="17" spans="1:17">
      <c r="A17" s="487" t="s">
        <v>556</v>
      </c>
      <c r="B17" s="786">
        <f ca="1">huishoudens!B10</f>
        <v>0.14965078141894214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8965.9107149248975</v>
      </c>
      <c r="C22" s="477">
        <f t="shared" ref="C22:C32" ca="1" si="3">C4*$C$17</f>
        <v>0</v>
      </c>
      <c r="D22" s="477">
        <f t="shared" ref="D22:D32" si="4">D4*$D$17</f>
        <v>24452.698497154401</v>
      </c>
      <c r="E22" s="477">
        <f t="shared" ref="E22:E32" si="5">E4*$E$17</f>
        <v>2291.7662895837748</v>
      </c>
      <c r="F22" s="477">
        <f t="shared" ref="F22:F32" si="6">F4*$F$17</f>
        <v>15840.625794515092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51551.001296178169</v>
      </c>
    </row>
    <row r="23" spans="1:17">
      <c r="A23" s="476" t="s">
        <v>156</v>
      </c>
      <c r="B23" s="477">
        <f t="shared" ca="1" si="2"/>
        <v>13797.467155314791</v>
      </c>
      <c r="C23" s="477">
        <f t="shared" ca="1" si="3"/>
        <v>0</v>
      </c>
      <c r="D23" s="477">
        <f t="shared" ca="1" si="4"/>
        <v>15102.259524076562</v>
      </c>
      <c r="E23" s="477">
        <f t="shared" si="5"/>
        <v>210.00974004206034</v>
      </c>
      <c r="F23" s="477">
        <f t="shared" ca="1" si="6"/>
        <v>3899.4268058890261</v>
      </c>
      <c r="G23" s="477">
        <f t="shared" si="7"/>
        <v>0</v>
      </c>
      <c r="H23" s="477">
        <f t="shared" si="8"/>
        <v>0</v>
      </c>
      <c r="I23" s="477">
        <f t="shared" si="9"/>
        <v>0</v>
      </c>
      <c r="J23" s="477">
        <f t="shared" si="10"/>
        <v>0.20274087447779132</v>
      </c>
      <c r="K23" s="477">
        <f t="shared" si="11"/>
        <v>0</v>
      </c>
      <c r="L23" s="477">
        <f t="shared" ca="1" si="12"/>
        <v>0</v>
      </c>
      <c r="M23" s="477">
        <f t="shared" si="13"/>
        <v>0</v>
      </c>
      <c r="N23" s="477">
        <f t="shared" ca="1" si="14"/>
        <v>0</v>
      </c>
      <c r="O23" s="477">
        <f t="shared" si="15"/>
        <v>0</v>
      </c>
      <c r="P23" s="478">
        <f t="shared" si="16"/>
        <v>0</v>
      </c>
      <c r="Q23" s="476">
        <f t="shared" ref="Q23:Q32" ca="1" si="17">SUM(B23:P23)</f>
        <v>33009.365966196914</v>
      </c>
    </row>
    <row r="24" spans="1:17">
      <c r="A24" s="476" t="s">
        <v>194</v>
      </c>
      <c r="B24" s="477">
        <f t="shared" ca="1" si="2"/>
        <v>299.80813073298742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299.80813073298742</v>
      </c>
    </row>
    <row r="25" spans="1:17">
      <c r="A25" s="476" t="s">
        <v>112</v>
      </c>
      <c r="B25" s="477">
        <f t="shared" ca="1" si="2"/>
        <v>108.43044640717376</v>
      </c>
      <c r="C25" s="477">
        <f t="shared" ca="1" si="3"/>
        <v>0</v>
      </c>
      <c r="D25" s="477">
        <f t="shared" si="4"/>
        <v>54.992629076000007</v>
      </c>
      <c r="E25" s="477">
        <f t="shared" si="5"/>
        <v>4.8344027890185171</v>
      </c>
      <c r="F25" s="477">
        <f t="shared" si="6"/>
        <v>805.92968134781734</v>
      </c>
      <c r="G25" s="477">
        <f t="shared" si="7"/>
        <v>0</v>
      </c>
      <c r="H25" s="477">
        <f t="shared" si="8"/>
        <v>0</v>
      </c>
      <c r="I25" s="477">
        <f t="shared" si="9"/>
        <v>0</v>
      </c>
      <c r="J25" s="477">
        <f t="shared" si="10"/>
        <v>37.160327594651193</v>
      </c>
      <c r="K25" s="477">
        <f t="shared" si="11"/>
        <v>0</v>
      </c>
      <c r="L25" s="477">
        <f t="shared" si="12"/>
        <v>0</v>
      </c>
      <c r="M25" s="477">
        <f t="shared" si="13"/>
        <v>0</v>
      </c>
      <c r="N25" s="477">
        <f t="shared" si="14"/>
        <v>0</v>
      </c>
      <c r="O25" s="477">
        <f t="shared" si="15"/>
        <v>0</v>
      </c>
      <c r="P25" s="478">
        <f t="shared" si="16"/>
        <v>0</v>
      </c>
      <c r="Q25" s="476">
        <f t="shared" ca="1" si="17"/>
        <v>1011.3474872146609</v>
      </c>
    </row>
    <row r="26" spans="1:17">
      <c r="A26" s="476" t="s">
        <v>635</v>
      </c>
      <c r="B26" s="477">
        <f t="shared" ca="1" si="2"/>
        <v>19009.393555583483</v>
      </c>
      <c r="C26" s="477">
        <f t="shared" ca="1" si="3"/>
        <v>0</v>
      </c>
      <c r="D26" s="477">
        <f t="shared" si="4"/>
        <v>48993.146293852376</v>
      </c>
      <c r="E26" s="477">
        <f t="shared" si="5"/>
        <v>1886.6777992527318</v>
      </c>
      <c r="F26" s="477">
        <f t="shared" si="6"/>
        <v>7903.8866897699399</v>
      </c>
      <c r="G26" s="477">
        <f t="shared" si="7"/>
        <v>0</v>
      </c>
      <c r="H26" s="477">
        <f t="shared" si="8"/>
        <v>0</v>
      </c>
      <c r="I26" s="477">
        <f t="shared" si="9"/>
        <v>0</v>
      </c>
      <c r="J26" s="477">
        <f t="shared" si="10"/>
        <v>1.6590469737996951</v>
      </c>
      <c r="K26" s="477">
        <f t="shared" si="11"/>
        <v>0</v>
      </c>
      <c r="L26" s="477">
        <f t="shared" si="12"/>
        <v>0</v>
      </c>
      <c r="M26" s="477">
        <f t="shared" si="13"/>
        <v>0</v>
      </c>
      <c r="N26" s="477">
        <f t="shared" si="14"/>
        <v>0</v>
      </c>
      <c r="O26" s="477">
        <f t="shared" si="15"/>
        <v>0</v>
      </c>
      <c r="P26" s="478">
        <f t="shared" si="16"/>
        <v>0</v>
      </c>
      <c r="Q26" s="476">
        <f t="shared" ca="1" si="17"/>
        <v>77794.763385432321</v>
      </c>
    </row>
    <row r="27" spans="1:17" s="482" customFormat="1">
      <c r="A27" s="480" t="s">
        <v>561</v>
      </c>
      <c r="B27" s="780">
        <f t="shared" ca="1" si="2"/>
        <v>11.166583613519071</v>
      </c>
      <c r="C27" s="481">
        <f t="shared" ca="1" si="3"/>
        <v>0</v>
      </c>
      <c r="D27" s="481">
        <f t="shared" si="4"/>
        <v>52.652361910461089</v>
      </c>
      <c r="E27" s="481">
        <f t="shared" si="5"/>
        <v>78.903623017090354</v>
      </c>
      <c r="F27" s="481">
        <f t="shared" si="6"/>
        <v>0</v>
      </c>
      <c r="G27" s="481">
        <f t="shared" si="7"/>
        <v>29943.265431681055</v>
      </c>
      <c r="H27" s="481">
        <f t="shared" si="8"/>
        <v>7316.517707165759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37402.505707387885</v>
      </c>
    </row>
    <row r="28" spans="1:17">
      <c r="A28" s="476" t="s">
        <v>551</v>
      </c>
      <c r="B28" s="477">
        <f t="shared" ca="1" si="2"/>
        <v>0</v>
      </c>
      <c r="C28" s="477">
        <f t="shared" ca="1" si="3"/>
        <v>0</v>
      </c>
      <c r="D28" s="477">
        <f t="shared" si="4"/>
        <v>0</v>
      </c>
      <c r="E28" s="477">
        <f t="shared" si="5"/>
        <v>0</v>
      </c>
      <c r="F28" s="477">
        <f t="shared" si="6"/>
        <v>0</v>
      </c>
      <c r="G28" s="477">
        <f t="shared" si="7"/>
        <v>580.8005866811236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580.8005866811236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406.40849773418893</v>
      </c>
      <c r="C32" s="477">
        <f t="shared" ca="1" si="3"/>
        <v>0</v>
      </c>
      <c r="D32" s="477">
        <f t="shared" si="4"/>
        <v>705.34346587200002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1111.7519636061888</v>
      </c>
    </row>
    <row r="33" spans="1:17" s="486" customFormat="1">
      <c r="A33" s="1039" t="s">
        <v>555</v>
      </c>
      <c r="B33" s="987">
        <f ca="1">SUM(B22:B32)</f>
        <v>42598.585084311046</v>
      </c>
      <c r="C33" s="987">
        <f t="shared" ref="C33:Q33" ca="1" si="18">SUM(C22:C32)</f>
        <v>0</v>
      </c>
      <c r="D33" s="987">
        <f t="shared" ca="1" si="18"/>
        <v>89361.092771941796</v>
      </c>
      <c r="E33" s="987">
        <f t="shared" si="18"/>
        <v>4472.1918546846764</v>
      </c>
      <c r="F33" s="987">
        <f t="shared" ca="1" si="18"/>
        <v>28449.868971521875</v>
      </c>
      <c r="G33" s="987">
        <f t="shared" si="18"/>
        <v>30524.06601836218</v>
      </c>
      <c r="H33" s="987">
        <f t="shared" si="18"/>
        <v>7316.517707165759</v>
      </c>
      <c r="I33" s="987">
        <f t="shared" si="18"/>
        <v>0</v>
      </c>
      <c r="J33" s="987">
        <f t="shared" si="18"/>
        <v>39.02211544292868</v>
      </c>
      <c r="K33" s="987">
        <f t="shared" si="18"/>
        <v>0</v>
      </c>
      <c r="L33" s="987">
        <f t="shared" ca="1" si="18"/>
        <v>0</v>
      </c>
      <c r="M33" s="987">
        <f t="shared" si="18"/>
        <v>0</v>
      </c>
      <c r="N33" s="987">
        <f t="shared" ca="1" si="18"/>
        <v>0</v>
      </c>
      <c r="O33" s="987">
        <f t="shared" si="18"/>
        <v>0</v>
      </c>
      <c r="P33" s="987">
        <f t="shared" si="18"/>
        <v>0</v>
      </c>
      <c r="Q33" s="987">
        <f t="shared" ca="1" si="18"/>
        <v>202761.34452343025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44783.65125662044</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28998.845396071476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18117</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21314.117647058822</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91899.496652691916</v>
      </c>
      <c r="C10" s="1060">
        <f>SUM(C4:C9)</f>
        <v>0</v>
      </c>
      <c r="D10" s="1060">
        <f t="shared" ref="D10:H10" si="0">SUM(D8:D9)</f>
        <v>0</v>
      </c>
      <c r="E10" s="1060">
        <f t="shared" si="0"/>
        <v>0</v>
      </c>
      <c r="F10" s="1060">
        <f t="shared" si="0"/>
        <v>0</v>
      </c>
      <c r="G10" s="1060">
        <f t="shared" si="0"/>
        <v>0</v>
      </c>
      <c r="H10" s="1060">
        <f t="shared" si="0"/>
        <v>0</v>
      </c>
      <c r="I10" s="1060">
        <f>SUM(I8:I9)</f>
        <v>0</v>
      </c>
      <c r="J10" s="1060">
        <f>SUM(J8:J9)</f>
        <v>21314.117647058822</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0.14965078141894214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25881.428571428572</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30448.739495798323</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25881.428571428572</v>
      </c>
      <c r="C20" s="1060">
        <f>SUM(C17:C19)</f>
        <v>0</v>
      </c>
      <c r="D20" s="1060">
        <f t="shared" ref="D20:H20" si="2">SUM(D17:D19)</f>
        <v>0</v>
      </c>
      <c r="E20" s="1060">
        <f t="shared" si="2"/>
        <v>0</v>
      </c>
      <c r="F20" s="1060">
        <f t="shared" si="2"/>
        <v>0</v>
      </c>
      <c r="G20" s="1060">
        <f t="shared" si="2"/>
        <v>0</v>
      </c>
      <c r="H20" s="1060">
        <f t="shared" si="2"/>
        <v>0</v>
      </c>
      <c r="I20" s="1060">
        <f>SUM(I17:I19)</f>
        <v>0</v>
      </c>
      <c r="J20" s="1060">
        <f>SUM(J17:J19)</f>
        <v>30448.739495798323</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0.14965078141894214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2019-08-12T08:35:26Z</dcterms:modified>
</cp:coreProperties>
</file>