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E19"/>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20" i="18"/>
  <c r="D88" i="14"/>
  <c r="D18" i="61" s="1"/>
  <c r="G12" i="18"/>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G22"/>
  <c r="R12"/>
  <c r="D5" i="17"/>
  <c r="K18" i="61" l="1"/>
  <c r="K90" i="14"/>
  <c r="O9" i="18"/>
  <c r="Q14" i="48"/>
  <c r="L78" i="14"/>
  <c r="L8" i="61"/>
  <c r="L10" s="1"/>
  <c r="E90" i="14"/>
  <c r="E18" i="61"/>
  <c r="K78" i="14"/>
  <c r="K8" i="61"/>
  <c r="K10" s="1"/>
  <c r="B10" i="18"/>
  <c r="O10" i="61"/>
  <c r="G20"/>
  <c r="K20"/>
  <c r="Q11" i="48"/>
  <c r="O25"/>
  <c r="B98" i="18"/>
  <c r="D102" s="1"/>
  <c r="L90" i="14"/>
  <c r="L18" i="61"/>
  <c r="L20" s="1"/>
  <c r="E20"/>
  <c r="N20"/>
  <c r="N77" i="14"/>
  <c r="M77"/>
  <c r="M9" i="61" s="1"/>
  <c r="H9" i="18"/>
  <c r="G10" i="61"/>
  <c r="P31" i="48"/>
  <c r="J22" i="14"/>
  <c r="P22"/>
  <c r="E10" i="61"/>
  <c r="B17" i="18"/>
  <c r="B20" s="1"/>
  <c r="F13" i="15"/>
  <c r="O22" i="14"/>
  <c r="G77"/>
  <c r="G9" i="61" s="1"/>
  <c r="H20"/>
  <c r="P25" i="48"/>
  <c r="I77" i="14"/>
  <c r="I9" i="61" s="1"/>
  <c r="L13" i="15"/>
  <c r="B13"/>
  <c r="H90" i="14"/>
  <c r="N13" i="15"/>
  <c r="F77" i="14"/>
  <c r="F9" i="61" s="1"/>
  <c r="I101" i="18"/>
  <c r="H8" s="1"/>
  <c r="E101"/>
  <c r="E8" s="1"/>
  <c r="G101"/>
  <c r="I8" s="1"/>
  <c r="F101"/>
  <c r="H101"/>
  <c r="D101"/>
  <c r="C101"/>
  <c r="B101"/>
  <c r="C8" s="1"/>
  <c r="G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H78" i="14"/>
  <c r="H9" i="61"/>
  <c r="H10" s="1"/>
  <c r="N78" i="14"/>
  <c r="N9" i="61"/>
  <c r="N10" s="1"/>
  <c r="F102" i="18"/>
  <c r="I102"/>
  <c r="H17" s="1"/>
  <c r="E102"/>
  <c r="E17" s="1"/>
  <c r="F87" i="14" s="1"/>
  <c r="C102" i="18"/>
  <c r="B102"/>
  <c r="C17" s="1"/>
  <c r="H102"/>
  <c r="B88" i="14"/>
  <c r="B18" i="61" s="1"/>
  <c r="B77" i="14"/>
  <c r="B9" i="61" s="1"/>
  <c r="Q77" i="14"/>
  <c r="P9" i="61" s="1"/>
  <c r="J17" i="18"/>
  <c r="H20"/>
  <c r="M87" i="14"/>
  <c r="J8" i="18"/>
  <c r="O8" s="1"/>
  <c r="O10" s="1"/>
  <c r="M76" i="14"/>
  <c r="H10" i="18"/>
  <c r="C77" i="14"/>
  <c r="C9" i="61" s="1"/>
  <c r="C20" i="18"/>
  <c r="D87" i="14"/>
  <c r="D17" i="61" s="1"/>
  <c r="D20" s="1"/>
  <c r="D76" i="14"/>
  <c r="D8" i="61" s="1"/>
  <c r="D10" s="1"/>
  <c r="C10" i="18"/>
  <c r="C88" i="14"/>
  <c r="C18" i="61" s="1"/>
  <c r="F76" i="14"/>
  <c r="E10" i="18"/>
  <c r="I17"/>
  <c r="I10"/>
  <c r="I76" i="14"/>
  <c r="I8" i="61" s="1"/>
  <c r="I10" s="1"/>
  <c r="Q88" i="14"/>
  <c r="P18" i="61" s="1"/>
  <c r="AC15" i="5"/>
  <c r="F90" i="14" l="1"/>
  <c r="F17" i="61"/>
  <c r="F20" s="1"/>
  <c r="M90" i="14"/>
  <c r="M17" i="61"/>
  <c r="M20" s="1"/>
  <c r="M78" i="14"/>
  <c r="M8" i="61"/>
  <c r="M10" s="1"/>
  <c r="F78" i="14"/>
  <c r="F8" i="61"/>
  <c r="F10" s="1"/>
  <c r="E2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5"/>
  <c r="H26"/>
  <c r="H24"/>
  <c r="H22"/>
  <c r="H28"/>
  <c r="H30"/>
  <c r="H23"/>
  <c r="C4"/>
  <c r="D11" i="14"/>
  <c r="G23" i="48"/>
  <c r="G30"/>
  <c r="G32"/>
  <c r="G22"/>
  <c r="G29"/>
  <c r="G26"/>
  <c r="G24"/>
  <c r="G25"/>
  <c r="B4"/>
  <c r="C11" i="14"/>
  <c r="F30" i="48"/>
  <c r="F32"/>
  <c r="F24"/>
  <c r="F31"/>
  <c r="F27"/>
  <c r="F29"/>
  <c r="F28"/>
  <c r="N31"/>
  <c r="N30"/>
  <c r="N32"/>
  <c r="N24"/>
  <c r="N27"/>
  <c r="N29"/>
  <c r="N28"/>
  <c r="B10"/>
  <c r="C19" i="14"/>
  <c r="E29" i="48"/>
  <c r="E31"/>
  <c r="E24"/>
  <c r="E30"/>
  <c r="E28"/>
  <c r="E32"/>
  <c r="M29"/>
  <c r="M24"/>
  <c r="M30"/>
  <c r="M32"/>
  <c r="M22"/>
  <c r="M25"/>
  <c r="M26"/>
  <c r="M23"/>
  <c r="K5"/>
  <c r="L10" i="14"/>
  <c r="L16" s="1"/>
  <c r="L27" s="1"/>
  <c r="D30" i="48"/>
  <c r="D28"/>
  <c r="D24"/>
  <c r="D29"/>
  <c r="D31"/>
  <c r="D32"/>
  <c r="L29"/>
  <c r="L32"/>
  <c r="L31"/>
  <c r="L24"/>
  <c r="L22"/>
  <c r="L27"/>
  <c r="L30"/>
  <c r="L28"/>
  <c r="Q10" i="14"/>
  <c r="P5" i="48"/>
  <c r="P23" s="1"/>
  <c r="K32"/>
  <c r="K24"/>
  <c r="K26"/>
  <c r="K31"/>
  <c r="K22"/>
  <c r="K29"/>
  <c r="K30"/>
  <c r="K27"/>
  <c r="K25"/>
  <c r="K28"/>
  <c r="C24" i="14"/>
  <c r="C26" s="1"/>
  <c r="B7" i="48"/>
  <c r="J30"/>
  <c r="J24"/>
  <c r="J32"/>
  <c r="J29"/>
  <c r="J27"/>
  <c r="J28"/>
  <c r="J31"/>
  <c r="Q11" i="14"/>
  <c r="P4" i="48"/>
  <c r="P11" i="14"/>
  <c r="O4" i="48"/>
  <c r="I22"/>
  <c r="I32"/>
  <c r="I26"/>
  <c r="I29"/>
  <c r="I31"/>
  <c r="I27"/>
  <c r="I25"/>
  <c r="I24"/>
  <c r="I28"/>
  <c r="I30"/>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15"/>
  <c r="I23"/>
  <c r="I33" s="1"/>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<sst xmlns="http://schemas.openxmlformats.org/spreadsheetml/2006/main" count="2390" uniqueCount="885">
  <si>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</si>
  <si>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</si>
  <si>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</si>
  <si>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</si>
  <si>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</si>
  <si>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</si>
  <si>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</si>
  <si>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</si>
  <si>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</si>
  <si>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</si>
  <si>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</si>
  <si>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</si>
  <si>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</si>
  <si>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</si>
  <si>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</si>
  <si>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</si>
  <si>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</si>
  <si>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</si>
  <si>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</si>
  <si>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</si>
  <si>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</si>
  <si>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</si>
  <si>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</si>
  <si>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</si>
  <si>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</si>
  <si>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</si>
  <si>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</si>
  <si>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</si>
  <si>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</si>
  <si>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</si>
  <si>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</si>
  <si>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</si>
  <si>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</si>
  <si>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</si>
  <si>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</si>
  <si>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</si>
  <si>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</si>
  <si>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</si>
  <si>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</si>
  <si>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</si>
  <si>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</si>
  <si>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</si>
  <si>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</si>
  <si>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</si>
  <si>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</si>
  <si>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</si>
  <si>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</si>
  <si>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</si>
  <si>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</si>
  <si>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</si>
  <si>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</si>
  <si>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</si>
  <si>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</si>
  <si>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</si>
  <si>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</si>
  <si>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</si>
  <si>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</si>
  <si>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</si>
  <si>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</si>
  <si>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</si>
  <si>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</si>
  <si>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</si>
  <si>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</si>
  <si>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</si>
  <si>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</si>
  <si>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</si>
  <si>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</si>
  <si>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</si>
  <si>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</si>
  <si>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</si>
  <si>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</si>
  <si>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</si>
  <si>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</si>
  <si>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</si>
  <si>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</si>
  <si>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</si>
  <si>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</si>
  <si>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</si>
  <si>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</si>
  <si>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</si>
  <si>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</si>
  <si>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</si>
  <si>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</si>
  <si>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</si>
  <si>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</si>
  <si>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</si>
  <si>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</si>
  <si>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</si>
  <si>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</si>
  <si>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</si>
  <si>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</si>
  <si>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</si>
  <si>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</si>
  <si>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</si>
  <si>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</si>
  <si>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</si>
  <si>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</si>
  <si>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</si>
  <si>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</si>
  <si>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</si>
  <si>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</si>
  <si>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</si>
  <si>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</si>
  <si>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</si>
  <si>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</si>
  <si>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</si>
  <si>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</si>
  <si>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</si>
  <si>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</si>
  <si>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</si>
  <si>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</si>
  <si>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</si>
  <si>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</si>
  <si>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</si>
  <si>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</si>
  <si>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</si>
  <si>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</si>
  <si>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</si>
  <si>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</si>
  <si>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</si>
  <si>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</si>
  <si>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</si>
  <si>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</si>
  <si>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</si>
  <si>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</si>
  <si>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</si>
  <si>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</si>
  <si>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</si>
  <si>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</si>
  <si>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</si>
  <si>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</si>
  <si>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</si>
  <si>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</si>
  <si>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</si>
  <si>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</si>
  <si>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</si>
  <si>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</si>
  <si>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</si>
  <si>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</si>
  <si>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</si>
  <si>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</si>
  <si>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</si>
  <si>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</si>
  <si>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</si>
  <si>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</si>
  <si>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</si>
  <si>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</si>
  <si>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</si>
  <si>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</si>
  <si>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</si>
  <si>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</si>
  <si>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</si>
  <si>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</si>
  <si>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</si>
  <si>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</si>
  <si>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</si>
  <si>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</si>
  <si>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</si>
  <si>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</si>
  <si>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</si>
  <si>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</si>
  <si>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</si>
  <si>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</si>
  <si>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</si>
  <si>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</si>
  <si>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</si>
  <si>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</si>
  <si>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</si>
  <si>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</si>
  <si>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</si>
  <si>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</si>
  <si>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</si>
  <si>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</si>
  <si>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</si>
  <si>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</si>
  <si>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</si>
  <si>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</si>
  <si>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</si>
  <si>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</si>
  <si>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</si>
  <si>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</si>
  <si>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</si>
  <si>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</si>
  <si>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</si>
  <si>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</si>
  <si>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</si>
  <si>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</si>
  <si>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</si>
  <si>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</si>
  <si>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</si>
  <si>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</si>
  <si>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</si>
  <si>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</si>
  <si>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</si>
  <si>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</si>
  <si>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</si>
  <si>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</si>
  <si>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</si>
  <si>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</si>
  <si>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</si>
  <si>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</si>
  <si>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</si>
  <si>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</si>
  <si>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</si>
  <si>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</si>
  <si>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</si>
  <si>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</si>
  <si>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</si>
  <si>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</si>
  <si>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</si>
  <si>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</si>
  <si>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</si>
  <si>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</si>
  <si>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</si>
  <si>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</si>
  <si>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</si>
  <si>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</si>
  <si>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</si>
  <si>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</si>
  <si>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</si>
  <si>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</si>
  <si>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</si>
  <si>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</si>
  <si>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</si>
  <si>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</si>
  <si>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</si>
  <si>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</si>
  <si>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</si>
  <si>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</si>
  <si>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</si>
  <si>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</si>
  <si>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</si>
  <si>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</si>
  <si>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</si>
  <si>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</si>
  <si>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</si>
  <si>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</si>
  <si>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</si>
  <si>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</si>
  <si>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</si>
  <si>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</si>
  <si>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</si>
  <si>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</si>
  <si>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</si>
  <si>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</si>
  <si>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</si>
  <si>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</si>
  <si>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</si>
  <si>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</si>
  <si>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</si>
  <si>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</si>
  <si>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</si>
  <si>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</si>
  <si>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</si>
  <si>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</si>
  <si>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</si>
  <si>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</si>
  <si>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</si>
  <si>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</si>
  <si>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</si>
  <si>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</si>
  <si>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</si>
  <si>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</si>
  <si>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</si>
  <si>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</si>
  <si>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</si>
  <si>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</si>
  <si>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</si>
  <si>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</si>
  <si>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</si>
  <si>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</si>
  <si>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</si>
  <si>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</si>
  <si>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</si>
  <si>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</si>
  <si>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</si>
  <si>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</si>
  <si>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</si>
  <si>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</si>
  <si>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</si>
  <si>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</si>
  <si>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</si>
  <si>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</si>
  <si>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</si>
  <si>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</si>
  <si>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</si>
  <si>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</si>
  <si>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</si>
  <si>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</si>
  <si>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</si>
  <si>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</si>
  <si>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</si>
  <si>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</si>
  <si>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</si>
  <si>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</si>
  <si>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</si>
  <si>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</si>
  <si>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</si>
  <si>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</si>
  <si>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</si>
  <si>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</si>
  <si>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</si>
  <si>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</si>
  <si>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</si>
  <si>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</si>
  <si>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</si>
  <si>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</si>
  <si>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</si>
  <si>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</si>
  <si>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</si>
  <si>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</si>
  <si>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</si>
  <si>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</si>
  <si>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</si>
  <si>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</si>
  <si>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</si>
  <si>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</si>
  <si>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</si>
  <si>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</si>
  <si>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</si>
  <si>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</si>
  <si>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</si>
  <si>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</si>
  <si>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</si>
  <si>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</si>
  <si>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</si>
  <si>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</si>
  <si>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</si>
  <si>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</si>
  <si>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</si>
  <si>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</si>
  <si>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</si>
  <si>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</si>
  <si>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</si>
  <si>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</si>
  <si>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</si>
  <si>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</si>
  <si>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</si>
  <si>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</si>
  <si>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</si>
  <si>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</si>
  <si>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</si>
  <si>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</si>
  <si>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</si>
  <si>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</si>
  <si>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</si>
  <si>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</si>
  <si>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</si>
  <si>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</si>
  <si>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</si>
  <si>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</si>
  <si>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</si>
  <si>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</si>
  <si>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</si>
  <si>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</si>
  <si>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</si>
  <si>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</si>
  <si>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</si>
  <si>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</si>
  <si>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</si>
  <si>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</si>
  <si>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</si>
  <si>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</si>
  <si>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</si>
  <si>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</si>
  <si>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</si>
  <si>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</si>
  <si>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</si>
  <si>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</si>
  <si>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</si>
  <si>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</si>
  <si>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</si>
  <si>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</si>
  <si>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</si>
  <si>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</si>
  <si>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</si>
  <si>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</si>
  <si>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</si>
  <si>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</si>
  <si>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</si>
  <si>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</si>
  <si>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</si>
  <si>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</si>
  <si>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</si>
  <si>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</si>
  <si>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</si>
  <si>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</si>
  <si>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</si>
  <si>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</si>
  <si>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</si>
  <si>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</si>
  <si>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</si>
  <si>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</si>
  <si>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</si>
  <si>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</si>
  <si>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</si>
  <si>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</si>
  <si>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</si>
  <si>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</si>
  <si>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</si>
  <si>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</si>
  <si>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</si>
  <si>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</si>
  <si>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</si>
  <si>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</si>
  <si>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</si>
  <si>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</si>
  <si>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</si>
  <si>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</si>
  <si>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</si>
  <si>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</si>
  <si>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</si>
  <si>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</si>
  <si>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</si>
  <si>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</si>
  <si>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</si>
  <si>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</si>
  <si>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</si>
  <si>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</si>
  <si>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</si>
  <si>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</si>
  <si>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</si>
  <si>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</si>
  <si>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</si>
  <si>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</si>
  <si>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</si>
  <si>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</si>
  <si>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</si>
  <si>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</si>
  <si>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</si>
  <si>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</si>
  <si>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</si>
  <si>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</si>
  <si>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</si>
  <si>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</si>
  <si>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</si>
  <si>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</si>
  <si>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</si>
  <si>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</si>
  <si>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</si>
  <si>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</si>
  <si>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</si>
  <si>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</si>
  <si>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</si>
  <si>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</si>
  <si>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</si>
  <si>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</si>
  <si>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</si>
  <si>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</si>
  <si>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</si>
  <si>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</si>
  <si>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</si>
  <si>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</si>
  <si>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</si>
  <si>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</si>
  <si>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</si>
  <si>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</si>
  <si>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</si>
  <si>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</si>
  <si>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</si>
  <si>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</si>
  <si>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</si>
  <si>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</si>
  <si>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</si>
  <si>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</si>
  <si>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</si>
  <si>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</si>
  <si>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</si>
  <si>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</si>
  <si>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</si>
  <si>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</si>
  <si>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</si>
  <si>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</si>
  <si>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</si>
  <si>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</si>
  <si>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</si>
  <si>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</si>
  <si>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</si>
  <si>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</si>
  <si>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</si>
  <si>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</si>
  <si>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</si>
  <si>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</si>
  <si>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</si>
  <si>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</si>
  <si>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</si>
  <si>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</si>
  <si>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</si>
  <si>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</si>
  <si>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</si>
  <si>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</si>
  <si>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</si>
  <si>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</si>
  <si>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</si>
  <si>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</si>
  <si>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</si>
  <si>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</si>
  <si>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</si>
  <si>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</si>
  <si>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</si>
  <si>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</si>
  <si>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</si>
  <si>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</si>
  <si>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</si>
  <si>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</si>
  <si>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</si>
  <si>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</si>
  <si>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</si>
  <si>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</si>
  <si>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</si>
  <si>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</si>
  <si>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</si>
  <si>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</si>
  <si>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</si>
  <si>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</si>
  <si>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</si>
  <si>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</si>
  <si>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</si>
  <si>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</si>
  <si>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</si>
  <si>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</si>
  <si>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</si>
  <si>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</si>
  <si>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</si>
  <si>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</si>
  <si>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</si>
  <si>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</si>
  <si>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</si>
  <si>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</si>
  <si>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</si>
  <si>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</si>
  <si>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</si>
  <si>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</si>
  <si>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</si>
  <si>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</si>
  <si>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</si>
  <si>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</si>
  <si>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</si>
  <si>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</si>
  <si>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</si>
  <si>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</si>
  <si>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</si>
  <si>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</si>
  <si>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</si>
  <si>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</si>
  <si>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</si>
  <si>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</si>
  <si>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</si>
  <si>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</si>
  <si>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</si>
  <si>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</si>
  <si>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</si>
  <si>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</si>
  <si>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</si>
  <si>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</si>
  <si>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</si>
  <si>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</si>
  <si>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</si>
  <si>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</si>
  <si>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</si>
  <si>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</si>
  <si>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</si>
  <si>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</si>
  <si>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</si>
  <si>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</si>
  <si>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</si>
  <si>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</si>
  <si>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</si>
  <si>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</si>
  <si>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</si>
  <si>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</si>
  <si>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</si>
  <si>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</si>
  <si>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</si>
  <si>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</si>
  <si>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</si>
  <si>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</si>
  <si>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</si>
  <si>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</si>
  <si>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</si>
  <si>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</si>
  <si>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</si>
  <si>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</si>
  <si>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</si>
  <si>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</si>
  <si>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</si>
  <si>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</si>
  <si>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</si>
  <si>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</si>
  <si>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</si>
  <si>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</si>
  <si>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</si>
  <si>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</si>
  <si>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</si>
  <si>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</si>
  <si>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</si>
  <si>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</si>
  <si>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</si>
  <si>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</si>
  <si>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</si>
  <si>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</si>
  <si>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</si>
  <si>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</si>
  <si>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</si>
  <si>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</si>
  <si>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</si>
  <si>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</si>
  <si>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</si>
  <si>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</si>
  <si>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</si>
  <si>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</si>
  <si>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</si>
  <si>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</si>
  <si>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</si>
  <si>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</si>
  <si>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</si>
  <si>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</si>
  <si>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</si>
  <si>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</si>
  <si>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</si>
  <si>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</si>
  <si>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</si>
  <si>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</si>
  <si>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</si>
  <si>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</si>
  <si>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</si>
  <si>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</si>
  <si>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</si>
  <si>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</si>
  <si>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</si>
  <si>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</si>
  <si>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</si>
  <si>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</si>
  <si>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</si>
  <si>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</si>
  <si>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</si>
  <si>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</si>
  <si>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</si>
  <si>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</si>
  <si>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</si>
  <si>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</si>
  <si>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</si>
  <si>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</si>
  <si>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</si>
  <si>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</si>
  <si>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</si>
  <si>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</si>
  <si>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</si>
  <si>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</si>
  <si>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</si>
  <si>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</si>
  <si>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</si>
  <si>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</si>
  <si>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</si>
  <si>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</si>
  <si>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</si>
  <si>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</si>
  <si>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</si>
  <si>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</si>
  <si>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</si>
  <si>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</si>
  <si>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</si>
  <si>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</si>
  <si>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</si>
  <si>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</si>
  <si>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</si>
  <si>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</si>
  <si>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</si>
  <si>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</si>
  <si>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</si>
  <si>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</si>
  <si>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</si>
  <si>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</si>
  <si>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</si>
  <si>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</si>
  <si>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</si>
  <si>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</si>
  <si>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</si>
  <si>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</si>
  <si>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</si>
  <si>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</si>
  <si>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</si>
  <si>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</si>
  <si>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</si>
  <si>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</si>
  <si>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</si>
  <si>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</si>
  <si>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</si>
  <si>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</si>
  <si>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</si>
  <si>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</si>
  <si>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</si>
  <si>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</si>
  <si>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</si>
  <si>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</si>
  <si>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</si>
  <si>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</si>
  <si>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</si>
  <si>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</si>
  <si>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</si>
  <si>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</si>
  <si>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</si>
  <si>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</si>
  <si>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</si>
  <si>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</si>
  <si>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</si>
  <si>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</si>
  <si>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</si>
  <si>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</si>
  <si>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</si>
  <si>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</si>
  <si>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</si>
  <si>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</si>
  <si>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</si>
  <si>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</si>
  <si>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</si>
  <si>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</si>
  <si>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</si>
  <si>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</si>
  <si>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</si>
  <si>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</si>
  <si>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</si>
  <si>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</si>
  <si>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</si>
  <si>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</si>
  <si>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</si>
  <si>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</si>
  <si>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</si>
  <si>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</si>
  <si>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</si>
  <si>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</si>
  <si>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</si>
  <si>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</si>
  <si>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</si>
  <si>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</si>
  <si>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</si>
  <si>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</si>
  <si>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</si>
  <si>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</si>
  <si>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</si>
  <si>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</si>
  <si>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</si>
  <si>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</si>
  <si>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</si>
  <si>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</si>
  <si>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</si>
  <si>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</si>
  <si>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</si>
  <si>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</si>
  <si>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</si>
  <si>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</si>
  <si>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</si>
  <si>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</si>
  <si>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</si>
  <si>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</si>
  <si>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</si>
  <si>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</si>
  <si>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</si>
  <si>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</si>
  <si>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</si>
  <si>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</si>
  <si>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</si>
  <si>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</si>
  <si>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</si>
  <si>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</si>
  <si>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</si>
  <si>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</si>
  <si>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</si>
  <si>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</si>
  <si>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</si>
  <si>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</si>
  <si>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</si>
  <si>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</si>
  <si>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</si>
  <si>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</si>
  <si>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</si>
  <si>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</si>
  <si>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</si>
  <si>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</si>
  <si>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</si>
  <si>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</si>
  <si>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</si>
  <si>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</si>
  <si>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</si>
  <si>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</si>
  <si>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</si>
  <si>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</si>
  <si>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</si>
  <si>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</si>
  <si>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</si>
  <si>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</si>
  <si>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</si>
  <si>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</si>
  <si>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</si>
  <si>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</si>
  <si>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</si>
  <si>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</si>
  <si>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</si>
  <si>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</si>
  <si>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</si>
  <si>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</si>
  <si>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</si>
  <si>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</si>
  <si>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</si>
  <si>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</si>
  <si>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</si>
  <si>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</si>
  <si>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</si>
  <si>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</si>
  <si>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</si>
  <si>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</si>
  <si>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</si>
  <si>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</si>
  <si>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</si>
  <si>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</si>
  <si>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</si>
  <si>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</si>
  <si>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</si>
  <si>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</si>
  <si>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</si>
  <si>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</si>
  <si>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</si>
  <si>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</si>
  <si>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</si>
  <si>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</si>
  <si>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</si>
  <si>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</si>
  <si>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</si>
  <si>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</si>
  <si>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</si>
  <si>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</si>
  <si>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</si>
  <si>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</si>
  <si>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</si>
  <si>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</si>
  <si>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</si>
  <si>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</si>
  <si>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</si>
  <si>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</si>
  <si>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</si>
  <si>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</si>
  <si>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</si>
  <si>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</si>
  <si>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</si>
  <si>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</si>
  <si>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</si>
  <si>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</si>
  <si>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</si>
  <si>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</si>
  <si>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</si>
  <si>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</si>
  <si>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</si>
  <si>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</si>
  <si>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</si>
  <si>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</si>
  <si>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</si>
  <si>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</si>
  <si>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</si>
  <si>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</si>
  <si>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</si>
  <si>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</si>
  <si>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</si>
  <si>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</si>
  <si>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</si>
  <si>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</si>
  <si>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</si>
  <si>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</si>
  <si>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</si>
  <si>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</si>
  <si>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</si>
  <si>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</si>
  <si>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</si>
  <si>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</si>
  <si>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71066</t>
  </si>
  <si>
    <t>ZONHOVEN</t>
  </si>
  <si>
    <t>Eandis (januari 2018); Infrax (juni 2018)</t>
  </si>
  <si>
    <t>MOW (september 2017)</t>
  </si>
  <si>
    <t>referentietaak LNE (2017); Jaarverslag De Lijn (2016)</t>
  </si>
  <si>
    <t>VEA (april 2018)</t>
  </si>
  <si>
    <t>VEA (januari 2017)</t>
  </si>
  <si>
    <t>VEA (juni 2018)</t>
  </si>
  <si>
    <t>WKK-0765 Limburgs Klimatiseringsbedrijf</t>
  </si>
  <si>
    <t>brandstofcel</t>
  </si>
  <si>
    <t>Kapelhof 11 , 3520 Zonhoven</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</si>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</sst>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181306.8402459255</c:v>
                </c:pt>
                <c:pt idx="1">
                  <c:v>47037.879624854417</c:v>
                </c:pt>
                <c:pt idx="2">
                  <c:v>1300.8489999999999</c:v>
                </c:pt>
                <c:pt idx="3">
                  <c:v>1255.1995778251965</c:v>
                </c:pt>
                <c:pt idx="4">
                  <c:v>157616.89156821967</c:v>
                </c:pt>
                <c:pt idx="5">
                  <c:v>277836.8756085615</c:v>
                </c:pt>
                <c:pt idx="6">
                  <c:v>2456.4009836672863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181306.8402459255</c:v>
                </c:pt>
                <c:pt idx="1">
                  <c:v>47037.879624854417</c:v>
                </c:pt>
                <c:pt idx="2">
                  <c:v>1300.8489999999999</c:v>
                </c:pt>
                <c:pt idx="3">
                  <c:v>1255.1995778251965</c:v>
                </c:pt>
                <c:pt idx="4">
                  <c:v>157616.89156821967</c:v>
                </c:pt>
                <c:pt idx="5">
                  <c:v>277836.8756085615</c:v>
                </c:pt>
                <c:pt idx="6">
                  <c:v>2456.4009836672863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37348.578332625213</c:v>
                </c:pt>
                <c:pt idx="2">
                  <c:v>9363.3111529525777</c:v>
                </c:pt>
                <c:pt idx="3">
                  <c:v>259.68404431402433</c:v>
                </c:pt>
                <c:pt idx="4">
                  <c:v>317.41833036561621</c:v>
                </c:pt>
                <c:pt idx="5">
                  <c:v>31525.338493160722</c:v>
                </c:pt>
                <c:pt idx="6">
                  <c:v>69615.385706342218</c:v>
                </c:pt>
                <c:pt idx="7">
                  <c:v>620.61109232989941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37348.578332625213</c:v>
                </c:pt>
                <c:pt idx="2">
                  <c:v>9363.3111529525777</c:v>
                </c:pt>
                <c:pt idx="3">
                  <c:v>259.68404431402433</c:v>
                </c:pt>
                <c:pt idx="4">
                  <c:v>317.41833036561621</c:v>
                </c:pt>
                <c:pt idx="5">
                  <c:v>31525.338493160722</c:v>
                </c:pt>
                <c:pt idx="6">
                  <c:v>69615.385706342218</c:v>
                </c:pt>
                <c:pt idx="7">
                  <c:v>620.61109232989941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71066</v>
      </c>
      <c r="B6" s="415"/>
      <c r="C6" s="416"/>
    </row>
    <row r="7" spans="1:7" s="413" customFormat="1" ht="15.75" customHeight="1">
      <c r="A7" s="417" t="str">
        <f>txtMunicipality</f>
        <v>ZONHOVEN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0.19962658564831456</v>
      </c>
      <c r="C17" s="524">
        <f ca="1">'EF ele_warmte'!B22</f>
        <v>0.22444444444444445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0.19962658564831456</v>
      </c>
      <c r="C29" s="525">
        <f ca="1">'EF ele_warmte'!B22</f>
        <v>0.22444444444444445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8582</v>
      </c>
      <c r="C9" s="342">
        <v>8865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924.89</v>
      </c>
    </row>
    <row r="15" spans="1:6">
      <c r="A15" s="348" t="s">
        <v>184</v>
      </c>
      <c r="B15" s="334">
        <v>2</v>
      </c>
    </row>
    <row r="16" spans="1:6">
      <c r="A16" s="348" t="s">
        <v>6</v>
      </c>
      <c r="B16" s="334">
        <v>0</v>
      </c>
    </row>
    <row r="17" spans="1:6">
      <c r="A17" s="348" t="s">
        <v>7</v>
      </c>
      <c r="B17" s="334">
        <v>215</v>
      </c>
    </row>
    <row r="18" spans="1:6">
      <c r="A18" s="348" t="s">
        <v>8</v>
      </c>
      <c r="B18" s="334">
        <v>200</v>
      </c>
    </row>
    <row r="19" spans="1:6">
      <c r="A19" s="348" t="s">
        <v>9</v>
      </c>
      <c r="B19" s="334">
        <v>164</v>
      </c>
    </row>
    <row r="20" spans="1:6">
      <c r="A20" s="348" t="s">
        <v>10</v>
      </c>
      <c r="B20" s="334">
        <v>166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214</v>
      </c>
    </row>
    <row r="27" spans="1:6">
      <c r="A27" s="348" t="s">
        <v>17</v>
      </c>
      <c r="B27" s="334">
        <v>0</v>
      </c>
    </row>
    <row r="28" spans="1:6" s="356" customFormat="1">
      <c r="A28" s="355" t="s">
        <v>18</v>
      </c>
      <c r="B28" s="355">
        <v>0</v>
      </c>
    </row>
    <row r="29" spans="1:6">
      <c r="A29" s="355" t="s">
        <v>744</v>
      </c>
      <c r="B29" s="355">
        <v>32</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37571</v>
      </c>
    </row>
    <row r="37" spans="1:6">
      <c r="A37" s="348" t="s">
        <v>25</v>
      </c>
      <c r="B37" s="348" t="s">
        <v>28</v>
      </c>
      <c r="C37" s="334">
        <v>0</v>
      </c>
      <c r="D37" s="334">
        <v>0</v>
      </c>
      <c r="E37" s="334">
        <v>0</v>
      </c>
      <c r="F37" s="334">
        <v>0</v>
      </c>
    </row>
    <row r="38" spans="1:6">
      <c r="A38" s="348" t="s">
        <v>25</v>
      </c>
      <c r="B38" s="348" t="s">
        <v>29</v>
      </c>
      <c r="C38" s="334">
        <v>0</v>
      </c>
      <c r="D38" s="334">
        <v>0</v>
      </c>
      <c r="E38" s="334">
        <v>1</v>
      </c>
      <c r="F38" s="334">
        <v>5069</v>
      </c>
    </row>
    <row r="39" spans="1:6">
      <c r="A39" s="348" t="s">
        <v>30</v>
      </c>
      <c r="B39" s="348" t="s">
        <v>31</v>
      </c>
      <c r="C39" s="334">
        <v>4141</v>
      </c>
      <c r="D39" s="334">
        <v>63495035.5</v>
      </c>
      <c r="E39" s="334">
        <v>8205</v>
      </c>
      <c r="F39" s="334">
        <v>28889232.050000001</v>
      </c>
    </row>
    <row r="40" spans="1:6">
      <c r="A40" s="348" t="s">
        <v>30</v>
      </c>
      <c r="B40" s="348" t="s">
        <v>29</v>
      </c>
      <c r="C40" s="334">
        <v>1</v>
      </c>
      <c r="D40" s="334">
        <v>61310</v>
      </c>
      <c r="E40" s="334">
        <v>1</v>
      </c>
      <c r="F40" s="334">
        <v>4943</v>
      </c>
    </row>
    <row r="41" spans="1:6">
      <c r="A41" s="348" t="s">
        <v>32</v>
      </c>
      <c r="B41" s="348" t="s">
        <v>33</v>
      </c>
      <c r="C41" s="334">
        <v>72</v>
      </c>
      <c r="D41" s="334">
        <v>1997494</v>
      </c>
      <c r="E41" s="334">
        <v>173</v>
      </c>
      <c r="F41" s="334">
        <v>1449450.4509999999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1377074</v>
      </c>
      <c r="E44" s="334">
        <v>31</v>
      </c>
      <c r="F44" s="334">
        <v>15243182.559</v>
      </c>
    </row>
    <row r="45" spans="1:6">
      <c r="A45" s="348" t="s">
        <v>32</v>
      </c>
      <c r="B45" s="348" t="s">
        <v>37</v>
      </c>
      <c r="C45" s="334">
        <v>5</v>
      </c>
      <c r="D45" s="334">
        <v>92166</v>
      </c>
      <c r="E45" s="334">
        <v>7</v>
      </c>
      <c r="F45" s="334">
        <v>83168</v>
      </c>
    </row>
    <row r="46" spans="1:6">
      <c r="A46" s="348" t="s">
        <v>32</v>
      </c>
      <c r="B46" s="348" t="s">
        <v>38</v>
      </c>
      <c r="C46" s="334">
        <v>0</v>
      </c>
      <c r="D46" s="334">
        <v>0</v>
      </c>
      <c r="E46" s="334">
        <v>0</v>
      </c>
      <c r="F46" s="334">
        <v>0</v>
      </c>
    </row>
    <row r="47" spans="1:6">
      <c r="A47" s="348" t="s">
        <v>32</v>
      </c>
      <c r="B47" s="348" t="s">
        <v>39</v>
      </c>
      <c r="C47" s="334">
        <v>0</v>
      </c>
      <c r="D47" s="334">
        <v>0</v>
      </c>
      <c r="E47" s="334">
        <v>3</v>
      </c>
      <c r="F47" s="334">
        <v>31583</v>
      </c>
    </row>
    <row r="48" spans="1:6">
      <c r="A48" s="348" t="s">
        <v>32</v>
      </c>
      <c r="B48" s="348" t="s">
        <v>29</v>
      </c>
      <c r="C48" s="334">
        <v>5</v>
      </c>
      <c r="D48" s="334">
        <v>283406</v>
      </c>
      <c r="E48" s="334">
        <v>2</v>
      </c>
      <c r="F48" s="334">
        <v>48216</v>
      </c>
    </row>
    <row r="49" spans="1:6">
      <c r="A49" s="348" t="s">
        <v>32</v>
      </c>
      <c r="B49" s="348" t="s">
        <v>40</v>
      </c>
      <c r="C49" s="334">
        <v>0</v>
      </c>
      <c r="D49" s="334">
        <v>0</v>
      </c>
      <c r="E49" s="334">
        <v>8</v>
      </c>
      <c r="F49" s="334">
        <v>61183</v>
      </c>
    </row>
    <row r="50" spans="1:6">
      <c r="A50" s="348" t="s">
        <v>32</v>
      </c>
      <c r="B50" s="348" t="s">
        <v>41</v>
      </c>
      <c r="C50" s="334">
        <v>6</v>
      </c>
      <c r="D50" s="334">
        <v>117344419</v>
      </c>
      <c r="E50" s="334">
        <v>22</v>
      </c>
      <c r="F50" s="334">
        <v>24186837.909000002</v>
      </c>
    </row>
    <row r="51" spans="1:6">
      <c r="A51" s="348" t="s">
        <v>42</v>
      </c>
      <c r="B51" s="348" t="s">
        <v>43</v>
      </c>
      <c r="C51" s="334">
        <v>5</v>
      </c>
      <c r="D51" s="334">
        <v>92930</v>
      </c>
      <c r="E51" s="334">
        <v>20</v>
      </c>
      <c r="F51" s="334">
        <v>219350</v>
      </c>
    </row>
    <row r="52" spans="1:6">
      <c r="A52" s="348" t="s">
        <v>42</v>
      </c>
      <c r="B52" s="348" t="s">
        <v>29</v>
      </c>
      <c r="C52" s="334">
        <v>0</v>
      </c>
      <c r="D52" s="334">
        <v>0</v>
      </c>
      <c r="E52" s="334">
        <v>0</v>
      </c>
      <c r="F52" s="334">
        <v>0</v>
      </c>
    </row>
    <row r="53" spans="1:6">
      <c r="A53" s="348" t="s">
        <v>44</v>
      </c>
      <c r="B53" s="348" t="s">
        <v>45</v>
      </c>
      <c r="C53" s="334">
        <v>68</v>
      </c>
      <c r="D53" s="334">
        <v>1768638.6</v>
      </c>
      <c r="E53" s="334">
        <v>143</v>
      </c>
      <c r="F53" s="334">
        <v>747172.25</v>
      </c>
    </row>
    <row r="54" spans="1:6">
      <c r="A54" s="348" t="s">
        <v>46</v>
      </c>
      <c r="B54" s="348" t="s">
        <v>47</v>
      </c>
      <c r="C54" s="334">
        <v>0</v>
      </c>
      <c r="D54" s="334">
        <v>0</v>
      </c>
      <c r="E54" s="334">
        <v>3</v>
      </c>
      <c r="F54" s="334">
        <v>1300849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70</v>
      </c>
      <c r="D57" s="334">
        <v>2085737</v>
      </c>
      <c r="E57" s="334">
        <v>131</v>
      </c>
      <c r="F57" s="334">
        <v>1745369</v>
      </c>
    </row>
    <row r="58" spans="1:6">
      <c r="A58" s="348" t="s">
        <v>49</v>
      </c>
      <c r="B58" s="348" t="s">
        <v>51</v>
      </c>
      <c r="C58" s="334">
        <v>40</v>
      </c>
      <c r="D58" s="334">
        <v>3880177.6970000002</v>
      </c>
      <c r="E58" s="334">
        <v>67</v>
      </c>
      <c r="F58" s="334">
        <v>2053371.0249999999</v>
      </c>
    </row>
    <row r="59" spans="1:6">
      <c r="A59" s="348" t="s">
        <v>49</v>
      </c>
      <c r="B59" s="348" t="s">
        <v>52</v>
      </c>
      <c r="C59" s="334">
        <v>127</v>
      </c>
      <c r="D59" s="334">
        <v>8275706.6299999999</v>
      </c>
      <c r="E59" s="334">
        <v>262</v>
      </c>
      <c r="F59" s="334">
        <v>8572506.1170000006</v>
      </c>
    </row>
    <row r="60" spans="1:6">
      <c r="A60" s="348" t="s">
        <v>49</v>
      </c>
      <c r="B60" s="348" t="s">
        <v>53</v>
      </c>
      <c r="C60" s="334">
        <v>65</v>
      </c>
      <c r="D60" s="334">
        <v>4243536.5999999996</v>
      </c>
      <c r="E60" s="334">
        <v>133</v>
      </c>
      <c r="F60" s="334">
        <v>2943699.6630000002</v>
      </c>
    </row>
    <row r="61" spans="1:6">
      <c r="A61" s="348" t="s">
        <v>49</v>
      </c>
      <c r="B61" s="348" t="s">
        <v>54</v>
      </c>
      <c r="C61" s="334">
        <v>174</v>
      </c>
      <c r="D61" s="334">
        <v>3929443.5</v>
      </c>
      <c r="E61" s="334">
        <v>387</v>
      </c>
      <c r="F61" s="334">
        <v>3424693.5210000002</v>
      </c>
    </row>
    <row r="62" spans="1:6">
      <c r="A62" s="348" t="s">
        <v>49</v>
      </c>
      <c r="B62" s="348" t="s">
        <v>55</v>
      </c>
      <c r="C62" s="334">
        <v>13</v>
      </c>
      <c r="D62" s="334">
        <v>2500723.8480000002</v>
      </c>
      <c r="E62" s="334">
        <v>21</v>
      </c>
      <c r="F62" s="334">
        <v>483809.03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13</v>
      </c>
      <c r="F66" s="334">
        <v>298707.11700000003</v>
      </c>
    </row>
    <row r="67" spans="1:6">
      <c r="A67" s="355" t="s">
        <v>56</v>
      </c>
      <c r="B67" s="355" t="s">
        <v>59</v>
      </c>
      <c r="C67" s="334">
        <v>0</v>
      </c>
      <c r="D67" s="334">
        <v>0</v>
      </c>
      <c r="E67" s="334">
        <v>0</v>
      </c>
      <c r="F67" s="334">
        <v>0</v>
      </c>
    </row>
    <row r="68" spans="1:6">
      <c r="A68" s="341" t="s">
        <v>56</v>
      </c>
      <c r="B68" s="341" t="s">
        <v>60</v>
      </c>
      <c r="C68" s="334">
        <v>5</v>
      </c>
      <c r="D68" s="334">
        <v>198631</v>
      </c>
      <c r="E68" s="334">
        <v>9</v>
      </c>
      <c r="F68" s="334">
        <v>84945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57382422</v>
      </c>
      <c r="E73" s="475">
        <v>67516093.676789179</v>
      </c>
    </row>
    <row r="74" spans="1:6">
      <c r="A74" s="348" t="s">
        <v>64</v>
      </c>
      <c r="B74" s="348" t="s">
        <v>657</v>
      </c>
      <c r="C74" s="1295" t="s">
        <v>659</v>
      </c>
      <c r="D74" s="475">
        <v>6162993.5</v>
      </c>
      <c r="E74" s="475">
        <v>7060902.17430868</v>
      </c>
    </row>
    <row r="75" spans="1:6">
      <c r="A75" s="348" t="s">
        <v>65</v>
      </c>
      <c r="B75" s="348" t="s">
        <v>656</v>
      </c>
      <c r="C75" s="1295" t="s">
        <v>660</v>
      </c>
      <c r="D75" s="475">
        <v>32294470</v>
      </c>
      <c r="E75" s="475">
        <v>37900525.834290467</v>
      </c>
    </row>
    <row r="76" spans="1:6">
      <c r="A76" s="348" t="s">
        <v>65</v>
      </c>
      <c r="B76" s="348" t="s">
        <v>657</v>
      </c>
      <c r="C76" s="1295" t="s">
        <v>661</v>
      </c>
      <c r="D76" s="475">
        <v>1346628.5</v>
      </c>
      <c r="E76" s="475">
        <v>1587892.4268159526</v>
      </c>
    </row>
    <row r="77" spans="1:6">
      <c r="A77" s="348" t="s">
        <v>66</v>
      </c>
      <c r="B77" s="348" t="s">
        <v>656</v>
      </c>
      <c r="C77" s="1295" t="s">
        <v>662</v>
      </c>
      <c r="D77" s="475">
        <v>174050567</v>
      </c>
      <c r="E77" s="475">
        <v>183976036.38656995</v>
      </c>
    </row>
    <row r="78" spans="1:6">
      <c r="A78" s="341" t="s">
        <v>66</v>
      </c>
      <c r="B78" s="341" t="s">
        <v>657</v>
      </c>
      <c r="C78" s="341" t="s">
        <v>663</v>
      </c>
      <c r="D78" s="1296">
        <v>29226670</v>
      </c>
      <c r="E78" s="1296">
        <v>29989937.306278165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666217</v>
      </c>
      <c r="C83" s="475">
        <v>681239.64755568455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7266.3247119807011</v>
      </c>
    </row>
    <row r="92" spans="1:6">
      <c r="A92" s="341" t="s">
        <v>69</v>
      </c>
      <c r="B92" s="342">
        <v>2295.0817669102507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1089</v>
      </c>
    </row>
    <row r="98" spans="1:6">
      <c r="A98" s="348" t="s">
        <v>72</v>
      </c>
      <c r="B98" s="334">
        <v>2</v>
      </c>
    </row>
    <row r="99" spans="1:6">
      <c r="A99" s="348" t="s">
        <v>73</v>
      </c>
      <c r="B99" s="334">
        <v>66</v>
      </c>
    </row>
    <row r="100" spans="1:6">
      <c r="A100" s="348" t="s">
        <v>74</v>
      </c>
      <c r="B100" s="334">
        <v>340</v>
      </c>
    </row>
    <row r="101" spans="1:6">
      <c r="A101" s="348" t="s">
        <v>75</v>
      </c>
      <c r="B101" s="334">
        <v>51</v>
      </c>
    </row>
    <row r="102" spans="1:6">
      <c r="A102" s="348" t="s">
        <v>76</v>
      </c>
      <c r="B102" s="334">
        <v>60</v>
      </c>
    </row>
    <row r="103" spans="1:6">
      <c r="A103" s="348" t="s">
        <v>77</v>
      </c>
      <c r="B103" s="334">
        <v>141</v>
      </c>
    </row>
    <row r="104" spans="1:6">
      <c r="A104" s="348" t="s">
        <v>78</v>
      </c>
      <c r="B104" s="334">
        <v>5249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73</v>
      </c>
      <c r="C123" s="334">
        <v>49</v>
      </c>
    </row>
    <row r="124" spans="1:6">
      <c r="A124" s="341" t="s">
        <v>89</v>
      </c>
      <c r="B124" s="334">
        <v>6</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297</v>
      </c>
    </row>
    <row r="130" spans="1:6">
      <c r="A130" s="348" t="s">
        <v>295</v>
      </c>
      <c r="B130" s="334">
        <v>3</v>
      </c>
    </row>
    <row r="131" spans="1:6">
      <c r="A131" s="348" t="s">
        <v>296</v>
      </c>
      <c r="B131" s="334">
        <v>3</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98863.649876537849</v>
      </c>
      <c r="C3" s="43" t="s">
        <v>170</v>
      </c>
      <c r="D3" s="43"/>
      <c r="E3" s="154"/>
      <c r="F3" s="43"/>
      <c r="G3" s="43"/>
      <c r="H3" s="43"/>
      <c r="I3" s="43"/>
      <c r="J3" s="43"/>
      <c r="K3" s="96"/>
    </row>
    <row r="4" spans="1:11">
      <c r="A4" s="383" t="s">
        <v>171</v>
      </c>
      <c r="B4" s="49">
        <f>IF(ISERROR('SEAP template'!B78+'SEAP template'!C78),0,'SEAP template'!B78+'SEAP template'!C78)</f>
        <v>9566.3648122242867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1.1128703703703704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0.19962658564831456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1.5941116116116119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7.1024774774774784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1300.8489999999999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1300.8489999999999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0.19962658564831456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259.68404431402433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28894.175050000002</v>
      </c>
      <c r="C5" s="17">
        <f>IF(ISERROR('Eigen informatie GS &amp; warmtenet'!B57),0,'Eigen informatie GS &amp; warmtenet'!B57)</f>
        <v>0</v>
      </c>
      <c r="D5" s="30">
        <f>(SUM(HH_hh_gas_kWh,HH_rest_gas_kWh)/1000)*0.902</f>
        <v>57327.823641000003</v>
      </c>
      <c r="E5" s="17">
        <f>B46*B57</f>
        <v>5552.1748759117872</v>
      </c>
      <c r="F5" s="17">
        <f>B51*B62</f>
        <v>64754.37137636829</v>
      </c>
      <c r="G5" s="18"/>
      <c r="H5" s="17"/>
      <c r="I5" s="17"/>
      <c r="J5" s="17">
        <f>B50*B61+C50*C61</f>
        <v>0</v>
      </c>
      <c r="K5" s="17"/>
      <c r="L5" s="17"/>
      <c r="M5" s="17"/>
      <c r="N5" s="17">
        <f>B48*B59+C48*C59</f>
        <v>14621.167257331377</v>
      </c>
      <c r="O5" s="17">
        <f>B69*B70*B71</f>
        <v>545.60333333333335</v>
      </c>
      <c r="P5" s="17">
        <f>B77*B78*B79/1000-B77*B78*B79/1000/B80</f>
        <v>2345.1999999999998</v>
      </c>
    </row>
    <row r="6" spans="1:16">
      <c r="A6" s="16" t="s">
        <v>621</v>
      </c>
      <c r="B6" s="788">
        <f>kWh_PV_kleiner_dan_10kW</f>
        <v>7266.3247119807011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36160.499761980704</v>
      </c>
      <c r="C8" s="21">
        <f>C5</f>
        <v>0</v>
      </c>
      <c r="D8" s="21">
        <f>D5</f>
        <v>57327.823641000003</v>
      </c>
      <c r="E8" s="21">
        <f>E5</f>
        <v>5552.1748759117872</v>
      </c>
      <c r="F8" s="21">
        <f>F5</f>
        <v>64754.37137636829</v>
      </c>
      <c r="G8" s="21"/>
      <c r="H8" s="21"/>
      <c r="I8" s="21"/>
      <c r="J8" s="21">
        <f>J5</f>
        <v>0</v>
      </c>
      <c r="K8" s="21"/>
      <c r="L8" s="21">
        <f>L5</f>
        <v>0</v>
      </c>
      <c r="M8" s="21">
        <f>M5</f>
        <v>0</v>
      </c>
      <c r="N8" s="21">
        <f>N5</f>
        <v>14621.167257331377</v>
      </c>
      <c r="O8" s="21">
        <f>O5</f>
        <v>545.60333333333335</v>
      </c>
      <c r="P8" s="21">
        <f>P5</f>
        <v>2345.1999999999998</v>
      </c>
    </row>
    <row r="9" spans="1:16">
      <c r="B9" s="19"/>
      <c r="C9" s="19"/>
      <c r="D9" s="258"/>
      <c r="E9" s="19"/>
      <c r="F9" s="19"/>
      <c r="G9" s="19"/>
      <c r="H9" s="19"/>
      <c r="I9" s="19"/>
      <c r="J9" s="19"/>
      <c r="K9" s="19"/>
      <c r="L9" s="19"/>
      <c r="M9" s="19"/>
      <c r="N9" s="19"/>
      <c r="O9" s="19"/>
      <c r="P9" s="19"/>
    </row>
    <row r="10" spans="1:16">
      <c r="A10" s="24" t="s">
        <v>214</v>
      </c>
      <c r="B10" s="25">
        <f ca="1">'EF ele_warmte'!B12</f>
        <v>0.19962658564831456</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7218.5971028208996</v>
      </c>
      <c r="C12" s="23">
        <f ca="1">C10*C8</f>
        <v>0</v>
      </c>
      <c r="D12" s="23">
        <f>D8*D10</f>
        <v>11580.220375482002</v>
      </c>
      <c r="E12" s="23">
        <f>E10*E8</f>
        <v>1260.3436968319756</v>
      </c>
      <c r="F12" s="23">
        <f>F10*F8</f>
        <v>17289.417157490334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1089</v>
      </c>
      <c r="C18" s="166" t="s">
        <v>111</v>
      </c>
      <c r="D18" s="228"/>
      <c r="E18" s="15"/>
    </row>
    <row r="19" spans="1:7">
      <c r="A19" s="171" t="s">
        <v>72</v>
      </c>
      <c r="B19" s="37">
        <f>aantalw2001_ander</f>
        <v>2</v>
      </c>
      <c r="C19" s="166" t="s">
        <v>111</v>
      </c>
      <c r="D19" s="229"/>
      <c r="E19" s="15"/>
    </row>
    <row r="20" spans="1:7">
      <c r="A20" s="171" t="s">
        <v>73</v>
      </c>
      <c r="B20" s="37">
        <f>aantalw2001_propaan</f>
        <v>66</v>
      </c>
      <c r="C20" s="167">
        <f>IF(ISERROR(B20/SUM($B$20,$B$21,$B$22)*100),0,B20/SUM($B$20,$B$21,$B$22)*100)</f>
        <v>14.442013129102845</v>
      </c>
      <c r="D20" s="229"/>
      <c r="E20" s="15"/>
    </row>
    <row r="21" spans="1:7">
      <c r="A21" s="171" t="s">
        <v>74</v>
      </c>
      <c r="B21" s="37">
        <f>aantalw2001_elektriciteit</f>
        <v>340</v>
      </c>
      <c r="C21" s="167">
        <f>IF(ISERROR(B21/SUM($B$20,$B$21,$B$22)*100),0,B21/SUM($B$20,$B$21,$B$22)*100)</f>
        <v>74.398249452954047</v>
      </c>
      <c r="D21" s="229"/>
      <c r="E21" s="15"/>
    </row>
    <row r="22" spans="1:7">
      <c r="A22" s="171" t="s">
        <v>75</v>
      </c>
      <c r="B22" s="37">
        <f>aantalw2001_hout</f>
        <v>51</v>
      </c>
      <c r="C22" s="167">
        <f>IF(ISERROR(B22/SUM($B$20,$B$21,$B$22)*100),0,B22/SUM($B$20,$B$21,$B$22)*100)</f>
        <v>11.159737417943107</v>
      </c>
      <c r="D22" s="229"/>
      <c r="E22" s="15"/>
    </row>
    <row r="23" spans="1:7">
      <c r="A23" s="171" t="s">
        <v>76</v>
      </c>
      <c r="B23" s="37">
        <f>aantalw2001_niet_gespec</f>
        <v>60</v>
      </c>
      <c r="C23" s="166" t="s">
        <v>111</v>
      </c>
      <c r="D23" s="228"/>
      <c r="E23" s="15"/>
    </row>
    <row r="24" spans="1:7">
      <c r="A24" s="171" t="s">
        <v>77</v>
      </c>
      <c r="B24" s="37">
        <f>aantalw2001_steenkool</f>
        <v>141</v>
      </c>
      <c r="C24" s="166" t="s">
        <v>111</v>
      </c>
      <c r="D24" s="229"/>
      <c r="E24" s="15"/>
    </row>
    <row r="25" spans="1:7">
      <c r="A25" s="171" t="s">
        <v>78</v>
      </c>
      <c r="B25" s="37">
        <f>aantalw2001_stookolie</f>
        <v>5249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8582</v>
      </c>
      <c r="C28" s="36"/>
      <c r="D28" s="228"/>
    </row>
    <row r="29" spans="1:7" s="15" customFormat="1">
      <c r="A29" s="230" t="s">
        <v>794</v>
      </c>
      <c r="B29" s="37">
        <f>SUM(HH_hh_gas_aantal,HH_rest_gas_aantal)</f>
        <v>4142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4142</v>
      </c>
      <c r="C32" s="167">
        <f>IF(ISERROR(B32/SUM($B$32,$B$34,$B$35,$B$36,$B$38,$B$39)*100),0,B32/SUM($B$32,$B$34,$B$35,$B$36,$B$38,$B$39)*100)</f>
        <v>48.965598770540254</v>
      </c>
      <c r="D32" s="233"/>
      <c r="G32" s="15"/>
    </row>
    <row r="33" spans="1:7">
      <c r="A33" s="171" t="s">
        <v>72</v>
      </c>
      <c r="B33" s="34" t="s">
        <v>111</v>
      </c>
      <c r="C33" s="167"/>
      <c r="D33" s="233"/>
      <c r="G33" s="15"/>
    </row>
    <row r="34" spans="1:7">
      <c r="A34" s="171" t="s">
        <v>73</v>
      </c>
      <c r="B34" s="33">
        <f>IF((($B$28-$B$32-$B$39-$B$77-$B$38)*C20/100)&lt;0,0,($B$28-$B$32-$B$39-$B$77-$B$38)*C20/100)</f>
        <v>262.22363238512042</v>
      </c>
      <c r="C34" s="167">
        <f>IF(ISERROR(B34/SUM($B$32,$B$34,$B$35,$B$36,$B$38,$B$39)*100),0,B34/SUM($B$32,$B$34,$B$35,$B$36,$B$38,$B$39)*100)</f>
        <v>3.0999365455150776</v>
      </c>
      <c r="D34" s="233"/>
      <c r="G34" s="15"/>
    </row>
    <row r="35" spans="1:7">
      <c r="A35" s="171" t="s">
        <v>74</v>
      </c>
      <c r="B35" s="33">
        <f>IF((($B$28-$B$32-$B$39-$B$77-$B$38)*C21/100)&lt;0,0,($B$28-$B$32-$B$39-$B$77-$B$38)*C21/100)</f>
        <v>1350.8490153172868</v>
      </c>
      <c r="C35" s="167">
        <f>IF(ISERROR(B35/SUM($B$32,$B$34,$B$35,$B$36,$B$38,$B$39)*100),0,B35/SUM($B$32,$B$34,$B$35,$B$36,$B$38,$B$39)*100)</f>
        <v>15.969370082956457</v>
      </c>
      <c r="D35" s="233"/>
      <c r="G35" s="15"/>
    </row>
    <row r="36" spans="1:7">
      <c r="A36" s="171" t="s">
        <v>75</v>
      </c>
      <c r="B36" s="33">
        <f>IF((($B$28-$B$32-$B$39-$B$77-$B$38)*C22/100)&lt;0,0,($B$28-$B$32-$B$39-$B$77-$B$38)*C22/100)</f>
        <v>202.62735229759303</v>
      </c>
      <c r="C36" s="167">
        <f>IF(ISERROR(B36/SUM($B$32,$B$34,$B$35,$B$36,$B$38,$B$39)*100),0,B36/SUM($B$32,$B$34,$B$35,$B$36,$B$38,$B$39)*100)</f>
        <v>2.3954055124434692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2501.2999999999997</v>
      </c>
      <c r="C39" s="167">
        <f>IF(ISERROR(B39/SUM($B$32,$B$34,$B$35,$B$36,$B$38,$B$39)*100),0,B39/SUM($B$32,$B$34,$B$35,$B$36,$B$38,$B$39)*100)</f>
        <v>29.569689088544742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4142</v>
      </c>
      <c r="C44" s="34" t="s">
        <v>111</v>
      </c>
      <c r="D44" s="174"/>
    </row>
    <row r="45" spans="1:7">
      <c r="A45" s="171" t="s">
        <v>72</v>
      </c>
      <c r="B45" s="33" t="str">
        <f t="shared" si="0"/>
        <v>-</v>
      </c>
      <c r="C45" s="34" t="s">
        <v>111</v>
      </c>
      <c r="D45" s="174"/>
    </row>
    <row r="46" spans="1:7">
      <c r="A46" s="171" t="s">
        <v>73</v>
      </c>
      <c r="B46" s="33">
        <f t="shared" si="0"/>
        <v>262.22363238512042</v>
      </c>
      <c r="C46" s="34" t="s">
        <v>111</v>
      </c>
      <c r="D46" s="174"/>
    </row>
    <row r="47" spans="1:7">
      <c r="A47" s="171" t="s">
        <v>74</v>
      </c>
      <c r="B47" s="33">
        <f t="shared" si="0"/>
        <v>1350.8490153172868</v>
      </c>
      <c r="C47" s="34" t="s">
        <v>111</v>
      </c>
      <c r="D47" s="174"/>
    </row>
    <row r="48" spans="1:7">
      <c r="A48" s="171" t="s">
        <v>75</v>
      </c>
      <c r="B48" s="33">
        <f t="shared" si="0"/>
        <v>202.62735229759303</v>
      </c>
      <c r="C48" s="33">
        <f>B48*10</f>
        <v>2026.2735229759303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2501.2999999999997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19223.448356000001</v>
      </c>
      <c r="C5" s="17">
        <f>IF(ISERROR('Eigen informatie GS &amp; warmtenet'!B58),0,'Eigen informatie GS &amp; warmtenet'!B58)</f>
        <v>0</v>
      </c>
      <c r="D5" s="30">
        <f>SUM(D6:D12)</f>
        <v>22473.623398049996</v>
      </c>
      <c r="E5" s="17">
        <f>SUM(E6:E12)</f>
        <v>362.60737122959944</v>
      </c>
      <c r="F5" s="17">
        <f>SUM(F6:F12)</f>
        <v>3385.0283979405654</v>
      </c>
      <c r="G5" s="18"/>
      <c r="H5" s="17"/>
      <c r="I5" s="17"/>
      <c r="J5" s="17">
        <f>SUM(J6:J12)</f>
        <v>3.788511933243157E-2</v>
      </c>
      <c r="K5" s="17"/>
      <c r="L5" s="17"/>
      <c r="M5" s="17"/>
      <c r="N5" s="17">
        <f>SUM(N6:N12)</f>
        <v>1531.2442165149246</v>
      </c>
      <c r="O5" s="17">
        <f>B38*B39*B40</f>
        <v>4.6900000000000004</v>
      </c>
      <c r="P5" s="17">
        <f>B46*B47*B48/1000-B46*B47*B48/1000/B49</f>
        <v>57.2</v>
      </c>
      <c r="R5" s="32"/>
    </row>
    <row r="6" spans="1:18">
      <c r="A6" s="32" t="s">
        <v>54</v>
      </c>
      <c r="B6" s="37">
        <f>B26</f>
        <v>3424.6935210000001</v>
      </c>
      <c r="C6" s="33"/>
      <c r="D6" s="37">
        <f>IF(ISERROR(TER_kantoor_gas_kWh/1000),0,TER_kantoor_gas_kWh/1000)*0.902</f>
        <v>3544.358037</v>
      </c>
      <c r="E6" s="33">
        <f>$C$26*'E Balans VL '!I12/100/3.6*1000000</f>
        <v>2.1464839954407507E-2</v>
      </c>
      <c r="F6" s="33">
        <f>$C$26*('E Balans VL '!L12+'E Balans VL '!N12)/100/3.6*1000000</f>
        <v>514.63574114252503</v>
      </c>
      <c r="G6" s="34"/>
      <c r="H6" s="33"/>
      <c r="I6" s="33"/>
      <c r="J6" s="33">
        <f>$C$26*('E Balans VL '!D12+'E Balans VL '!E12)/100/3.6*1000000</f>
        <v>0</v>
      </c>
      <c r="K6" s="33"/>
      <c r="L6" s="33"/>
      <c r="M6" s="33"/>
      <c r="N6" s="33">
        <f>$C$26*'E Balans VL '!Y12/100/3.6*1000000</f>
        <v>3.2752115862975959</v>
      </c>
      <c r="O6" s="33"/>
      <c r="P6" s="33"/>
      <c r="R6" s="32"/>
    </row>
    <row r="7" spans="1:18">
      <c r="A7" s="32" t="s">
        <v>53</v>
      </c>
      <c r="B7" s="37">
        <f t="shared" ref="B7:B12" si="0">B27</f>
        <v>2943.6996630000003</v>
      </c>
      <c r="C7" s="33"/>
      <c r="D7" s="37">
        <f>IF(ISERROR(TER_horeca_gas_kWh/1000),0,TER_horeca_gas_kWh/1000)*0.902</f>
        <v>3827.6700131999996</v>
      </c>
      <c r="E7" s="33">
        <f>$C$27*'E Balans VL '!I9/100/3.6*1000000</f>
        <v>42.153288847398606</v>
      </c>
      <c r="F7" s="33">
        <f>$C$27*('E Balans VL '!L9+'E Balans VL '!N9)/100/3.6*1000000</f>
        <v>372.76946429104459</v>
      </c>
      <c r="G7" s="34"/>
      <c r="H7" s="33"/>
      <c r="I7" s="33"/>
      <c r="J7" s="33">
        <f>$C$27*('E Balans VL '!D9+'E Balans VL '!E9)/100/3.6*1000000</f>
        <v>0</v>
      </c>
      <c r="K7" s="33"/>
      <c r="L7" s="33"/>
      <c r="M7" s="33"/>
      <c r="N7" s="33">
        <f>$C$27*'E Balans VL '!Y9/100/3.6*1000000</f>
        <v>0.84624875010618339</v>
      </c>
      <c r="O7" s="33"/>
      <c r="P7" s="33"/>
      <c r="R7" s="32"/>
    </row>
    <row r="8" spans="1:18">
      <c r="A8" s="6" t="s">
        <v>52</v>
      </c>
      <c r="B8" s="37">
        <f t="shared" si="0"/>
        <v>8572.5061170000008</v>
      </c>
      <c r="C8" s="33"/>
      <c r="D8" s="37">
        <f>IF(ISERROR(TER_handel_gas_kWh/1000),0,TER_handel_gas_kWh/1000)*0.902</f>
        <v>7464.6873802600003</v>
      </c>
      <c r="E8" s="33">
        <f>$C$28*'E Balans VL '!I13/100/3.6*1000000</f>
        <v>310.92373974949606</v>
      </c>
      <c r="F8" s="33">
        <f>$C$28*('E Balans VL '!L13+'E Balans VL '!N13)/100/3.6*1000000</f>
        <v>1651.1514802773427</v>
      </c>
      <c r="G8" s="34"/>
      <c r="H8" s="33"/>
      <c r="I8" s="33"/>
      <c r="J8" s="33">
        <f>$C$28*('E Balans VL '!D13+'E Balans VL '!E13)/100/3.6*1000000</f>
        <v>0</v>
      </c>
      <c r="K8" s="33"/>
      <c r="L8" s="33"/>
      <c r="M8" s="33"/>
      <c r="N8" s="33">
        <f>$C$28*'E Balans VL '!Y13/100/3.6*1000000</f>
        <v>11.87489341773408</v>
      </c>
      <c r="O8" s="33"/>
      <c r="P8" s="33"/>
      <c r="R8" s="32"/>
    </row>
    <row r="9" spans="1:18">
      <c r="A9" s="32" t="s">
        <v>51</v>
      </c>
      <c r="B9" s="37">
        <f t="shared" si="0"/>
        <v>2053.3710249999999</v>
      </c>
      <c r="C9" s="33"/>
      <c r="D9" s="37">
        <f>IF(ISERROR(TER_gezond_gas_kWh/1000),0,TER_gezond_gas_kWh/1000)*0.902</f>
        <v>3499.920282694</v>
      </c>
      <c r="E9" s="33">
        <f>$C$29*'E Balans VL '!I10/100/3.6*1000000</f>
        <v>0.12856129954127468</v>
      </c>
      <c r="F9" s="33">
        <f>$C$29*('E Balans VL '!L10+'E Balans VL '!N10)/100/3.6*1000000</f>
        <v>305.03451768311982</v>
      </c>
      <c r="G9" s="34"/>
      <c r="H9" s="33"/>
      <c r="I9" s="33"/>
      <c r="J9" s="33">
        <f>$C$29*('E Balans VL '!D10+'E Balans VL '!E10)/100/3.6*1000000</f>
        <v>0</v>
      </c>
      <c r="K9" s="33"/>
      <c r="L9" s="33"/>
      <c r="M9" s="33"/>
      <c r="N9" s="33">
        <f>$C$29*'E Balans VL '!Y10/100/3.6*1000000</f>
        <v>31.76174114806744</v>
      </c>
      <c r="O9" s="33"/>
      <c r="P9" s="33"/>
      <c r="R9" s="32"/>
    </row>
    <row r="10" spans="1:18">
      <c r="A10" s="32" t="s">
        <v>50</v>
      </c>
      <c r="B10" s="37">
        <f t="shared" si="0"/>
        <v>1745.3689999999999</v>
      </c>
      <c r="C10" s="33"/>
      <c r="D10" s="37">
        <f>IF(ISERROR(TER_ander_gas_kWh/1000),0,TER_ander_gas_kWh/1000)*0.902</f>
        <v>1881.3347740000002</v>
      </c>
      <c r="E10" s="33">
        <f>$C$30*'E Balans VL '!I14/100/3.6*1000000</f>
        <v>2.0804174790504408</v>
      </c>
      <c r="F10" s="33">
        <f>$C$30*('E Balans VL '!L14+'E Balans VL '!N14)/100/3.6*1000000</f>
        <v>456.66612341134106</v>
      </c>
      <c r="G10" s="34"/>
      <c r="H10" s="33"/>
      <c r="I10" s="33"/>
      <c r="J10" s="33">
        <f>$C$30*('E Balans VL '!D14+'E Balans VL '!E14)/100/3.6*1000000</f>
        <v>3.788511933243157E-2</v>
      </c>
      <c r="K10" s="33"/>
      <c r="L10" s="33"/>
      <c r="M10" s="33"/>
      <c r="N10" s="33">
        <f>$C$30*'E Balans VL '!Y14/100/3.6*1000000</f>
        <v>1482.1246462217362</v>
      </c>
      <c r="O10" s="33"/>
      <c r="P10" s="33"/>
      <c r="R10" s="32"/>
    </row>
    <row r="11" spans="1:18">
      <c r="A11" s="32" t="s">
        <v>55</v>
      </c>
      <c r="B11" s="37">
        <f t="shared" si="0"/>
        <v>483.80903000000001</v>
      </c>
      <c r="C11" s="33"/>
      <c r="D11" s="37">
        <f>IF(ISERROR(TER_onderwijs_gas_kWh/1000),0,TER_onderwijs_gas_kWh/1000)*0.902</f>
        <v>2255.6529108960003</v>
      </c>
      <c r="E11" s="33">
        <f>$C$31*'E Balans VL '!I11/100/3.6*1000000</f>
        <v>7.2998990141586777</v>
      </c>
      <c r="F11" s="33">
        <f>$C$31*('E Balans VL '!L11+'E Balans VL '!N11)/100/3.6*1000000</f>
        <v>84.771071135191761</v>
      </c>
      <c r="G11" s="34"/>
      <c r="H11" s="33"/>
      <c r="I11" s="33"/>
      <c r="J11" s="33">
        <f>$C$31*('E Balans VL '!D11+'E Balans VL '!E11)/100/3.6*1000000</f>
        <v>0</v>
      </c>
      <c r="K11" s="33"/>
      <c r="L11" s="33"/>
      <c r="M11" s="33"/>
      <c r="N11" s="33">
        <f>$C$31*'E Balans VL '!Y11/100/3.6*1000000</f>
        <v>1.3614753909831332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19223.448356000001</v>
      </c>
      <c r="C16" s="21">
        <f t="shared" ca="1" si="1"/>
        <v>0</v>
      </c>
      <c r="D16" s="21">
        <f t="shared" ca="1" si="1"/>
        <v>22473.623398049996</v>
      </c>
      <c r="E16" s="21">
        <f t="shared" si="1"/>
        <v>362.60737122959944</v>
      </c>
      <c r="F16" s="21">
        <f t="shared" ca="1" si="1"/>
        <v>3385.0283979405654</v>
      </c>
      <c r="G16" s="21">
        <f t="shared" si="1"/>
        <v>0</v>
      </c>
      <c r="H16" s="21">
        <f t="shared" si="1"/>
        <v>0</v>
      </c>
      <c r="I16" s="21">
        <f t="shared" si="1"/>
        <v>0</v>
      </c>
      <c r="J16" s="21">
        <f t="shared" si="1"/>
        <v>3.788511933243157E-2</v>
      </c>
      <c r="K16" s="21">
        <f t="shared" si="1"/>
        <v>0</v>
      </c>
      <c r="L16" s="21">
        <f t="shared" ca="1" si="1"/>
        <v>0</v>
      </c>
      <c r="M16" s="21">
        <f t="shared" si="1"/>
        <v>0</v>
      </c>
      <c r="N16" s="21">
        <f t="shared" ca="1" si="1"/>
        <v>1531.2442165149246</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0.19962658564831456</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3837.5113596949859</v>
      </c>
      <c r="C20" s="23">
        <f t="shared" ref="C20:P20" ca="1" si="2">C16*C18</f>
        <v>0</v>
      </c>
      <c r="D20" s="23">
        <f t="shared" ca="1" si="2"/>
        <v>4539.6719264060994</v>
      </c>
      <c r="E20" s="23">
        <f t="shared" si="2"/>
        <v>82.311873269119076</v>
      </c>
      <c r="F20" s="23">
        <f t="shared" ca="1" si="2"/>
        <v>903.80258225013097</v>
      </c>
      <c r="G20" s="23">
        <f t="shared" si="2"/>
        <v>0</v>
      </c>
      <c r="H20" s="23">
        <f t="shared" si="2"/>
        <v>0</v>
      </c>
      <c r="I20" s="23">
        <f t="shared" si="2"/>
        <v>0</v>
      </c>
      <c r="J20" s="23">
        <f t="shared" si="2"/>
        <v>1.3411332243680775E-2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3424.6935210000001</v>
      </c>
      <c r="C26" s="39">
        <f>IF(ISERROR(B26*3.6/1000000/'E Balans VL '!Z12*100),0,B26*3.6/1000000/'E Balans VL '!Z12*100)</f>
        <v>7.2392595881185642E-2</v>
      </c>
      <c r="D26" s="237" t="s">
        <v>754</v>
      </c>
      <c r="F26" s="6"/>
    </row>
    <row r="27" spans="1:18">
      <c r="A27" s="231" t="s">
        <v>53</v>
      </c>
      <c r="B27" s="33">
        <f>IF(ISERROR(TER_horeca_ele_kWh/1000),0,TER_horeca_ele_kWh/1000)</f>
        <v>2943.6996630000003</v>
      </c>
      <c r="C27" s="39">
        <f>IF(ISERROR(B27*3.6/1000000/'E Balans VL '!Z9*100),0,B27*3.6/1000000/'E Balans VL '!Z9*100)</f>
        <v>0.23205074726141292</v>
      </c>
      <c r="D27" s="237" t="s">
        <v>754</v>
      </c>
      <c r="F27" s="6"/>
    </row>
    <row r="28" spans="1:18">
      <c r="A28" s="171" t="s">
        <v>52</v>
      </c>
      <c r="B28" s="33">
        <f>IF(ISERROR(TER_handel_ele_kWh/1000),0,TER_handel_ele_kWh/1000)</f>
        <v>8572.5061170000008</v>
      </c>
      <c r="C28" s="39">
        <f>IF(ISERROR(B28*3.6/1000000/'E Balans VL '!Z13*100),0,B28*3.6/1000000/'E Balans VL '!Z13*100)</f>
        <v>0.24880876432131824</v>
      </c>
      <c r="D28" s="237" t="s">
        <v>754</v>
      </c>
      <c r="F28" s="6"/>
    </row>
    <row r="29" spans="1:18">
      <c r="A29" s="231" t="s">
        <v>51</v>
      </c>
      <c r="B29" s="33">
        <f>IF(ISERROR(TER_gezond_ele_kWh/1000),0,TER_gezond_ele_kWh/1000)</f>
        <v>2053.3710249999999</v>
      </c>
      <c r="C29" s="39">
        <f>IF(ISERROR(B29*3.6/1000000/'E Balans VL '!Z10*100),0,B29*3.6/1000000/'E Balans VL '!Z10*100)</f>
        <v>0.21625368617473537</v>
      </c>
      <c r="D29" s="237" t="s">
        <v>754</v>
      </c>
      <c r="F29" s="6"/>
    </row>
    <row r="30" spans="1:18">
      <c r="A30" s="231" t="s">
        <v>50</v>
      </c>
      <c r="B30" s="33">
        <f>IF(ISERROR(TER_ander_ele_kWh/1000),0,TER_ander_ele_kWh/1000)</f>
        <v>1745.3689999999999</v>
      </c>
      <c r="C30" s="39">
        <f>IF(ISERROR(B30*3.6/1000000/'E Balans VL '!Z14*100),0,B30*3.6/1000000/'E Balans VL '!Z14*100)</f>
        <v>0.12873879653226106</v>
      </c>
      <c r="D30" s="237" t="s">
        <v>754</v>
      </c>
      <c r="F30" s="6"/>
    </row>
    <row r="31" spans="1:18">
      <c r="A31" s="231" t="s">
        <v>55</v>
      </c>
      <c r="B31" s="33">
        <f>IF(ISERROR(TER_onderwijs_ele_kWh/1000),0,TER_onderwijs_ele_kWh/1000)</f>
        <v>483.80903000000001</v>
      </c>
      <c r="C31" s="39">
        <f>IF(ISERROR(B31*3.6/1000000/'E Balans VL '!Z11*100),0,B31*3.6/1000000/'E Balans VL '!Z11*100)</f>
        <v>0.12015244509863297</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41103.620918999994</v>
      </c>
      <c r="C5" s="17">
        <f>IF(ISERROR('Eigen informatie GS &amp; warmtenet'!B59),0,'Eigen informatie GS &amp; warmtenet'!B59)</f>
        <v>0</v>
      </c>
      <c r="D5" s="30">
        <f>SUM(D6:D15)</f>
        <v>109227.29221799999</v>
      </c>
      <c r="E5" s="17">
        <f>SUM(E6:E15)</f>
        <v>620.31606351660344</v>
      </c>
      <c r="F5" s="17">
        <f>SUM(F6:F15)</f>
        <v>4176.9665054016004</v>
      </c>
      <c r="G5" s="18"/>
      <c r="H5" s="17"/>
      <c r="I5" s="17"/>
      <c r="J5" s="17">
        <f>SUM(J6:J15)</f>
        <v>0.31416705691472768</v>
      </c>
      <c r="K5" s="17"/>
      <c r="L5" s="17"/>
      <c r="M5" s="17"/>
      <c r="N5" s="17">
        <f>SUM(N6:N15)</f>
        <v>2489.7217853346851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15243.182559000001</v>
      </c>
      <c r="C8" s="33"/>
      <c r="D8" s="37">
        <f>IF( ISERROR(IND_metaal_Gas_kWH/1000),0,IND_metaal_Gas_kWH/1000)*0.902</f>
        <v>1242.120748</v>
      </c>
      <c r="E8" s="33">
        <f>C30*'E Balans VL '!I18/100/3.6*1000000</f>
        <v>140.14634162428285</v>
      </c>
      <c r="F8" s="33">
        <f>C30*'E Balans VL '!L18/100/3.6*1000000+C30*'E Balans VL '!N18/100/3.6*1000000</f>
        <v>1429.303027115646</v>
      </c>
      <c r="G8" s="34"/>
      <c r="H8" s="33"/>
      <c r="I8" s="33"/>
      <c r="J8" s="40">
        <f>C30*'E Balans VL '!D18/100/3.6*1000000+C30*'E Balans VL '!E18/100/3.6*1000000</f>
        <v>0</v>
      </c>
      <c r="K8" s="33"/>
      <c r="L8" s="33"/>
      <c r="M8" s="33"/>
      <c r="N8" s="33">
        <f>C30*'E Balans VL '!Y18/100/3.6*1000000</f>
        <v>217.46918962410874</v>
      </c>
      <c r="O8" s="33"/>
      <c r="P8" s="33"/>
      <c r="R8" s="32"/>
    </row>
    <row r="9" spans="1:18">
      <c r="A9" s="6" t="s">
        <v>33</v>
      </c>
      <c r="B9" s="37">
        <f t="shared" si="0"/>
        <v>1449.4504509999999</v>
      </c>
      <c r="C9" s="33"/>
      <c r="D9" s="37">
        <f>IF( ISERROR(IND_andere_gas_kWh/1000),0,IND_andere_gas_kWh/1000)*0.902</f>
        <v>1801.7395879999999</v>
      </c>
      <c r="E9" s="33">
        <f>C31*'E Balans VL '!I19/100/3.6*1000000</f>
        <v>423.70258429934933</v>
      </c>
      <c r="F9" s="33">
        <f>C31*'E Balans VL '!L19/100/3.6*1000000+C31*'E Balans VL '!N19/100/3.6*1000000</f>
        <v>1164.7431506965311</v>
      </c>
      <c r="G9" s="34"/>
      <c r="H9" s="33"/>
      <c r="I9" s="33"/>
      <c r="J9" s="40">
        <f>C31*'E Balans VL '!D19/100/3.6*1000000+C31*'E Balans VL '!E19/100/3.6*1000000</f>
        <v>0</v>
      </c>
      <c r="K9" s="33"/>
      <c r="L9" s="33"/>
      <c r="M9" s="33"/>
      <c r="N9" s="33">
        <f>C31*'E Balans VL '!Y19/100/3.6*1000000</f>
        <v>478.92090839310544</v>
      </c>
      <c r="O9" s="33"/>
      <c r="P9" s="33"/>
      <c r="R9" s="32"/>
    </row>
    <row r="10" spans="1:18">
      <c r="A10" s="6" t="s">
        <v>41</v>
      </c>
      <c r="B10" s="37">
        <f t="shared" si="0"/>
        <v>24186.837909000002</v>
      </c>
      <c r="C10" s="33"/>
      <c r="D10" s="37">
        <f>IF( ISERROR(IND_voed_gas_kWh/1000),0,IND_voed_gas_kWh/1000)*0.902</f>
        <v>105844.66593799999</v>
      </c>
      <c r="E10" s="33">
        <f>C32*'E Balans VL '!I20/100/3.6*1000000</f>
        <v>51.167630617852993</v>
      </c>
      <c r="F10" s="33">
        <f>C32*'E Balans VL '!L20/100/3.6*1000000+C32*'E Balans VL '!N20/100/3.6*1000000</f>
        <v>1537.8238603846482</v>
      </c>
      <c r="G10" s="34"/>
      <c r="H10" s="33"/>
      <c r="I10" s="33"/>
      <c r="J10" s="40">
        <f>C32*'E Balans VL '!D20/100/3.6*1000000+C32*'E Balans VL '!E20/100/3.6*1000000</f>
        <v>0</v>
      </c>
      <c r="K10" s="33"/>
      <c r="L10" s="33"/>
      <c r="M10" s="33"/>
      <c r="N10" s="33">
        <f>C32*'E Balans VL '!Y20/100/3.6*1000000</f>
        <v>1669.1304972695702</v>
      </c>
      <c r="O10" s="33"/>
      <c r="P10" s="33"/>
      <c r="R10" s="32"/>
    </row>
    <row r="11" spans="1:18">
      <c r="A11" s="6" t="s">
        <v>40</v>
      </c>
      <c r="B11" s="37">
        <f t="shared" si="0"/>
        <v>61.183</v>
      </c>
      <c r="C11" s="33"/>
      <c r="D11" s="37">
        <f>IF( ISERROR(IND_textiel_gas_kWh/1000),0,IND_textiel_gas_kWh/1000)*0.902</f>
        <v>0</v>
      </c>
      <c r="E11" s="33">
        <f>C33*'E Balans VL '!I21/100/3.6*1000000</f>
        <v>0.18170823501132261</v>
      </c>
      <c r="F11" s="33">
        <f>C33*'E Balans VL '!L21/100/3.6*1000000+C33*'E Balans VL '!N21/100/3.6*1000000</f>
        <v>6.181162725216728</v>
      </c>
      <c r="G11" s="34"/>
      <c r="H11" s="33"/>
      <c r="I11" s="33"/>
      <c r="J11" s="40">
        <f>C33*'E Balans VL '!D21/100/3.6*1000000+C33*'E Balans VL '!E21/100/3.6*1000000</f>
        <v>0</v>
      </c>
      <c r="K11" s="33"/>
      <c r="L11" s="33"/>
      <c r="M11" s="33"/>
      <c r="N11" s="33">
        <f>C33*'E Balans VL '!Y21/100/3.6*1000000</f>
        <v>3.3744377066271563</v>
      </c>
      <c r="O11" s="33"/>
      <c r="P11" s="33"/>
      <c r="R11" s="32"/>
    </row>
    <row r="12" spans="1:18">
      <c r="A12" s="6" t="s">
        <v>37</v>
      </c>
      <c r="B12" s="37">
        <f t="shared" si="0"/>
        <v>83.168000000000006</v>
      </c>
      <c r="C12" s="33"/>
      <c r="D12" s="37">
        <f>IF( ISERROR(IND_min_gas_kWh/1000),0,IND_min_gas_kWh/1000)*0.902</f>
        <v>83.133731999999995</v>
      </c>
      <c r="E12" s="33">
        <f>C34*'E Balans VL '!I22/100/3.6*1000000</f>
        <v>2.4106978621095503</v>
      </c>
      <c r="F12" s="33">
        <f>C34*'E Balans VL '!L22/100/3.6*1000000+C34*'E Balans VL '!N22/100/3.6*1000000</f>
        <v>28.594098219345849</v>
      </c>
      <c r="G12" s="34"/>
      <c r="H12" s="33"/>
      <c r="I12" s="33"/>
      <c r="J12" s="40">
        <f>C34*'E Balans VL '!D22/100/3.6*1000000+C34*'E Balans VL '!E22/100/3.6*1000000</f>
        <v>0.13667008630296285</v>
      </c>
      <c r="K12" s="33"/>
      <c r="L12" s="33"/>
      <c r="M12" s="33"/>
      <c r="N12" s="33">
        <f>C34*'E Balans VL '!Y22/100/3.6*1000000</f>
        <v>18.206841923969556</v>
      </c>
      <c r="O12" s="33"/>
      <c r="P12" s="33"/>
      <c r="R12" s="32"/>
    </row>
    <row r="13" spans="1:18">
      <c r="A13" s="6" t="s">
        <v>39</v>
      </c>
      <c r="B13" s="37">
        <f t="shared" si="0"/>
        <v>31.582999999999998</v>
      </c>
      <c r="C13" s="33"/>
      <c r="D13" s="37">
        <f>IF( ISERROR(IND_papier_gas_kWh/1000),0,IND_papier_gas_kWh/1000)*0.902</f>
        <v>0</v>
      </c>
      <c r="E13" s="33">
        <f>C35*'E Balans VL '!I23/100/3.6*1000000</f>
        <v>4.4809054023971819E-2</v>
      </c>
      <c r="F13" s="33">
        <f>C35*'E Balans VL '!L23/100/3.6*1000000+C35*'E Balans VL '!N23/100/3.6*1000000</f>
        <v>0.77105978973696387</v>
      </c>
      <c r="G13" s="34"/>
      <c r="H13" s="33"/>
      <c r="I13" s="33"/>
      <c r="J13" s="40">
        <f>C35*'E Balans VL '!D23/100/3.6*1000000+C35*'E Balans VL '!E23/100/3.6*1000000</f>
        <v>4.8846074692731299E-3</v>
      </c>
      <c r="K13" s="33"/>
      <c r="L13" s="33"/>
      <c r="M13" s="33"/>
      <c r="N13" s="33">
        <f>C35*'E Balans VL '!Y23/100/3.6*1000000</f>
        <v>91.80430479038489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48.216000000000001</v>
      </c>
      <c r="C15" s="33"/>
      <c r="D15" s="37">
        <f>IF( ISERROR(IND_rest_gas_kWh/1000),0,IND_rest_gas_kWh/1000)*0.902</f>
        <v>255.63221200000001</v>
      </c>
      <c r="E15" s="33">
        <f>C37*'E Balans VL '!I15/100/3.6*1000000</f>
        <v>2.6622918239733884</v>
      </c>
      <c r="F15" s="33">
        <f>C37*'E Balans VL '!L15/100/3.6*1000000+C37*'E Balans VL '!N15/100/3.6*1000000</f>
        <v>9.5501464704754131</v>
      </c>
      <c r="G15" s="34"/>
      <c r="H15" s="33"/>
      <c r="I15" s="33"/>
      <c r="J15" s="40">
        <f>C37*'E Balans VL '!D15/100/3.6*1000000+C37*'E Balans VL '!E15/100/3.6*1000000</f>
        <v>0.17261236314249168</v>
      </c>
      <c r="K15" s="33"/>
      <c r="L15" s="33"/>
      <c r="M15" s="33"/>
      <c r="N15" s="33">
        <f>C37*'E Balans VL '!Y15/100/3.6*1000000</f>
        <v>10.815605626919012</v>
      </c>
      <c r="O15" s="33"/>
      <c r="P15" s="33"/>
      <c r="R15" s="32"/>
    </row>
    <row r="16" spans="1:18">
      <c r="A16" s="16" t="s">
        <v>488</v>
      </c>
      <c r="B16" s="247">
        <f>'lokale energieproductie'!N90+'lokale energieproductie'!N59</f>
        <v>4.9583333333333339</v>
      </c>
      <c r="C16" s="247">
        <f>'lokale energieproductie'!O90+'lokale energieproductie'!O59</f>
        <v>7.1024774774774784</v>
      </c>
      <c r="D16" s="310">
        <f>('lokale energieproductie'!P59+'lokale energieproductie'!P90)*(-1)</f>
        <v>-13.400900900900902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41108.579252333329</v>
      </c>
      <c r="C18" s="21">
        <f>C5+C16</f>
        <v>7.1024774774774784</v>
      </c>
      <c r="D18" s="21">
        <f>MAX((D5+D16),0)</f>
        <v>109213.89131709909</v>
      </c>
      <c r="E18" s="21">
        <f>MAX((E5+E16),0)</f>
        <v>620.31606351660344</v>
      </c>
      <c r="F18" s="21">
        <f>MAX((F5+F16),0)</f>
        <v>4176.9665054016004</v>
      </c>
      <c r="G18" s="21"/>
      <c r="H18" s="21"/>
      <c r="I18" s="21"/>
      <c r="J18" s="21">
        <f>MAX((J5+J16),0)</f>
        <v>0.31416705691472768</v>
      </c>
      <c r="K18" s="21"/>
      <c r="L18" s="21">
        <f>MAX((L5+L16),0)</f>
        <v>0</v>
      </c>
      <c r="M18" s="21"/>
      <c r="N18" s="21">
        <f>MAX((N5+N16),0)</f>
        <v>2489.7217853346851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0.19962658564831456</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8206.3653169964473</v>
      </c>
      <c r="C22" s="23">
        <f ca="1">C18*C20</f>
        <v>1.5941116116116119</v>
      </c>
      <c r="D22" s="23">
        <f>D18*D20</f>
        <v>22061.206046054016</v>
      </c>
      <c r="E22" s="23">
        <f>E18*E20</f>
        <v>140.811746418269</v>
      </c>
      <c r="F22" s="23">
        <f>F18*F20</f>
        <v>1115.2500569422273</v>
      </c>
      <c r="G22" s="23"/>
      <c r="H22" s="23"/>
      <c r="I22" s="23"/>
      <c r="J22" s="23">
        <f>J18*J20</f>
        <v>0.1112151381478136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15243.182559000001</v>
      </c>
      <c r="C30" s="39">
        <f>IF(ISERROR(B30*3.6/1000000/'E Balans VL '!Z18*100),0,B30*3.6/1000000/'E Balans VL '!Z18*100)</f>
        <v>0.86387024169502991</v>
      </c>
      <c r="D30" s="237" t="s">
        <v>754</v>
      </c>
    </row>
    <row r="31" spans="1:18">
      <c r="A31" s="6" t="s">
        <v>33</v>
      </c>
      <c r="B31" s="37">
        <f>IF( ISERROR(IND_ander_ele_kWh/1000),0,IND_ander_ele_kWh/1000)</f>
        <v>1449.4504509999999</v>
      </c>
      <c r="C31" s="39">
        <f>IF(ISERROR(B31*3.6/1000000/'E Balans VL '!Z19*100),0,B31*3.6/1000000/'E Balans VL '!Z19*100)</f>
        <v>6.5741037050726439E-2</v>
      </c>
      <c r="D31" s="237" t="s">
        <v>754</v>
      </c>
    </row>
    <row r="32" spans="1:18">
      <c r="A32" s="171" t="s">
        <v>41</v>
      </c>
      <c r="B32" s="37">
        <f>IF( ISERROR(IND_voed_ele_kWh/1000),0,IND_voed_ele_kWh/1000)</f>
        <v>24186.837909000002</v>
      </c>
      <c r="C32" s="39">
        <f>IF(ISERROR(B32*3.6/1000000/'E Balans VL '!Z20*100),0,B32*3.6/1000000/'E Balans VL '!Z20*100)</f>
        <v>0.74820869549854652</v>
      </c>
      <c r="D32" s="237" t="s">
        <v>754</v>
      </c>
    </row>
    <row r="33" spans="1:5">
      <c r="A33" s="171" t="s">
        <v>40</v>
      </c>
      <c r="B33" s="37">
        <f>IF( ISERROR(IND_textiel_ele_kWh/1000),0,IND_textiel_ele_kWh/1000)</f>
        <v>61.183</v>
      </c>
      <c r="C33" s="39">
        <f>IF(ISERROR(B33*3.6/1000000/'E Balans VL '!Z21*100),0,B33*3.6/1000000/'E Balans VL '!Z21*100)</f>
        <v>7.9775831163250467E-3</v>
      </c>
      <c r="D33" s="237" t="s">
        <v>754</v>
      </c>
    </row>
    <row r="34" spans="1:5">
      <c r="A34" s="171" t="s">
        <v>37</v>
      </c>
      <c r="B34" s="37">
        <f>IF( ISERROR(IND_min_ele_kWh/1000),0,IND_min_ele_kWh/1000)</f>
        <v>83.168000000000006</v>
      </c>
      <c r="C34" s="39">
        <f>IF(ISERROR(B34*3.6/1000000/'E Balans VL '!Z22*100),0,B34*3.6/1000000/'E Balans VL '!Z22*100)</f>
        <v>1.4959328388284229E-2</v>
      </c>
      <c r="D34" s="237" t="s">
        <v>754</v>
      </c>
    </row>
    <row r="35" spans="1:5">
      <c r="A35" s="171" t="s">
        <v>39</v>
      </c>
      <c r="B35" s="37">
        <f>IF( ISERROR(IND_papier_ele_kWh/1000),0,IND_papier_ele_kWh/1000)</f>
        <v>31.582999999999998</v>
      </c>
      <c r="C35" s="39">
        <f>IF(ISERROR(B35*3.6/1000000/'E Balans VL '!Z22*100),0,B35*3.6/1000000/'E Balans VL '!Z22*100)</f>
        <v>5.6807963217485186E-3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48.216000000000001</v>
      </c>
      <c r="C37" s="39">
        <f>IF(ISERROR(B37*3.6/1000000/'E Balans VL '!Z15*100),0,B37*3.6/1000000/'E Balans VL '!Z15*100)</f>
        <v>3.821710148796201E-4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219.35</v>
      </c>
      <c r="C5" s="17">
        <f>'Eigen informatie GS &amp; warmtenet'!B60</f>
        <v>0</v>
      </c>
      <c r="D5" s="30">
        <f>IF(ISERROR(SUM(LB_lb_gas_kWh,LB_rest_gas_kWh)/1000),0,SUM(LB_lb_gas_kWh,LB_rest_gas_kWh)/1000)*0.902</f>
        <v>83.822860000000006</v>
      </c>
      <c r="E5" s="17">
        <f>B17*'E Balans VL '!I25/3.6*1000000/100</f>
        <v>6.4473664722291986</v>
      </c>
      <c r="F5" s="17">
        <f>B17*('E Balans VL '!L25/3.6*1000000+'E Balans VL '!N25/3.6*1000000)/100</f>
        <v>913.80024694813892</v>
      </c>
      <c r="G5" s="18"/>
      <c r="H5" s="17"/>
      <c r="I5" s="17"/>
      <c r="J5" s="17">
        <f>('E Balans VL '!D25+'E Balans VL '!E25)/3.6*1000000*landbouw!B17/100</f>
        <v>31.779104404828345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219.35</v>
      </c>
      <c r="C8" s="21">
        <f>C5+C6</f>
        <v>0</v>
      </c>
      <c r="D8" s="21">
        <f>MAX((D5+D6),0)</f>
        <v>83.822860000000006</v>
      </c>
      <c r="E8" s="21">
        <f>MAX((E5+E6),0)</f>
        <v>6.4473664722291986</v>
      </c>
      <c r="F8" s="21">
        <f>MAX((F5+F6),0)</f>
        <v>913.80024694813892</v>
      </c>
      <c r="G8" s="21"/>
      <c r="H8" s="21"/>
      <c r="I8" s="21"/>
      <c r="J8" s="21">
        <f>MAX((J5+J6),0)</f>
        <v>31.779104404828345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0.19962658564831456</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43.788091561957799</v>
      </c>
      <c r="C12" s="23">
        <f ca="1">C8*C10</f>
        <v>0</v>
      </c>
      <c r="D12" s="23">
        <f>D8*D10</f>
        <v>16.932217720000001</v>
      </c>
      <c r="E12" s="23">
        <f>E8*E10</f>
        <v>1.4635521891960281</v>
      </c>
      <c r="F12" s="23">
        <f>F8*F10</f>
        <v>243.98466593515312</v>
      </c>
      <c r="G12" s="23"/>
      <c r="H12" s="23"/>
      <c r="I12" s="23"/>
      <c r="J12" s="23">
        <f>J8*J10</f>
        <v>11.249802959309234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3.1126453189637353E-2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44.877774354010604</v>
      </c>
      <c r="C26" s="247">
        <f>B26*'GWP N2O_CH4'!B5</f>
        <v>942.43326143422269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2.3956292116891782</v>
      </c>
      <c r="C27" s="247">
        <f>B27*'GWP N2O_CH4'!B5</f>
        <v>50.308213445472745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0.66634270884392488</v>
      </c>
      <c r="C28" s="247">
        <f>B28*'GWP N2O_CH4'!B4</f>
        <v>206.56623974161673</v>
      </c>
      <c r="D28" s="50"/>
    </row>
    <row r="29" spans="1:4">
      <c r="A29" s="41" t="s">
        <v>277</v>
      </c>
      <c r="B29" s="247">
        <f>B34*'ha_N2O bodem landbouw'!B4</f>
        <v>6.017556669700455</v>
      </c>
      <c r="C29" s="247">
        <f>B29*'GWP N2O_CH4'!B4</f>
        <v>1865.442567607141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1.3731856946028126E-3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3.7350452240573416E-4</v>
      </c>
      <c r="C5" s="463" t="s">
        <v>211</v>
      </c>
      <c r="D5" s="448">
        <f>SUM(D6:D11)</f>
        <v>1.2610728297048933E-3</v>
      </c>
      <c r="E5" s="448">
        <f>SUM(E6:E11)</f>
        <v>1.9574452399658596E-3</v>
      </c>
      <c r="F5" s="461" t="s">
        <v>211</v>
      </c>
      <c r="G5" s="448">
        <f>SUM(G6:G11)</f>
        <v>0.79918298459129133</v>
      </c>
      <c r="H5" s="448">
        <f>SUM(H6:H11)</f>
        <v>0.14642527487290161</v>
      </c>
      <c r="I5" s="463" t="s">
        <v>211</v>
      </c>
      <c r="J5" s="463" t="s">
        <v>211</v>
      </c>
      <c r="K5" s="463" t="s">
        <v>211</v>
      </c>
      <c r="L5" s="463" t="s">
        <v>211</v>
      </c>
      <c r="M5" s="448">
        <f>SUM(M6:M11)</f>
        <v>5.101247013455202E-2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8.1267965819191746E-5</v>
      </c>
      <c r="C6" s="449"/>
      <c r="D6" s="892">
        <f>vkm_2011_GW_PW*SUMIFS(TableVerdeelsleutelVkm[CNG],TableVerdeelsleutelVkm[Voertuigtype],"Lichte voertuigen")*SUMIFS(TableECFTransport[EnergieConsumptieFactor (PJ per km)],TableECFTransport[Index],CONCATENATE($A6,"_CNG_CNG"))</f>
        <v>2.4375725388794015E-4</v>
      </c>
      <c r="E6" s="892">
        <f>vkm_2011_GW_PW*SUMIFS(TableVerdeelsleutelVkm[LPG],TableVerdeelsleutelVkm[Voertuigtype],"Lichte voertuigen")*SUMIFS(TableECFTransport[EnergieConsumptieFactor (PJ per km)],TableECFTransport[Index],CONCATENATE($A6,"_LPG_LPG"))</f>
        <v>3.3300742281487813E-4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8.6100454242401925E-2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2.7724582828183339E-2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5.8482468817049335E-3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5.7833833530464625E-2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1.7626577270616932E-5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3.3796141112413464E-3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4.5737105417211445E-5</v>
      </c>
      <c r="C8" s="449"/>
      <c r="D8" s="451">
        <f>vkm_2011_NGW_PW*SUMIFS(TableVerdeelsleutelVkm[CNG],TableVerdeelsleutelVkm[Voertuigtype],"Lichte voertuigen")*SUMIFS(TableECFTransport[EnergieConsumptieFactor (PJ per km)],TableECFTransport[Index],CONCATENATE($A8,"_CNG_CNG"))</f>
        <v>2.4391658332816385E-4</v>
      </c>
      <c r="E8" s="451">
        <f>vkm_2011_NGW_PW*SUMIFS(TableVerdeelsleutelVkm[LPG],TableVerdeelsleutelVkm[Voertuigtype],"Lichte voertuigen")*SUMIFS(TableECFTransport[EnergieConsumptieFactor (PJ per km)],TableECFTransport[Index],CONCATENATE($A8,"_LPG_LPG"))</f>
        <v>3.0860424540450442E-4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7.435668669486431E-2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2.6959832544686903E-2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5.1395337186805291E-3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1.6203493006201851E-2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4.6491665708588499E-6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9.4686893146389247E-4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2.4649945116933097E-4</v>
      </c>
      <c r="C10" s="449"/>
      <c r="D10" s="451">
        <f>vkm_2011_SW_PW*SUMIFS(TableVerdeelsleutelVkm[CNG],TableVerdeelsleutelVkm[Voertuigtype],"Lichte voertuigen")*SUMIFS(TableECFTransport[EnergieConsumptieFactor (PJ per km)],TableECFTransport[Index],CONCATENATE($A10,"_CNG_CNG"))</f>
        <v>7.733989924887893E-4</v>
      </c>
      <c r="E10" s="451">
        <f>vkm_2011_SW_PW*SUMIFS(TableVerdeelsleutelVkm[LPG],TableVerdeelsleutelVkm[Voertuigtype],"Lichte voertuigen")*SUMIFS(TableECFTransport[EnergieConsumptieFactor (PJ per km)],TableECFTransport[Index],CONCATENATE($A10,"_LPG_LPG"))</f>
        <v>1.3158335717464772E-3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0.30330261956851184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9.163255419886697E-2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2.0423508816492946E-2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0.26138589754884678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8.6029557322912252E-5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1.5274697674968371E-2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103.75125622381505</v>
      </c>
      <c r="C14" s="21"/>
      <c r="D14" s="21">
        <f t="shared" ref="D14:M14" si="0">((D5)*10^9/3600)+D12</f>
        <v>350.29800825135925</v>
      </c>
      <c r="E14" s="21">
        <f t="shared" si="0"/>
        <v>543.73478887940541</v>
      </c>
      <c r="F14" s="21"/>
      <c r="G14" s="21">
        <f t="shared" si="0"/>
        <v>221995.27349758093</v>
      </c>
      <c r="H14" s="21">
        <f t="shared" si="0"/>
        <v>40673.687464694893</v>
      </c>
      <c r="I14" s="21"/>
      <c r="J14" s="21"/>
      <c r="K14" s="21"/>
      <c r="L14" s="21"/>
      <c r="M14" s="21">
        <f t="shared" si="0"/>
        <v>14170.130592931117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0.19962658564831456</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20.711509036683644</v>
      </c>
      <c r="C18" s="23"/>
      <c r="D18" s="23">
        <f t="shared" ref="D18:M18" si="1">D14*D16</f>
        <v>70.760197666774573</v>
      </c>
      <c r="E18" s="23">
        <f t="shared" si="1"/>
        <v>123.42779707562504</v>
      </c>
      <c r="F18" s="23"/>
      <c r="G18" s="23">
        <f t="shared" si="1"/>
        <v>59272.738023854108</v>
      </c>
      <c r="H18" s="23">
        <f t="shared" si="1"/>
        <v>10127.748178709027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8.3677900089424648E-3</v>
      </c>
      <c r="H50" s="321">
        <f t="shared" si="2"/>
        <v>0</v>
      </c>
      <c r="I50" s="321">
        <f t="shared" si="2"/>
        <v>0</v>
      </c>
      <c r="J50" s="321">
        <f t="shared" si="2"/>
        <v>0</v>
      </c>
      <c r="K50" s="321">
        <f t="shared" si="2"/>
        <v>0</v>
      </c>
      <c r="L50" s="321">
        <f t="shared" si="2"/>
        <v>0</v>
      </c>
      <c r="M50" s="321">
        <f t="shared" si="2"/>
        <v>4.7525353225976754E-4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8.3677900089424648E-3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4.7525353225976754E-4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2324.3861135951288</v>
      </c>
      <c r="H54" s="21">
        <f t="shared" si="3"/>
        <v>0</v>
      </c>
      <c r="I54" s="21">
        <f t="shared" si="3"/>
        <v>0</v>
      </c>
      <c r="J54" s="21">
        <f t="shared" si="3"/>
        <v>0</v>
      </c>
      <c r="K54" s="21">
        <f t="shared" si="3"/>
        <v>0</v>
      </c>
      <c r="L54" s="21">
        <f t="shared" si="3"/>
        <v>0</v>
      </c>
      <c r="M54" s="21">
        <f t="shared" si="3"/>
        <v>132.01487007215763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0.19962658564831456</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620.61109232989941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20524.297355999999</v>
      </c>
      <c r="D10" s="1013">
        <f ca="1">tertiair!C16</f>
        <v>0</v>
      </c>
      <c r="E10" s="1013">
        <f ca="1">tertiair!D16</f>
        <v>22473.623398049996</v>
      </c>
      <c r="F10" s="1013">
        <f>tertiair!E16</f>
        <v>362.60737122959944</v>
      </c>
      <c r="G10" s="1013">
        <f ca="1">tertiair!F16</f>
        <v>3385.0283979405654</v>
      </c>
      <c r="H10" s="1013">
        <f>tertiair!G16</f>
        <v>0</v>
      </c>
      <c r="I10" s="1013">
        <f>tertiair!H16</f>
        <v>0</v>
      </c>
      <c r="J10" s="1013">
        <f>tertiair!I16</f>
        <v>0</v>
      </c>
      <c r="K10" s="1013">
        <f>tertiair!J16</f>
        <v>3.788511933243157E-2</v>
      </c>
      <c r="L10" s="1013">
        <f>tertiair!K16</f>
        <v>0</v>
      </c>
      <c r="M10" s="1013">
        <f ca="1">tertiair!L16</f>
        <v>0</v>
      </c>
      <c r="N10" s="1013">
        <f>tertiair!M16</f>
        <v>0</v>
      </c>
      <c r="O10" s="1013">
        <f ca="1">tertiair!N16</f>
        <v>1531.2442165149246</v>
      </c>
      <c r="P10" s="1013">
        <f>tertiair!O16</f>
        <v>4.6900000000000004</v>
      </c>
      <c r="Q10" s="1014">
        <f>tertiair!P16</f>
        <v>57.2</v>
      </c>
      <c r="R10" s="700">
        <f ca="1">SUM(C10:Q10)</f>
        <v>48338.728624854411</v>
      </c>
      <c r="S10" s="67"/>
    </row>
    <row r="11" spans="1:19" s="473" customFormat="1">
      <c r="A11" s="809" t="s">
        <v>225</v>
      </c>
      <c r="B11" s="814"/>
      <c r="C11" s="1013">
        <f>huishoudens!B8</f>
        <v>36160.499761980704</v>
      </c>
      <c r="D11" s="1013">
        <f>huishoudens!C8</f>
        <v>0</v>
      </c>
      <c r="E11" s="1013">
        <f>huishoudens!D8</f>
        <v>57327.823641000003</v>
      </c>
      <c r="F11" s="1013">
        <f>huishoudens!E8</f>
        <v>5552.1748759117872</v>
      </c>
      <c r="G11" s="1013">
        <f>huishoudens!F8</f>
        <v>64754.37137636829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14621.167257331377</v>
      </c>
      <c r="P11" s="1013">
        <f>huishoudens!O8</f>
        <v>545.60333333333335</v>
      </c>
      <c r="Q11" s="1014">
        <f>huishoudens!P8</f>
        <v>2345.1999999999998</v>
      </c>
      <c r="R11" s="700">
        <f>SUM(C11:Q11)</f>
        <v>181306.8402459255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41108.579252333329</v>
      </c>
      <c r="D13" s="1013">
        <f>industrie!C18</f>
        <v>7.1024774774774784</v>
      </c>
      <c r="E13" s="1013">
        <f>industrie!D18</f>
        <v>109213.89131709909</v>
      </c>
      <c r="F13" s="1013">
        <f>industrie!E18</f>
        <v>620.31606351660344</v>
      </c>
      <c r="G13" s="1013">
        <f>industrie!F18</f>
        <v>4176.9665054016004</v>
      </c>
      <c r="H13" s="1013">
        <f>industrie!G18</f>
        <v>0</v>
      </c>
      <c r="I13" s="1013">
        <f>industrie!H18</f>
        <v>0</v>
      </c>
      <c r="J13" s="1013">
        <f>industrie!I18</f>
        <v>0</v>
      </c>
      <c r="K13" s="1013">
        <f>industrie!J18</f>
        <v>0.31416705691472768</v>
      </c>
      <c r="L13" s="1013">
        <f>industrie!K18</f>
        <v>0</v>
      </c>
      <c r="M13" s="1013">
        <f>industrie!L18</f>
        <v>0</v>
      </c>
      <c r="N13" s="1013">
        <f>industrie!M18</f>
        <v>0</v>
      </c>
      <c r="O13" s="1013">
        <f>industrie!N18</f>
        <v>2489.7217853346851</v>
      </c>
      <c r="P13" s="1013">
        <f>industrie!O18</f>
        <v>0</v>
      </c>
      <c r="Q13" s="1014">
        <f>industrie!P18</f>
        <v>0</v>
      </c>
      <c r="R13" s="700">
        <f>SUM(C13:Q13)</f>
        <v>157616.89156821967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97793.376370314043</v>
      </c>
      <c r="D16" s="732">
        <f t="shared" ref="D16:R16" ca="1" si="0">SUM(D9:D15)</f>
        <v>7.1024774774774784</v>
      </c>
      <c r="E16" s="732">
        <f t="shared" ca="1" si="0"/>
        <v>189015.33835614909</v>
      </c>
      <c r="F16" s="732">
        <f t="shared" si="0"/>
        <v>6535.0983106579897</v>
      </c>
      <c r="G16" s="732">
        <f t="shared" ca="1" si="0"/>
        <v>72316.366279710463</v>
      </c>
      <c r="H16" s="732">
        <f t="shared" si="0"/>
        <v>0</v>
      </c>
      <c r="I16" s="732">
        <f t="shared" si="0"/>
        <v>0</v>
      </c>
      <c r="J16" s="732">
        <f t="shared" si="0"/>
        <v>0</v>
      </c>
      <c r="K16" s="732">
        <f t="shared" si="0"/>
        <v>0.35205217624715923</v>
      </c>
      <c r="L16" s="732">
        <f t="shared" si="0"/>
        <v>0</v>
      </c>
      <c r="M16" s="732">
        <f t="shared" ca="1" si="0"/>
        <v>0</v>
      </c>
      <c r="N16" s="732">
        <f t="shared" si="0"/>
        <v>0</v>
      </c>
      <c r="O16" s="732">
        <f t="shared" ca="1" si="0"/>
        <v>18642.133259180988</v>
      </c>
      <c r="P16" s="732">
        <f t="shared" si="0"/>
        <v>550.29333333333341</v>
      </c>
      <c r="Q16" s="732">
        <f t="shared" si="0"/>
        <v>2402.3999999999996</v>
      </c>
      <c r="R16" s="732">
        <f t="shared" ca="1" si="0"/>
        <v>387262.46043899958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2324.3861135951288</v>
      </c>
      <c r="I19" s="1013">
        <f>transport!H54</f>
        <v>0</v>
      </c>
      <c r="J19" s="1013">
        <f>transport!I54</f>
        <v>0</v>
      </c>
      <c r="K19" s="1013">
        <f>transport!J54</f>
        <v>0</v>
      </c>
      <c r="L19" s="1013">
        <f>transport!K54</f>
        <v>0</v>
      </c>
      <c r="M19" s="1013">
        <f>transport!L54</f>
        <v>0</v>
      </c>
      <c r="N19" s="1013">
        <f>transport!M54</f>
        <v>132.01487007215763</v>
      </c>
      <c r="O19" s="1013">
        <f>transport!N54</f>
        <v>0</v>
      </c>
      <c r="P19" s="1013">
        <f>transport!O54</f>
        <v>0</v>
      </c>
      <c r="Q19" s="1014">
        <f>transport!P54</f>
        <v>0</v>
      </c>
      <c r="R19" s="700">
        <f>SUM(C19:Q19)</f>
        <v>2456.4009836672863</v>
      </c>
      <c r="S19" s="67"/>
    </row>
    <row r="20" spans="1:19" s="473" customFormat="1">
      <c r="A20" s="809" t="s">
        <v>307</v>
      </c>
      <c r="B20" s="814"/>
      <c r="C20" s="1013">
        <f>transport!B14</f>
        <v>103.75125622381505</v>
      </c>
      <c r="D20" s="1013">
        <f>transport!C14</f>
        <v>0</v>
      </c>
      <c r="E20" s="1013">
        <f>transport!D14</f>
        <v>350.29800825135925</v>
      </c>
      <c r="F20" s="1013">
        <f>transport!E14</f>
        <v>543.73478887940541</v>
      </c>
      <c r="G20" s="1013">
        <f>transport!F14</f>
        <v>0</v>
      </c>
      <c r="H20" s="1013">
        <f>transport!G14</f>
        <v>221995.27349758093</v>
      </c>
      <c r="I20" s="1013">
        <f>transport!H14</f>
        <v>40673.687464694893</v>
      </c>
      <c r="J20" s="1013">
        <f>transport!I14</f>
        <v>0</v>
      </c>
      <c r="K20" s="1013">
        <f>transport!J14</f>
        <v>0</v>
      </c>
      <c r="L20" s="1013">
        <f>transport!K14</f>
        <v>0</v>
      </c>
      <c r="M20" s="1013">
        <f>transport!L14</f>
        <v>0</v>
      </c>
      <c r="N20" s="1013">
        <f>transport!M14</f>
        <v>14170.130592931117</v>
      </c>
      <c r="O20" s="1013">
        <f>transport!N14</f>
        <v>0</v>
      </c>
      <c r="P20" s="1013">
        <f>transport!O14</f>
        <v>0</v>
      </c>
      <c r="Q20" s="1014">
        <f>transport!P14</f>
        <v>0</v>
      </c>
      <c r="R20" s="700">
        <f>SUM(C20:Q20)</f>
        <v>277836.8756085615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103.75125622381505</v>
      </c>
      <c r="D22" s="812">
        <f t="shared" ref="D22:R22" si="1">SUM(D18:D21)</f>
        <v>0</v>
      </c>
      <c r="E22" s="812">
        <f t="shared" si="1"/>
        <v>350.29800825135925</v>
      </c>
      <c r="F22" s="812">
        <f t="shared" si="1"/>
        <v>543.73478887940541</v>
      </c>
      <c r="G22" s="812">
        <f t="shared" si="1"/>
        <v>0</v>
      </c>
      <c r="H22" s="812">
        <f t="shared" si="1"/>
        <v>224319.65961117606</v>
      </c>
      <c r="I22" s="812">
        <f t="shared" si="1"/>
        <v>40673.687464694893</v>
      </c>
      <c r="J22" s="812">
        <f t="shared" si="1"/>
        <v>0</v>
      </c>
      <c r="K22" s="812">
        <f t="shared" si="1"/>
        <v>0</v>
      </c>
      <c r="L22" s="812">
        <f t="shared" si="1"/>
        <v>0</v>
      </c>
      <c r="M22" s="812">
        <f t="shared" si="1"/>
        <v>0</v>
      </c>
      <c r="N22" s="812">
        <f t="shared" si="1"/>
        <v>14302.145463003275</v>
      </c>
      <c r="O22" s="812">
        <f t="shared" si="1"/>
        <v>0</v>
      </c>
      <c r="P22" s="812">
        <f t="shared" si="1"/>
        <v>0</v>
      </c>
      <c r="Q22" s="812">
        <f t="shared" si="1"/>
        <v>0</v>
      </c>
      <c r="R22" s="812">
        <f t="shared" si="1"/>
        <v>280293.27659222879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219.35</v>
      </c>
      <c r="D24" s="1013">
        <f>+landbouw!C8</f>
        <v>0</v>
      </c>
      <c r="E24" s="1013">
        <f>+landbouw!D8</f>
        <v>83.822860000000006</v>
      </c>
      <c r="F24" s="1013">
        <f>+landbouw!E8</f>
        <v>6.4473664722291986</v>
      </c>
      <c r="G24" s="1013">
        <f>+landbouw!F8</f>
        <v>913.80024694813892</v>
      </c>
      <c r="H24" s="1013">
        <f>+landbouw!G8</f>
        <v>0</v>
      </c>
      <c r="I24" s="1013">
        <f>+landbouw!H8</f>
        <v>0</v>
      </c>
      <c r="J24" s="1013">
        <f>+landbouw!I8</f>
        <v>0</v>
      </c>
      <c r="K24" s="1013">
        <f>+landbouw!J8</f>
        <v>31.779104404828345</v>
      </c>
      <c r="L24" s="1013">
        <f>+landbouw!K8</f>
        <v>0</v>
      </c>
      <c r="M24" s="1013">
        <f>+landbouw!L8</f>
        <v>0</v>
      </c>
      <c r="N24" s="1013">
        <f>+landbouw!M8</f>
        <v>0</v>
      </c>
      <c r="O24" s="1013">
        <f>+landbouw!N8</f>
        <v>0</v>
      </c>
      <c r="P24" s="1013">
        <f>+landbouw!O8</f>
        <v>0</v>
      </c>
      <c r="Q24" s="1014">
        <f>+landbouw!P8</f>
        <v>0</v>
      </c>
      <c r="R24" s="700">
        <f>SUM(C24:Q24)</f>
        <v>1255.1995778251965</v>
      </c>
      <c r="S24" s="67"/>
    </row>
    <row r="25" spans="1:19" s="473" customFormat="1" ht="15" thickBot="1">
      <c r="A25" s="831" t="s">
        <v>836</v>
      </c>
      <c r="B25" s="1016"/>
      <c r="C25" s="1017">
        <f>IF(Onbekend_ele_kWh="---",0,Onbekend_ele_kWh)/1000+IF(REST_rest_ele_kWh="---",0,REST_rest_ele_kWh)/1000</f>
        <v>747.17224999999996</v>
      </c>
      <c r="D25" s="1017"/>
      <c r="E25" s="1017">
        <f>IF(onbekend_gas_kWh="---",0,onbekend_gas_kWh)/1000+IF(REST_rest_gas_kWh="---",0,REST_rest_gas_kWh)/1000</f>
        <v>1768.6386</v>
      </c>
      <c r="F25" s="1017"/>
      <c r="G25" s="1017"/>
      <c r="H25" s="1017"/>
      <c r="I25" s="1017"/>
      <c r="J25" s="1017"/>
      <c r="K25" s="1017"/>
      <c r="L25" s="1017"/>
      <c r="M25" s="1017"/>
      <c r="N25" s="1017"/>
      <c r="O25" s="1017"/>
      <c r="P25" s="1017"/>
      <c r="Q25" s="1018"/>
      <c r="R25" s="700">
        <f>SUM(C25:Q25)</f>
        <v>2515.8108499999998</v>
      </c>
      <c r="S25" s="67"/>
    </row>
    <row r="26" spans="1:19" s="473" customFormat="1" ht="15.75" thickBot="1">
      <c r="A26" s="705" t="s">
        <v>837</v>
      </c>
      <c r="B26" s="817"/>
      <c r="C26" s="812">
        <f>SUM(C24:C25)</f>
        <v>966.52224999999999</v>
      </c>
      <c r="D26" s="812">
        <f t="shared" ref="D26:R26" si="2">SUM(D24:D25)</f>
        <v>0</v>
      </c>
      <c r="E26" s="812">
        <f t="shared" si="2"/>
        <v>1852.46146</v>
      </c>
      <c r="F26" s="812">
        <f t="shared" si="2"/>
        <v>6.4473664722291986</v>
      </c>
      <c r="G26" s="812">
        <f t="shared" si="2"/>
        <v>913.80024694813892</v>
      </c>
      <c r="H26" s="812">
        <f t="shared" si="2"/>
        <v>0</v>
      </c>
      <c r="I26" s="812">
        <f t="shared" si="2"/>
        <v>0</v>
      </c>
      <c r="J26" s="812">
        <f t="shared" si="2"/>
        <v>0</v>
      </c>
      <c r="K26" s="812">
        <f t="shared" si="2"/>
        <v>31.779104404828345</v>
      </c>
      <c r="L26" s="812">
        <f t="shared" si="2"/>
        <v>0</v>
      </c>
      <c r="M26" s="812">
        <f t="shared" si="2"/>
        <v>0</v>
      </c>
      <c r="N26" s="812">
        <f t="shared" si="2"/>
        <v>0</v>
      </c>
      <c r="O26" s="812">
        <f t="shared" si="2"/>
        <v>0</v>
      </c>
      <c r="P26" s="812">
        <f t="shared" si="2"/>
        <v>0</v>
      </c>
      <c r="Q26" s="812">
        <f t="shared" si="2"/>
        <v>0</v>
      </c>
      <c r="R26" s="812">
        <f t="shared" si="2"/>
        <v>3771.0104278251965</v>
      </c>
      <c r="S26" s="67"/>
    </row>
    <row r="27" spans="1:19" s="473" customFormat="1" ht="17.25" thickTop="1" thickBot="1">
      <c r="A27" s="706" t="s">
        <v>116</v>
      </c>
      <c r="B27" s="805"/>
      <c r="C27" s="707">
        <f ca="1">C22+C16+C26</f>
        <v>98863.649876537849</v>
      </c>
      <c r="D27" s="707">
        <f t="shared" ref="D27:R27" ca="1" si="3">D22+D16+D26</f>
        <v>7.1024774774774784</v>
      </c>
      <c r="E27" s="707">
        <f t="shared" ca="1" si="3"/>
        <v>191218.09782440044</v>
      </c>
      <c r="F27" s="707">
        <f t="shared" si="3"/>
        <v>7085.2804660096244</v>
      </c>
      <c r="G27" s="707">
        <f t="shared" ca="1" si="3"/>
        <v>73230.166526658606</v>
      </c>
      <c r="H27" s="707">
        <f t="shared" si="3"/>
        <v>224319.65961117606</v>
      </c>
      <c r="I27" s="707">
        <f t="shared" si="3"/>
        <v>40673.687464694893</v>
      </c>
      <c r="J27" s="707">
        <f t="shared" si="3"/>
        <v>0</v>
      </c>
      <c r="K27" s="707">
        <f t="shared" si="3"/>
        <v>32.131156581075501</v>
      </c>
      <c r="L27" s="707">
        <f t="shared" si="3"/>
        <v>0</v>
      </c>
      <c r="M27" s="707">
        <f t="shared" ca="1" si="3"/>
        <v>0</v>
      </c>
      <c r="N27" s="707">
        <f t="shared" si="3"/>
        <v>14302.145463003275</v>
      </c>
      <c r="O27" s="707">
        <f t="shared" ca="1" si="3"/>
        <v>18642.133259180988</v>
      </c>
      <c r="P27" s="707">
        <f t="shared" si="3"/>
        <v>550.29333333333341</v>
      </c>
      <c r="Q27" s="707">
        <f t="shared" si="3"/>
        <v>2402.3999999999996</v>
      </c>
      <c r="R27" s="707">
        <f t="shared" ca="1" si="3"/>
        <v>671326.74745905353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4097.1954040090104</v>
      </c>
      <c r="D40" s="1013">
        <f ca="1">tertiair!C20</f>
        <v>0</v>
      </c>
      <c r="E40" s="1013">
        <f ca="1">tertiair!D20</f>
        <v>4539.6719264060994</v>
      </c>
      <c r="F40" s="1013">
        <f>tertiair!E20</f>
        <v>82.311873269119076</v>
      </c>
      <c r="G40" s="1013">
        <f ca="1">tertiair!F20</f>
        <v>903.80258225013097</v>
      </c>
      <c r="H40" s="1013">
        <f>tertiair!G20</f>
        <v>0</v>
      </c>
      <c r="I40" s="1013">
        <f>tertiair!H20</f>
        <v>0</v>
      </c>
      <c r="J40" s="1013">
        <f>tertiair!I20</f>
        <v>0</v>
      </c>
      <c r="K40" s="1013">
        <f>tertiair!J20</f>
        <v>1.3411332243680775E-2</v>
      </c>
      <c r="L40" s="1013">
        <f>tertiair!K20</f>
        <v>0</v>
      </c>
      <c r="M40" s="1013">
        <f ca="1">tertiair!L20</f>
        <v>0</v>
      </c>
      <c r="N40" s="1013">
        <f>tertiair!M20</f>
        <v>0</v>
      </c>
      <c r="O40" s="1013">
        <f ca="1">tertiair!N20</f>
        <v>0</v>
      </c>
      <c r="P40" s="1013">
        <f>tertiair!O20</f>
        <v>0</v>
      </c>
      <c r="Q40" s="774">
        <f>tertiair!P20</f>
        <v>0</v>
      </c>
      <c r="R40" s="850">
        <f t="shared" ca="1" si="4"/>
        <v>9622.9951972666022</v>
      </c>
    </row>
    <row r="41" spans="1:18">
      <c r="A41" s="822" t="s">
        <v>225</v>
      </c>
      <c r="B41" s="829"/>
      <c r="C41" s="1013">
        <f ca="1">huishoudens!B12</f>
        <v>7218.5971028208996</v>
      </c>
      <c r="D41" s="1013">
        <f ca="1">huishoudens!C12</f>
        <v>0</v>
      </c>
      <c r="E41" s="1013">
        <f>huishoudens!D12</f>
        <v>11580.220375482002</v>
      </c>
      <c r="F41" s="1013">
        <f>huishoudens!E12</f>
        <v>1260.3436968319756</v>
      </c>
      <c r="G41" s="1013">
        <f>huishoudens!F12</f>
        <v>17289.417157490334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37348.578332625213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8206.3653169964473</v>
      </c>
      <c r="D43" s="1013">
        <f ca="1">industrie!C22</f>
        <v>1.5941116116116119</v>
      </c>
      <c r="E43" s="1013">
        <f>industrie!D22</f>
        <v>22061.206046054016</v>
      </c>
      <c r="F43" s="1013">
        <f>industrie!E22</f>
        <v>140.811746418269</v>
      </c>
      <c r="G43" s="1013">
        <f>industrie!F22</f>
        <v>1115.2500569422273</v>
      </c>
      <c r="H43" s="1013">
        <f>industrie!G22</f>
        <v>0</v>
      </c>
      <c r="I43" s="1013">
        <f>industrie!H22</f>
        <v>0</v>
      </c>
      <c r="J43" s="1013">
        <f>industrie!I22</f>
        <v>0</v>
      </c>
      <c r="K43" s="1013">
        <f>industrie!J22</f>
        <v>0.1112151381478136</v>
      </c>
      <c r="L43" s="1013">
        <f>industrie!K22</f>
        <v>0</v>
      </c>
      <c r="M43" s="1013">
        <f>industrie!L22</f>
        <v>0</v>
      </c>
      <c r="N43" s="1013">
        <f>industrie!M22</f>
        <v>0</v>
      </c>
      <c r="O43" s="1013">
        <f>industrie!N22</f>
        <v>0</v>
      </c>
      <c r="P43" s="1013">
        <f>industrie!O22</f>
        <v>0</v>
      </c>
      <c r="Q43" s="774">
        <f>industrie!P22</f>
        <v>0</v>
      </c>
      <c r="R43" s="849">
        <f t="shared" ca="1" si="4"/>
        <v>31525.338493160722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19522.157823826357</v>
      </c>
      <c r="D46" s="732">
        <f t="shared" ref="D46:Q46" ca="1" si="5">SUM(D39:D45)</f>
        <v>1.5941116116116119</v>
      </c>
      <c r="E46" s="732">
        <f t="shared" ca="1" si="5"/>
        <v>38181.098347942119</v>
      </c>
      <c r="F46" s="732">
        <f t="shared" si="5"/>
        <v>1483.4673165193637</v>
      </c>
      <c r="G46" s="732">
        <f t="shared" ca="1" si="5"/>
        <v>19308.46979668269</v>
      </c>
      <c r="H46" s="732">
        <f t="shared" si="5"/>
        <v>0</v>
      </c>
      <c r="I46" s="732">
        <f t="shared" si="5"/>
        <v>0</v>
      </c>
      <c r="J46" s="732">
        <f t="shared" si="5"/>
        <v>0</v>
      </c>
      <c r="K46" s="732">
        <f t="shared" si="5"/>
        <v>0.12462647039149438</v>
      </c>
      <c r="L46" s="732">
        <f t="shared" si="5"/>
        <v>0</v>
      </c>
      <c r="M46" s="732">
        <f t="shared" ca="1" si="5"/>
        <v>0</v>
      </c>
      <c r="N46" s="732">
        <f t="shared" si="5"/>
        <v>0</v>
      </c>
      <c r="O46" s="732">
        <f t="shared" ca="1" si="5"/>
        <v>0</v>
      </c>
      <c r="P46" s="732">
        <f t="shared" si="5"/>
        <v>0</v>
      </c>
      <c r="Q46" s="732">
        <f t="shared" si="5"/>
        <v>0</v>
      </c>
      <c r="R46" s="732">
        <f ca="1">SUM(R39:R45)</f>
        <v>78496.912023052544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620.61109232989941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620.61109232989941</v>
      </c>
    </row>
    <row r="50" spans="1:18">
      <c r="A50" s="825" t="s">
        <v>307</v>
      </c>
      <c r="B50" s="835"/>
      <c r="C50" s="703">
        <f ca="1">transport!B18</f>
        <v>20.711509036683644</v>
      </c>
      <c r="D50" s="703">
        <f>transport!C18</f>
        <v>0</v>
      </c>
      <c r="E50" s="703">
        <f>transport!D18</f>
        <v>70.760197666774573</v>
      </c>
      <c r="F50" s="703">
        <f>transport!E18</f>
        <v>123.42779707562504</v>
      </c>
      <c r="G50" s="703">
        <f>transport!F18</f>
        <v>0</v>
      </c>
      <c r="H50" s="703">
        <f>transport!G18</f>
        <v>59272.738023854108</v>
      </c>
      <c r="I50" s="703">
        <f>transport!H18</f>
        <v>10127.748178709027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69615.385706342218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20.711509036683644</v>
      </c>
      <c r="D52" s="732">
        <f t="shared" ref="D52:Q52" ca="1" si="6">SUM(D48:D51)</f>
        <v>0</v>
      </c>
      <c r="E52" s="732">
        <f t="shared" si="6"/>
        <v>70.760197666774573</v>
      </c>
      <c r="F52" s="732">
        <f t="shared" si="6"/>
        <v>123.42779707562504</v>
      </c>
      <c r="G52" s="732">
        <f t="shared" si="6"/>
        <v>0</v>
      </c>
      <c r="H52" s="732">
        <f t="shared" si="6"/>
        <v>59893.349116184007</v>
      </c>
      <c r="I52" s="732">
        <f t="shared" si="6"/>
        <v>10127.748178709027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70235.996798672117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43.788091561957799</v>
      </c>
      <c r="D54" s="703">
        <f ca="1">+landbouw!C12</f>
        <v>0</v>
      </c>
      <c r="E54" s="703">
        <f>+landbouw!D12</f>
        <v>16.932217720000001</v>
      </c>
      <c r="F54" s="703">
        <f>+landbouw!E12</f>
        <v>1.4635521891960281</v>
      </c>
      <c r="G54" s="703">
        <f>+landbouw!F12</f>
        <v>243.98466593515312</v>
      </c>
      <c r="H54" s="703">
        <f>+landbouw!G12</f>
        <v>0</v>
      </c>
      <c r="I54" s="703">
        <f>+landbouw!H12</f>
        <v>0</v>
      </c>
      <c r="J54" s="703">
        <f>+landbouw!I12</f>
        <v>0</v>
      </c>
      <c r="K54" s="703">
        <f>+landbouw!J12</f>
        <v>11.249802959309234</v>
      </c>
      <c r="L54" s="703">
        <f>+landbouw!K12</f>
        <v>0</v>
      </c>
      <c r="M54" s="703">
        <f>+landbouw!L12</f>
        <v>0</v>
      </c>
      <c r="N54" s="703">
        <f>+landbouw!M12</f>
        <v>0</v>
      </c>
      <c r="O54" s="703">
        <f>+landbouw!N12</f>
        <v>0</v>
      </c>
      <c r="P54" s="703">
        <f>+landbouw!O12</f>
        <v>0</v>
      </c>
      <c r="Q54" s="704">
        <f>+landbouw!P12</f>
        <v>0</v>
      </c>
      <c r="R54" s="731">
        <f ca="1">SUM(C54:Q54)</f>
        <v>317.41833036561621</v>
      </c>
    </row>
    <row r="55" spans="1:18" ht="15" thickBot="1">
      <c r="A55" s="825" t="s">
        <v>836</v>
      </c>
      <c r="B55" s="835"/>
      <c r="C55" s="703">
        <f ca="1">C25*'EF ele_warmte'!B12</f>
        <v>149.1554451586689</v>
      </c>
      <c r="D55" s="703"/>
      <c r="E55" s="703">
        <f>E25*EF_CO2_aardgas</f>
        <v>357.26499720000004</v>
      </c>
      <c r="F55" s="703"/>
      <c r="G55" s="703"/>
      <c r="H55" s="703"/>
      <c r="I55" s="703"/>
      <c r="J55" s="703"/>
      <c r="K55" s="703"/>
      <c r="L55" s="703"/>
      <c r="M55" s="703"/>
      <c r="N55" s="703"/>
      <c r="O55" s="703"/>
      <c r="P55" s="703"/>
      <c r="Q55" s="704"/>
      <c r="R55" s="731">
        <f ca="1">SUM(C55:Q55)</f>
        <v>506.42044235866894</v>
      </c>
    </row>
    <row r="56" spans="1:18" ht="15.75" thickBot="1">
      <c r="A56" s="823" t="s">
        <v>837</v>
      </c>
      <c r="B56" s="836"/>
      <c r="C56" s="732">
        <f ca="1">SUM(C54:C55)</f>
        <v>192.9435367206267</v>
      </c>
      <c r="D56" s="732">
        <f t="shared" ref="D56:Q56" ca="1" si="7">SUM(D54:D55)</f>
        <v>0</v>
      </c>
      <c r="E56" s="732">
        <f t="shared" si="7"/>
        <v>374.19721492000002</v>
      </c>
      <c r="F56" s="732">
        <f t="shared" si="7"/>
        <v>1.4635521891960281</v>
      </c>
      <c r="G56" s="732">
        <f t="shared" si="7"/>
        <v>243.98466593515312</v>
      </c>
      <c r="H56" s="732">
        <f t="shared" si="7"/>
        <v>0</v>
      </c>
      <c r="I56" s="732">
        <f t="shared" si="7"/>
        <v>0</v>
      </c>
      <c r="J56" s="732">
        <f t="shared" si="7"/>
        <v>0</v>
      </c>
      <c r="K56" s="732">
        <f t="shared" si="7"/>
        <v>11.249802959309234</v>
      </c>
      <c r="L56" s="732">
        <f t="shared" si="7"/>
        <v>0</v>
      </c>
      <c r="M56" s="732">
        <f t="shared" si="7"/>
        <v>0</v>
      </c>
      <c r="N56" s="732">
        <f t="shared" si="7"/>
        <v>0</v>
      </c>
      <c r="O56" s="732">
        <f t="shared" si="7"/>
        <v>0</v>
      </c>
      <c r="P56" s="732">
        <f t="shared" si="7"/>
        <v>0</v>
      </c>
      <c r="Q56" s="733">
        <f t="shared" si="7"/>
        <v>0</v>
      </c>
      <c r="R56" s="734">
        <f ca="1">SUM(R54:R55)</f>
        <v>823.83877272428515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19735.812869583668</v>
      </c>
      <c r="D61" s="740">
        <f t="shared" ref="D61:Q61" ca="1" si="8">D46+D52+D56</f>
        <v>1.5941116116116119</v>
      </c>
      <c r="E61" s="740">
        <f t="shared" ca="1" si="8"/>
        <v>38626.055760528892</v>
      </c>
      <c r="F61" s="740">
        <f t="shared" si="8"/>
        <v>1608.3586657841847</v>
      </c>
      <c r="G61" s="740">
        <f t="shared" ca="1" si="8"/>
        <v>19552.454462617843</v>
      </c>
      <c r="H61" s="740">
        <f t="shared" si="8"/>
        <v>59893.349116184007</v>
      </c>
      <c r="I61" s="740">
        <f t="shared" si="8"/>
        <v>10127.748178709027</v>
      </c>
      <c r="J61" s="740">
        <f t="shared" si="8"/>
        <v>0</v>
      </c>
      <c r="K61" s="740">
        <f t="shared" si="8"/>
        <v>11.374429429700728</v>
      </c>
      <c r="L61" s="740">
        <f t="shared" si="8"/>
        <v>0</v>
      </c>
      <c r="M61" s="740">
        <f t="shared" ca="1" si="8"/>
        <v>0</v>
      </c>
      <c r="N61" s="740">
        <f t="shared" si="8"/>
        <v>0</v>
      </c>
      <c r="O61" s="740">
        <f t="shared" ca="1" si="8"/>
        <v>0</v>
      </c>
      <c r="P61" s="740">
        <f t="shared" si="8"/>
        <v>0</v>
      </c>
      <c r="Q61" s="740">
        <f t="shared" si="8"/>
        <v>0</v>
      </c>
      <c r="R61" s="740">
        <f ca="1">R46+R52+R56</f>
        <v>149556.74759444894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0.19962658564831456</v>
      </c>
      <c r="D63" s="781">
        <f t="shared" ca="1" si="9"/>
        <v>0.22444444444444445</v>
      </c>
      <c r="E63" s="1024">
        <f t="shared" ca="1" si="9"/>
        <v>0.20200000000000001</v>
      </c>
      <c r="F63" s="781">
        <f t="shared" si="9"/>
        <v>0.22700000000000001</v>
      </c>
      <c r="G63" s="781">
        <f t="shared" ca="1" si="9"/>
        <v>0.26699999999999996</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9561.4064788909527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4.9583333333333339</v>
      </c>
      <c r="D76" s="1034">
        <f>'lokale energieproductie'!C8</f>
        <v>5.5092592592592595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1.1128703703703704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9561.4064788909527</v>
      </c>
      <c r="C78" s="755">
        <f>SUM(C72:C77)</f>
        <v>4.9583333333333339</v>
      </c>
      <c r="D78" s="756">
        <f t="shared" ref="D78:H78" si="10">SUM(D76:D77)</f>
        <v>5.5092592592592595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1.1128703703703704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7.1024774774774784</v>
      </c>
      <c r="D87" s="777">
        <f>'lokale energieproductie'!C17</f>
        <v>7.8916416416416428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1.5941116116116119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7.1024774774774784</v>
      </c>
      <c r="D90" s="755">
        <f t="shared" ref="D90:H90" si="12">SUM(D87:D89)</f>
        <v>7.8916416416416428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1.5941116116116119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9561.4064788909527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4.9583333333333339</v>
      </c>
      <c r="C8" s="570">
        <f>B101</f>
        <v>5.5092592592592595</v>
      </c>
      <c r="D8" s="1044"/>
      <c r="E8" s="1044">
        <f>E101</f>
        <v>0</v>
      </c>
      <c r="F8" s="1045"/>
      <c r="G8" s="571"/>
      <c r="H8" s="1044">
        <f>I101</f>
        <v>0</v>
      </c>
      <c r="I8" s="1044">
        <f>G101+F101</f>
        <v>0</v>
      </c>
      <c r="J8" s="1044">
        <f>H101+D101+C101</f>
        <v>0</v>
      </c>
      <c r="K8" s="1044"/>
      <c r="L8" s="1044"/>
      <c r="M8" s="1044"/>
      <c r="N8" s="572"/>
      <c r="O8" s="573">
        <f>C8*$C$12+D8*$D$12+E8*$E$12+F8*$F$12+G8*$G$12+H8*$H$12+I8*$I$12+J8*$J$12</f>
        <v>1.1128703703703704</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9566.3648122242867</v>
      </c>
      <c r="C10" s="583">
        <f t="shared" ref="C10:L10" si="0">SUM(C8:C9)</f>
        <v>5.5092592592592595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1.1128703703703704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7.1024774774774784</v>
      </c>
      <c r="C17" s="595">
        <f>B102</f>
        <v>7.8916416416416428</v>
      </c>
      <c r="D17" s="596"/>
      <c r="E17" s="596">
        <f>E102</f>
        <v>0</v>
      </c>
      <c r="F17" s="1050"/>
      <c r="G17" s="597"/>
      <c r="H17" s="595">
        <f>I102</f>
        <v>0</v>
      </c>
      <c r="I17" s="596">
        <f>G102+F102</f>
        <v>0</v>
      </c>
      <c r="J17" s="596">
        <f>H102+D102+C102</f>
        <v>0</v>
      </c>
      <c r="K17" s="596"/>
      <c r="L17" s="596"/>
      <c r="M17" s="596"/>
      <c r="N17" s="1051"/>
      <c r="O17" s="598">
        <f>C17*$C$22+E17*$E$22+H17*$H$22+I17*$I$22+J17*$J$22+D17*$D$22+F17*$F$22+G17*$G$22+K17*$K$22+L17*$L$22</f>
        <v>1.5941116116116119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7.1024774774774784</v>
      </c>
      <c r="C20" s="582">
        <f>SUM(C17:C19)</f>
        <v>7.8916416416416428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1.5941116116116119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71066</v>
      </c>
      <c r="C28" s="796">
        <v>3520</v>
      </c>
      <c r="D28" s="653"/>
      <c r="E28" s="652"/>
      <c r="F28" s="652" t="s">
        <v>881</v>
      </c>
      <c r="G28" s="652" t="s">
        <v>882</v>
      </c>
      <c r="H28" s="652" t="s">
        <v>882</v>
      </c>
      <c r="I28" s="652" t="s">
        <v>883</v>
      </c>
      <c r="J28" s="795">
        <v>42500</v>
      </c>
      <c r="K28" s="795">
        <v>42500</v>
      </c>
      <c r="L28" s="652" t="s">
        <v>884</v>
      </c>
      <c r="M28" s="652">
        <v>1.7</v>
      </c>
      <c r="N28" s="652">
        <v>4.9583333333333339</v>
      </c>
      <c r="O28" s="652">
        <v>7.1024774774774784</v>
      </c>
      <c r="P28" s="652">
        <v>13.400900900900902</v>
      </c>
      <c r="Q28" s="652">
        <v>0</v>
      </c>
      <c r="R28" s="652">
        <v>0</v>
      </c>
      <c r="S28" s="652">
        <v>0</v>
      </c>
      <c r="T28" s="652">
        <v>0</v>
      </c>
      <c r="U28" s="652">
        <v>0</v>
      </c>
      <c r="V28" s="652">
        <v>0</v>
      </c>
      <c r="W28" s="652">
        <v>0</v>
      </c>
      <c r="X28" s="652">
        <v>800</v>
      </c>
      <c r="Y28" s="652" t="s">
        <v>36</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1.7</v>
      </c>
      <c r="N58" s="610">
        <f>SUM(N28:N57)</f>
        <v>4.9583333333333339</v>
      </c>
      <c r="O58" s="610">
        <f t="shared" ref="O58:W58" si="2">SUM(O28:O57)</f>
        <v>7.1024774774774784</v>
      </c>
      <c r="P58" s="610">
        <f t="shared" si="2"/>
        <v>13.400900900900902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1.7</v>
      </c>
      <c r="N59" s="610">
        <f t="shared" si="3"/>
        <v>4.9583333333333339</v>
      </c>
      <c r="O59" s="610">
        <f t="shared" si="3"/>
        <v>7.1024774774774784</v>
      </c>
      <c r="P59" s="610">
        <f t="shared" si="3"/>
        <v>13.400900900900902</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0.58888888888888891</v>
      </c>
      <c r="C98" s="635">
        <f>IF(ISERROR(N58/(O58+N58)),0,N58/(N58+O58))</f>
        <v>0.41111111111111109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5.5092592592592595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7.8916416416416428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36160.499761980704</v>
      </c>
      <c r="C4" s="477">
        <f>huishoudens!C8</f>
        <v>0</v>
      </c>
      <c r="D4" s="477">
        <f>huishoudens!D8</f>
        <v>57327.823641000003</v>
      </c>
      <c r="E4" s="477">
        <f>huishoudens!E8</f>
        <v>5552.1748759117872</v>
      </c>
      <c r="F4" s="477">
        <f>huishoudens!F8</f>
        <v>64754.37137636829</v>
      </c>
      <c r="G4" s="477">
        <f>huishoudens!G8</f>
        <v>0</v>
      </c>
      <c r="H4" s="477">
        <f>huishoudens!H8</f>
        <v>0</v>
      </c>
      <c r="I4" s="477">
        <f>huishoudens!I8</f>
        <v>0</v>
      </c>
      <c r="J4" s="477">
        <f>huishoudens!J8</f>
        <v>0</v>
      </c>
      <c r="K4" s="477">
        <f>huishoudens!K8</f>
        <v>0</v>
      </c>
      <c r="L4" s="477">
        <f>huishoudens!L8</f>
        <v>0</v>
      </c>
      <c r="M4" s="477">
        <f>huishoudens!M8</f>
        <v>0</v>
      </c>
      <c r="N4" s="477">
        <f>huishoudens!N8</f>
        <v>14621.167257331377</v>
      </c>
      <c r="O4" s="477">
        <f>huishoudens!O8</f>
        <v>545.60333333333335</v>
      </c>
      <c r="P4" s="478">
        <f>huishoudens!P8</f>
        <v>2345.1999999999998</v>
      </c>
      <c r="Q4" s="479">
        <f>SUM(B4:P4)</f>
        <v>181306.8402459255</v>
      </c>
    </row>
    <row r="5" spans="1:17">
      <c r="A5" s="476" t="s">
        <v>156</v>
      </c>
      <c r="B5" s="477">
        <f ca="1">tertiair!B16</f>
        <v>19223.448356000001</v>
      </c>
      <c r="C5" s="477">
        <f ca="1">tertiair!C16</f>
        <v>0</v>
      </c>
      <c r="D5" s="477">
        <f ca="1">tertiair!D16</f>
        <v>22473.623398049996</v>
      </c>
      <c r="E5" s="477">
        <f>tertiair!E16</f>
        <v>362.60737122959944</v>
      </c>
      <c r="F5" s="477">
        <f ca="1">tertiair!F16</f>
        <v>3385.0283979405654</v>
      </c>
      <c r="G5" s="477">
        <f>tertiair!G16</f>
        <v>0</v>
      </c>
      <c r="H5" s="477">
        <f>tertiair!H16</f>
        <v>0</v>
      </c>
      <c r="I5" s="477">
        <f>tertiair!I16</f>
        <v>0</v>
      </c>
      <c r="J5" s="477">
        <f>tertiair!J16</f>
        <v>3.788511933243157E-2</v>
      </c>
      <c r="K5" s="477">
        <f>tertiair!K16</f>
        <v>0</v>
      </c>
      <c r="L5" s="477">
        <f ca="1">tertiair!L16</f>
        <v>0</v>
      </c>
      <c r="M5" s="477">
        <f>tertiair!M16</f>
        <v>0</v>
      </c>
      <c r="N5" s="477">
        <f ca="1">tertiair!N16</f>
        <v>1531.2442165149246</v>
      </c>
      <c r="O5" s="477">
        <f>tertiair!O16</f>
        <v>4.6900000000000004</v>
      </c>
      <c r="P5" s="478">
        <f>tertiair!P16</f>
        <v>57.2</v>
      </c>
      <c r="Q5" s="476">
        <f t="shared" ref="Q5:Q14" ca="1" si="0">SUM(B5:P5)</f>
        <v>47037.879624854417</v>
      </c>
    </row>
    <row r="6" spans="1:17">
      <c r="A6" s="476" t="s">
        <v>194</v>
      </c>
      <c r="B6" s="477">
        <f>'openbare verlichting'!B8</f>
        <v>1300.8489999999999</v>
      </c>
      <c r="C6" s="477"/>
      <c r="D6" s="477"/>
      <c r="E6" s="477"/>
      <c r="F6" s="477"/>
      <c r="G6" s="477"/>
      <c r="H6" s="477"/>
      <c r="I6" s="477"/>
      <c r="J6" s="477"/>
      <c r="K6" s="477"/>
      <c r="L6" s="477"/>
      <c r="M6" s="477"/>
      <c r="N6" s="477"/>
      <c r="O6" s="477"/>
      <c r="P6" s="478"/>
      <c r="Q6" s="476">
        <f t="shared" si="0"/>
        <v>1300.8489999999999</v>
      </c>
    </row>
    <row r="7" spans="1:17">
      <c r="A7" s="476" t="s">
        <v>112</v>
      </c>
      <c r="B7" s="477">
        <f>landbouw!B8</f>
        <v>219.35</v>
      </c>
      <c r="C7" s="477">
        <f>landbouw!C8</f>
        <v>0</v>
      </c>
      <c r="D7" s="477">
        <f>landbouw!D8</f>
        <v>83.822860000000006</v>
      </c>
      <c r="E7" s="477">
        <f>landbouw!E8</f>
        <v>6.4473664722291986</v>
      </c>
      <c r="F7" s="477">
        <f>landbouw!F8</f>
        <v>913.80024694813892</v>
      </c>
      <c r="G7" s="477">
        <f>landbouw!G8</f>
        <v>0</v>
      </c>
      <c r="H7" s="477">
        <f>landbouw!H8</f>
        <v>0</v>
      </c>
      <c r="I7" s="477">
        <f>landbouw!I8</f>
        <v>0</v>
      </c>
      <c r="J7" s="477">
        <f>landbouw!J8</f>
        <v>31.779104404828345</v>
      </c>
      <c r="K7" s="477">
        <f>landbouw!K8</f>
        <v>0</v>
      </c>
      <c r="L7" s="477">
        <f>landbouw!L8</f>
        <v>0</v>
      </c>
      <c r="M7" s="477">
        <f>landbouw!M8</f>
        <v>0</v>
      </c>
      <c r="N7" s="477">
        <f>landbouw!N8</f>
        <v>0</v>
      </c>
      <c r="O7" s="477">
        <f>landbouw!O8</f>
        <v>0</v>
      </c>
      <c r="P7" s="478">
        <f>landbouw!P8</f>
        <v>0</v>
      </c>
      <c r="Q7" s="476">
        <f t="shared" si="0"/>
        <v>1255.1995778251965</v>
      </c>
    </row>
    <row r="8" spans="1:17">
      <c r="A8" s="476" t="s">
        <v>635</v>
      </c>
      <c r="B8" s="477">
        <f>industrie!B18</f>
        <v>41108.579252333329</v>
      </c>
      <c r="C8" s="477">
        <f>industrie!C18</f>
        <v>7.1024774774774784</v>
      </c>
      <c r="D8" s="477">
        <f>industrie!D18</f>
        <v>109213.89131709909</v>
      </c>
      <c r="E8" s="477">
        <f>industrie!E18</f>
        <v>620.31606351660344</v>
      </c>
      <c r="F8" s="477">
        <f>industrie!F18</f>
        <v>4176.9665054016004</v>
      </c>
      <c r="G8" s="477">
        <f>industrie!G18</f>
        <v>0</v>
      </c>
      <c r="H8" s="477">
        <f>industrie!H18</f>
        <v>0</v>
      </c>
      <c r="I8" s="477">
        <f>industrie!I18</f>
        <v>0</v>
      </c>
      <c r="J8" s="477">
        <f>industrie!J18</f>
        <v>0.31416705691472768</v>
      </c>
      <c r="K8" s="477">
        <f>industrie!K18</f>
        <v>0</v>
      </c>
      <c r="L8" s="477">
        <f>industrie!L18</f>
        <v>0</v>
      </c>
      <c r="M8" s="477">
        <f>industrie!M18</f>
        <v>0</v>
      </c>
      <c r="N8" s="477">
        <f>industrie!N18</f>
        <v>2489.7217853346851</v>
      </c>
      <c r="O8" s="477">
        <f>industrie!O18</f>
        <v>0</v>
      </c>
      <c r="P8" s="478">
        <f>industrie!P18</f>
        <v>0</v>
      </c>
      <c r="Q8" s="476">
        <f t="shared" si="0"/>
        <v>157616.89156821967</v>
      </c>
    </row>
    <row r="9" spans="1:17" s="482" customFormat="1">
      <c r="A9" s="480" t="s">
        <v>561</v>
      </c>
      <c r="B9" s="481">
        <f>transport!B14</f>
        <v>103.75125622381505</v>
      </c>
      <c r="C9" s="481">
        <f>transport!C14</f>
        <v>0</v>
      </c>
      <c r="D9" s="481">
        <f>transport!D14</f>
        <v>350.29800825135925</v>
      </c>
      <c r="E9" s="481">
        <f>transport!E14</f>
        <v>543.73478887940541</v>
      </c>
      <c r="F9" s="481">
        <f>transport!F14</f>
        <v>0</v>
      </c>
      <c r="G9" s="481">
        <f>transport!G14</f>
        <v>221995.27349758093</v>
      </c>
      <c r="H9" s="481">
        <f>transport!H14</f>
        <v>40673.687464694893</v>
      </c>
      <c r="I9" s="481">
        <f>transport!I14</f>
        <v>0</v>
      </c>
      <c r="J9" s="481">
        <f>transport!J14</f>
        <v>0</v>
      </c>
      <c r="K9" s="481">
        <f>transport!K14</f>
        <v>0</v>
      </c>
      <c r="L9" s="481">
        <f>transport!L14</f>
        <v>0</v>
      </c>
      <c r="M9" s="481">
        <f>transport!M14</f>
        <v>14170.130592931117</v>
      </c>
      <c r="N9" s="481">
        <f>transport!N14</f>
        <v>0</v>
      </c>
      <c r="O9" s="481">
        <f>transport!O14</f>
        <v>0</v>
      </c>
      <c r="P9" s="481">
        <f>transport!P14</f>
        <v>0</v>
      </c>
      <c r="Q9" s="480">
        <f>SUM(B9:P9)</f>
        <v>277836.8756085615</v>
      </c>
    </row>
    <row r="10" spans="1:17">
      <c r="A10" s="476" t="s">
        <v>551</v>
      </c>
      <c r="B10" s="477">
        <f>transport!B54</f>
        <v>0</v>
      </c>
      <c r="C10" s="477">
        <f>transport!C54</f>
        <v>0</v>
      </c>
      <c r="D10" s="477">
        <f>transport!D54</f>
        <v>0</v>
      </c>
      <c r="E10" s="477">
        <f>transport!E54</f>
        <v>0</v>
      </c>
      <c r="F10" s="477">
        <f>transport!F54</f>
        <v>0</v>
      </c>
      <c r="G10" s="477">
        <f>transport!G54</f>
        <v>2324.3861135951288</v>
      </c>
      <c r="H10" s="477">
        <f>transport!H54</f>
        <v>0</v>
      </c>
      <c r="I10" s="477">
        <f>transport!I54</f>
        <v>0</v>
      </c>
      <c r="J10" s="477">
        <f>transport!J54</f>
        <v>0</v>
      </c>
      <c r="K10" s="477">
        <f>transport!K54</f>
        <v>0</v>
      </c>
      <c r="L10" s="477">
        <f>transport!L54</f>
        <v>0</v>
      </c>
      <c r="M10" s="477">
        <f>transport!M54</f>
        <v>132.01487007215763</v>
      </c>
      <c r="N10" s="477">
        <f>transport!N54</f>
        <v>0</v>
      </c>
      <c r="O10" s="477">
        <f>transport!O54</f>
        <v>0</v>
      </c>
      <c r="P10" s="478">
        <f>transport!P54</f>
        <v>0</v>
      </c>
      <c r="Q10" s="476">
        <f t="shared" si="0"/>
        <v>2456.4009836672863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747.17224999999996</v>
      </c>
      <c r="C14" s="484"/>
      <c r="D14" s="484">
        <f>'SEAP template'!E25</f>
        <v>1768.6386</v>
      </c>
      <c r="E14" s="484"/>
      <c r="F14" s="484"/>
      <c r="G14" s="484"/>
      <c r="H14" s="484"/>
      <c r="I14" s="484"/>
      <c r="J14" s="484"/>
      <c r="K14" s="484"/>
      <c r="L14" s="484"/>
      <c r="M14" s="484"/>
      <c r="N14" s="484"/>
      <c r="O14" s="484"/>
      <c r="P14" s="485"/>
      <c r="Q14" s="476">
        <f t="shared" si="0"/>
        <v>2515.8108499999998</v>
      </c>
    </row>
    <row r="15" spans="1:17" s="486" customFormat="1">
      <c r="A15" s="1039" t="s">
        <v>555</v>
      </c>
      <c r="B15" s="987">
        <f ca="1">SUM(B4:B14)</f>
        <v>98863.649876537849</v>
      </c>
      <c r="C15" s="987">
        <f t="shared" ref="C15:Q15" ca="1" si="1">SUM(C4:C14)</f>
        <v>7.1024774774774784</v>
      </c>
      <c r="D15" s="987">
        <f t="shared" ca="1" si="1"/>
        <v>191218.09782440044</v>
      </c>
      <c r="E15" s="987">
        <f t="shared" si="1"/>
        <v>7085.2804660096244</v>
      </c>
      <c r="F15" s="987">
        <f t="shared" ca="1" si="1"/>
        <v>73230.166526658606</v>
      </c>
      <c r="G15" s="987">
        <f t="shared" si="1"/>
        <v>224319.65961117606</v>
      </c>
      <c r="H15" s="987">
        <f t="shared" si="1"/>
        <v>40673.687464694893</v>
      </c>
      <c r="I15" s="987">
        <f t="shared" si="1"/>
        <v>0</v>
      </c>
      <c r="J15" s="987">
        <f t="shared" si="1"/>
        <v>32.131156581075508</v>
      </c>
      <c r="K15" s="987">
        <f t="shared" si="1"/>
        <v>0</v>
      </c>
      <c r="L15" s="987">
        <f t="shared" ca="1" si="1"/>
        <v>0</v>
      </c>
      <c r="M15" s="987">
        <f t="shared" si="1"/>
        <v>14302.145463003275</v>
      </c>
      <c r="N15" s="987">
        <f t="shared" ca="1" si="1"/>
        <v>18642.133259180988</v>
      </c>
      <c r="O15" s="987">
        <f t="shared" si="1"/>
        <v>550.29333333333341</v>
      </c>
      <c r="P15" s="987">
        <f t="shared" si="1"/>
        <v>2402.3999999999996</v>
      </c>
      <c r="Q15" s="987">
        <f t="shared" ca="1" si="1"/>
        <v>671326.74745905353</v>
      </c>
    </row>
    <row r="17" spans="1:17">
      <c r="A17" s="487" t="s">
        <v>556</v>
      </c>
      <c r="B17" s="786">
        <f ca="1">huishoudens!B10</f>
        <v>0.19962658564831456</v>
      </c>
      <c r="C17" s="786">
        <f ca="1">huishoudens!C10</f>
        <v>0.22444444444444445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7218.5971028208996</v>
      </c>
      <c r="C22" s="477">
        <f t="shared" ref="C22:C32" ca="1" si="3">C4*$C$17</f>
        <v>0</v>
      </c>
      <c r="D22" s="477">
        <f t="shared" ref="D22:D32" si="4">D4*$D$17</f>
        <v>11580.220375482002</v>
      </c>
      <c r="E22" s="477">
        <f t="shared" ref="E22:E32" si="5">E4*$E$17</f>
        <v>1260.3436968319756</v>
      </c>
      <c r="F22" s="477">
        <f t="shared" ref="F22:F32" si="6">F4*$F$17</f>
        <v>17289.417157490334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37348.578332625213</v>
      </c>
    </row>
    <row r="23" spans="1:17">
      <c r="A23" s="476" t="s">
        <v>156</v>
      </c>
      <c r="B23" s="477">
        <f t="shared" ca="1" si="2"/>
        <v>3837.5113596949859</v>
      </c>
      <c r="C23" s="477">
        <f t="shared" ca="1" si="3"/>
        <v>0</v>
      </c>
      <c r="D23" s="477">
        <f t="shared" ca="1" si="4"/>
        <v>4539.6719264060994</v>
      </c>
      <c r="E23" s="477">
        <f t="shared" si="5"/>
        <v>82.311873269119076</v>
      </c>
      <c r="F23" s="477">
        <f t="shared" ca="1" si="6"/>
        <v>903.80258225013097</v>
      </c>
      <c r="G23" s="477">
        <f t="shared" si="7"/>
        <v>0</v>
      </c>
      <c r="H23" s="477">
        <f t="shared" si="8"/>
        <v>0</v>
      </c>
      <c r="I23" s="477">
        <f t="shared" si="9"/>
        <v>0</v>
      </c>
      <c r="J23" s="477">
        <f t="shared" si="10"/>
        <v>1.3411332243680775E-2</v>
      </c>
      <c r="K23" s="477">
        <f t="shared" si="11"/>
        <v>0</v>
      </c>
      <c r="L23" s="477">
        <f t="shared" ca="1" si="12"/>
        <v>0</v>
      </c>
      <c r="M23" s="477">
        <f t="shared" si="13"/>
        <v>0</v>
      </c>
      <c r="N23" s="477">
        <f t="shared" ca="1" si="14"/>
        <v>0</v>
      </c>
      <c r="O23" s="477">
        <f t="shared" si="15"/>
        <v>0</v>
      </c>
      <c r="P23" s="478">
        <f t="shared" si="16"/>
        <v>0</v>
      </c>
      <c r="Q23" s="476">
        <f t="shared" ref="Q23:Q32" ca="1" si="17">SUM(B23:P23)</f>
        <v>9363.3111529525777</v>
      </c>
    </row>
    <row r="24" spans="1:17">
      <c r="A24" s="476" t="s">
        <v>194</v>
      </c>
      <c r="B24" s="477">
        <f t="shared" ca="1" si="2"/>
        <v>259.68404431402433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259.68404431402433</v>
      </c>
    </row>
    <row r="25" spans="1:17">
      <c r="A25" s="476" t="s">
        <v>112</v>
      </c>
      <c r="B25" s="477">
        <f t="shared" ca="1" si="2"/>
        <v>43.788091561957799</v>
      </c>
      <c r="C25" s="477">
        <f t="shared" ca="1" si="3"/>
        <v>0</v>
      </c>
      <c r="D25" s="477">
        <f t="shared" si="4"/>
        <v>16.932217720000001</v>
      </c>
      <c r="E25" s="477">
        <f t="shared" si="5"/>
        <v>1.4635521891960281</v>
      </c>
      <c r="F25" s="477">
        <f t="shared" si="6"/>
        <v>243.98466593515312</v>
      </c>
      <c r="G25" s="477">
        <f t="shared" si="7"/>
        <v>0</v>
      </c>
      <c r="H25" s="477">
        <f t="shared" si="8"/>
        <v>0</v>
      </c>
      <c r="I25" s="477">
        <f t="shared" si="9"/>
        <v>0</v>
      </c>
      <c r="J25" s="477">
        <f t="shared" si="10"/>
        <v>11.249802959309234</v>
      </c>
      <c r="K25" s="477">
        <f t="shared" si="11"/>
        <v>0</v>
      </c>
      <c r="L25" s="477">
        <f t="shared" si="12"/>
        <v>0</v>
      </c>
      <c r="M25" s="477">
        <f t="shared" si="13"/>
        <v>0</v>
      </c>
      <c r="N25" s="477">
        <f t="shared" si="14"/>
        <v>0</v>
      </c>
      <c r="O25" s="477">
        <f t="shared" si="15"/>
        <v>0</v>
      </c>
      <c r="P25" s="478">
        <f t="shared" si="16"/>
        <v>0</v>
      </c>
      <c r="Q25" s="476">
        <f t="shared" ca="1" si="17"/>
        <v>317.41833036561621</v>
      </c>
    </row>
    <row r="26" spans="1:17">
      <c r="A26" s="476" t="s">
        <v>635</v>
      </c>
      <c r="B26" s="477">
        <f t="shared" ca="1" si="2"/>
        <v>8206.3653169964473</v>
      </c>
      <c r="C26" s="477">
        <f t="shared" ca="1" si="3"/>
        <v>1.5941116116116119</v>
      </c>
      <c r="D26" s="477">
        <f t="shared" si="4"/>
        <v>22061.206046054016</v>
      </c>
      <c r="E26" s="477">
        <f t="shared" si="5"/>
        <v>140.811746418269</v>
      </c>
      <c r="F26" s="477">
        <f t="shared" si="6"/>
        <v>1115.2500569422273</v>
      </c>
      <c r="G26" s="477">
        <f t="shared" si="7"/>
        <v>0</v>
      </c>
      <c r="H26" s="477">
        <f t="shared" si="8"/>
        <v>0</v>
      </c>
      <c r="I26" s="477">
        <f t="shared" si="9"/>
        <v>0</v>
      </c>
      <c r="J26" s="477">
        <f t="shared" si="10"/>
        <v>0.1112151381478136</v>
      </c>
      <c r="K26" s="477">
        <f t="shared" si="11"/>
        <v>0</v>
      </c>
      <c r="L26" s="477">
        <f t="shared" si="12"/>
        <v>0</v>
      </c>
      <c r="M26" s="477">
        <f t="shared" si="13"/>
        <v>0</v>
      </c>
      <c r="N26" s="477">
        <f t="shared" si="14"/>
        <v>0</v>
      </c>
      <c r="O26" s="477">
        <f t="shared" si="15"/>
        <v>0</v>
      </c>
      <c r="P26" s="478">
        <f t="shared" si="16"/>
        <v>0</v>
      </c>
      <c r="Q26" s="476">
        <f t="shared" ca="1" si="17"/>
        <v>31525.338493160722</v>
      </c>
    </row>
    <row r="27" spans="1:17" s="482" customFormat="1">
      <c r="A27" s="480" t="s">
        <v>561</v>
      </c>
      <c r="B27" s="780">
        <f t="shared" ca="1" si="2"/>
        <v>20.711509036683644</v>
      </c>
      <c r="C27" s="481">
        <f t="shared" ca="1" si="3"/>
        <v>0</v>
      </c>
      <c r="D27" s="481">
        <f t="shared" si="4"/>
        <v>70.760197666774573</v>
      </c>
      <c r="E27" s="481">
        <f t="shared" si="5"/>
        <v>123.42779707562504</v>
      </c>
      <c r="F27" s="481">
        <f t="shared" si="6"/>
        <v>0</v>
      </c>
      <c r="G27" s="481">
        <f t="shared" si="7"/>
        <v>59272.738023854108</v>
      </c>
      <c r="H27" s="481">
        <f t="shared" si="8"/>
        <v>10127.748178709027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69615.385706342218</v>
      </c>
    </row>
    <row r="28" spans="1:17">
      <c r="A28" s="476" t="s">
        <v>551</v>
      </c>
      <c r="B28" s="477">
        <f t="shared" ca="1" si="2"/>
        <v>0</v>
      </c>
      <c r="C28" s="477">
        <f t="shared" ca="1" si="3"/>
        <v>0</v>
      </c>
      <c r="D28" s="477">
        <f t="shared" si="4"/>
        <v>0</v>
      </c>
      <c r="E28" s="477">
        <f t="shared" si="5"/>
        <v>0</v>
      </c>
      <c r="F28" s="477">
        <f t="shared" si="6"/>
        <v>0</v>
      </c>
      <c r="G28" s="477">
        <f t="shared" si="7"/>
        <v>620.61109232989941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620.61109232989941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149.1554451586689</v>
      </c>
      <c r="C32" s="477">
        <f t="shared" ca="1" si="3"/>
        <v>0</v>
      </c>
      <c r="D32" s="477">
        <f t="shared" si="4"/>
        <v>357.26499720000004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506.42044235866894</v>
      </c>
    </row>
    <row r="33" spans="1:17" s="486" customFormat="1">
      <c r="A33" s="1039" t="s">
        <v>555</v>
      </c>
      <c r="B33" s="987">
        <f ca="1">SUM(B22:B32)</f>
        <v>19735.812869583664</v>
      </c>
      <c r="C33" s="987">
        <f t="shared" ref="C33:Q33" ca="1" si="18">SUM(C22:C32)</f>
        <v>1.5941116116116119</v>
      </c>
      <c r="D33" s="987">
        <f t="shared" ca="1" si="18"/>
        <v>38626.055760528892</v>
      </c>
      <c r="E33" s="987">
        <f t="shared" si="18"/>
        <v>1608.3586657841847</v>
      </c>
      <c r="F33" s="987">
        <f t="shared" ca="1" si="18"/>
        <v>19552.454462617843</v>
      </c>
      <c r="G33" s="987">
        <f t="shared" si="18"/>
        <v>59893.349116184007</v>
      </c>
      <c r="H33" s="987">
        <f t="shared" si="18"/>
        <v>10127.748178709027</v>
      </c>
      <c r="I33" s="987">
        <f t="shared" si="18"/>
        <v>0</v>
      </c>
      <c r="J33" s="987">
        <f t="shared" si="18"/>
        <v>11.374429429700728</v>
      </c>
      <c r="K33" s="987">
        <f t="shared" si="18"/>
        <v>0</v>
      </c>
      <c r="L33" s="987">
        <f t="shared" ca="1" si="18"/>
        <v>0</v>
      </c>
      <c r="M33" s="987">
        <f t="shared" si="18"/>
        <v>0</v>
      </c>
      <c r="N33" s="987">
        <f t="shared" ca="1" si="18"/>
        <v>0</v>
      </c>
      <c r="O33" s="987">
        <f t="shared" si="18"/>
        <v>0</v>
      </c>
      <c r="P33" s="987">
        <f t="shared" si="18"/>
        <v>0</v>
      </c>
      <c r="Q33" s="987">
        <f t="shared" ca="1" si="18"/>
        <v>149556.74759444894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9561.4064788909527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4.9583333333333339</v>
      </c>
      <c r="D8" s="1056">
        <f>'SEAP template'!D76</f>
        <v>5.5092592592592595</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1.1128703703703704</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9561.4064788909527</v>
      </c>
      <c r="C10" s="1060">
        <f>SUM(C4:C9)</f>
        <v>4.9583333333333339</v>
      </c>
      <c r="D10" s="1060">
        <f t="shared" ref="D10:H10" si="0">SUM(D8:D9)</f>
        <v>5.5092592592592595</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1.1128703703703704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0.19962658564831456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7.1024774774774784</v>
      </c>
      <c r="D17" s="1057">
        <f>'SEAP template'!D87</f>
        <v>7.8916416416416428</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1.5941116116116119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7.1024774774774784</v>
      </c>
      <c r="D20" s="1060">
        <f t="shared" ref="D20:H20" si="2">SUM(D17:D19)</f>
        <v>7.8916416416416428</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1.5941116116116119</v>
      </c>
    </row>
    <row r="22" spans="1:16">
      <c r="A22" s="487" t="s">
        <v>862</v>
      </c>
      <c r="B22" s="786" t="s">
        <v>856</v>
      </c>
      <c r="C22" s="786">
        <f ca="1">'EF ele_warmte'!B22</f>
        <v>0.22444444444444445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0.19962658564831456</v>
      </c>
      <c r="C17" s="524">
        <f ca="1">'EF ele_warmte'!B22</f>
        <v>0.22444444444444445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2019-08-12T08:35:19Z</dcterms:modified>
</cp:coreProperties>
</file>