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O9" i="18"/>
  <c r="Q14" i="48"/>
  <c r="E90" i="14"/>
  <c r="E18" i="61"/>
  <c r="K78" i="14"/>
  <c r="K8" i="61"/>
  <c r="K10" s="1"/>
  <c r="N10"/>
  <c r="C98" i="18"/>
  <c r="H101" s="1"/>
  <c r="O77" i="14"/>
  <c r="O9" i="61" s="1"/>
  <c r="O10" s="1"/>
  <c r="N20"/>
  <c r="K90" i="14"/>
  <c r="O89"/>
  <c r="O19" i="61" s="1"/>
  <c r="P27" i="48"/>
  <c r="B10" i="18"/>
  <c r="D20"/>
  <c r="M77" i="14"/>
  <c r="M9" i="61" s="1"/>
  <c r="H9" i="18"/>
  <c r="G10" i="61"/>
  <c r="L20"/>
  <c r="O31" i="48"/>
  <c r="P31"/>
  <c r="K10" i="18"/>
  <c r="L78" i="14"/>
  <c r="L8" i="61"/>
  <c r="L10" s="1"/>
  <c r="L90" i="14"/>
  <c r="L18" i="61"/>
  <c r="E20"/>
  <c r="P22" i="14"/>
  <c r="E10" i="61"/>
  <c r="B17" i="18"/>
  <c r="B20" s="1"/>
  <c r="F13" i="15"/>
  <c r="O22" i="14"/>
  <c r="G77"/>
  <c r="G9" i="61" s="1"/>
  <c r="H20"/>
  <c r="P25" i="48"/>
  <c r="I77" i="14"/>
  <c r="I9" i="61" s="1"/>
  <c r="L13" i="15"/>
  <c r="B13"/>
  <c r="H90" i="14"/>
  <c r="N13" i="15"/>
  <c r="F77" i="14"/>
  <c r="F9" i="61" s="1"/>
  <c r="D101" i="18"/>
  <c r="C101"/>
  <c r="I102"/>
  <c r="H17" s="1"/>
  <c r="E102"/>
  <c r="E17" s="1"/>
  <c r="C102"/>
  <c r="B102"/>
  <c r="C17" s="1"/>
  <c r="H102"/>
  <c r="D102"/>
  <c r="G102"/>
  <c r="F102"/>
  <c r="N90" i="14"/>
  <c r="O18" i="18"/>
  <c r="F20"/>
  <c r="D77" i="14"/>
  <c r="D9" i="61" s="1"/>
  <c r="H77" i="14"/>
  <c r="G90"/>
  <c r="O88"/>
  <c r="G20" i="18"/>
  <c r="K20"/>
  <c r="O19"/>
  <c r="D10"/>
  <c r="Q89" i="14"/>
  <c r="P19" i="61" s="1"/>
  <c r="O29" i="48"/>
  <c r="O27"/>
  <c r="P29"/>
  <c r="P32"/>
  <c r="O24"/>
  <c r="P24"/>
  <c r="P30"/>
  <c r="G78" i="14"/>
  <c r="R9"/>
  <c r="D22"/>
  <c r="E55"/>
  <c r="R25"/>
  <c r="E78"/>
  <c r="H78" l="1"/>
  <c r="H9" i="61"/>
  <c r="H10" s="1"/>
  <c r="O90" i="14"/>
  <c r="O18" i="61"/>
  <c r="O20" s="1"/>
  <c r="I101" i="18"/>
  <c r="H8" s="1"/>
  <c r="H10" s="1"/>
  <c r="E101"/>
  <c r="E8" s="1"/>
  <c r="C89" i="14"/>
  <c r="C19" i="61" s="1"/>
  <c r="G101" i="18"/>
  <c r="I8" s="1"/>
  <c r="I76" i="14" s="1"/>
  <c r="I8" i="61" s="1"/>
  <c r="I10" s="1"/>
  <c r="B101" i="18"/>
  <c r="C8" s="1"/>
  <c r="C10" s="1"/>
  <c r="B89" i="14"/>
  <c r="B19" i="61" s="1"/>
  <c r="F101" i="18"/>
  <c r="O78" i="14"/>
  <c r="B88"/>
  <c r="B18" i="61" s="1"/>
  <c r="B77" i="14"/>
  <c r="B9" i="61" s="1"/>
  <c r="Q77" i="14"/>
  <c r="P9" i="61" s="1"/>
  <c r="J17" i="18"/>
  <c r="H20"/>
  <c r="M87" i="14"/>
  <c r="J8" i="18"/>
  <c r="E20"/>
  <c r="F87" i="14"/>
  <c r="C77"/>
  <c r="C9" i="61" s="1"/>
  <c r="C20" i="18"/>
  <c r="D87" i="14"/>
  <c r="D17" i="61" s="1"/>
  <c r="D20" s="1"/>
  <c r="C88" i="14"/>
  <c r="C18" i="61" s="1"/>
  <c r="F76" i="14"/>
  <c r="E10" i="18"/>
  <c r="I17"/>
  <c r="Q88" i="14"/>
  <c r="P18" i="61" s="1"/>
  <c r="AC15" i="5"/>
  <c r="F78" i="14" l="1"/>
  <c r="F8" i="61"/>
  <c r="F10" s="1"/>
  <c r="F90" i="14"/>
  <c r="F17" i="61"/>
  <c r="F20" s="1"/>
  <c r="M90" i="14"/>
  <c r="M17" i="61"/>
  <c r="M20" s="1"/>
  <c r="I10" i="18"/>
  <c r="D76" i="14"/>
  <c r="D8" i="61" s="1"/>
  <c r="D10" s="1"/>
  <c r="O8" i="18"/>
  <c r="O10" s="1"/>
  <c r="M76" i="14"/>
  <c r="I78"/>
  <c r="J87"/>
  <c r="J20" i="18"/>
  <c r="I87" i="14"/>
  <c r="I17" i="61" s="1"/>
  <c r="I20" s="1"/>
  <c r="I20" i="18"/>
  <c r="O17"/>
  <c r="O20" s="1"/>
  <c r="Q87" i="14"/>
  <c r="D90"/>
  <c r="J10" i="18"/>
  <c r="J76" i="14"/>
  <c r="D5" i="13"/>
  <c r="M78" i="14" l="1"/>
  <c r="M8" i="61"/>
  <c r="M10" s="1"/>
  <c r="Q90" i="14"/>
  <c r="B17" i="6" s="1"/>
  <c r="P17" i="61"/>
  <c r="P20" s="1"/>
  <c r="J78" i="14"/>
  <c r="J8" i="61"/>
  <c r="J10" s="1"/>
  <c r="J90" i="14"/>
  <c r="J17" i="61"/>
  <c r="J20" s="1"/>
  <c r="Q76" i="14"/>
  <c r="D78"/>
  <c r="I90"/>
  <c r="B87"/>
  <c r="C87"/>
  <c r="C76"/>
  <c r="B76"/>
  <c r="B26" i="17"/>
  <c r="Q78" i="14" l="1"/>
  <c r="B9" i="6" s="1"/>
  <c r="P8" i="61"/>
  <c r="P10" s="1"/>
  <c r="B90" i="14"/>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31"/>
  <c r="I29"/>
  <c r="I22"/>
  <c r="I26"/>
  <c r="I27"/>
  <c r="I24"/>
  <c r="I28"/>
  <c r="I30"/>
  <c r="I32"/>
  <c r="E11" i="14"/>
  <c r="D4" i="48"/>
  <c r="D22" s="1"/>
  <c r="C4"/>
  <c r="D11" i="14"/>
  <c r="F30" i="48"/>
  <c r="F31"/>
  <c r="F29"/>
  <c r="F32"/>
  <c r="F24"/>
  <c r="F28"/>
  <c r="F27"/>
  <c r="B10"/>
  <c r="C19" i="14"/>
  <c r="E31" i="48"/>
  <c r="E29"/>
  <c r="E24"/>
  <c r="E30"/>
  <c r="E28"/>
  <c r="E32"/>
  <c r="M29"/>
  <c r="M30"/>
  <c r="M32"/>
  <c r="M25"/>
  <c r="M22"/>
  <c r="M26"/>
  <c r="M24"/>
  <c r="M23"/>
  <c r="K5"/>
  <c r="L10" i="14"/>
  <c r="L16" s="1"/>
  <c r="L27" s="1"/>
  <c r="D30" i="48"/>
  <c r="D28"/>
  <c r="D29"/>
  <c r="D31"/>
  <c r="D24"/>
  <c r="D32"/>
  <c r="L29"/>
  <c r="L32"/>
  <c r="L24"/>
  <c r="L30"/>
  <c r="L31"/>
  <c r="L22"/>
  <c r="L27"/>
  <c r="L28"/>
  <c r="P5"/>
  <c r="P23" s="1"/>
  <c r="Q10" i="14"/>
  <c r="P11"/>
  <c r="O4" i="48"/>
  <c r="H29"/>
  <c r="H25"/>
  <c r="H32"/>
  <c r="H26"/>
  <c r="H24"/>
  <c r="H28"/>
  <c r="H22"/>
  <c r="H30"/>
  <c r="H23"/>
  <c r="G23"/>
  <c r="G30"/>
  <c r="G32"/>
  <c r="G22"/>
  <c r="G29"/>
  <c r="G26"/>
  <c r="G24"/>
  <c r="G25"/>
  <c r="B4"/>
  <c r="C11" i="14"/>
  <c r="N31" i="48"/>
  <c r="N30"/>
  <c r="N32"/>
  <c r="N24"/>
  <c r="N27"/>
  <c r="N29"/>
  <c r="N28"/>
  <c r="K32"/>
  <c r="K24"/>
  <c r="K27"/>
  <c r="K22"/>
  <c r="K29"/>
  <c r="K26"/>
  <c r="K30"/>
  <c r="K25"/>
  <c r="K31"/>
  <c r="K28"/>
  <c r="C24" i="14"/>
  <c r="C26" s="1"/>
  <c r="B7" i="48"/>
  <c r="J30"/>
  <c r="J32"/>
  <c r="J24"/>
  <c r="J31"/>
  <c r="J27"/>
  <c r="J28"/>
  <c r="J29"/>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Q13"/>
  <c r="P8" i="48"/>
  <c r="P26" s="1"/>
  <c r="K23"/>
  <c r="K15"/>
  <c r="B9"/>
  <c r="C20" i="14"/>
  <c r="C22" s="1"/>
  <c r="J7" i="48"/>
  <c r="J25" s="1"/>
  <c r="K24" i="14"/>
  <c r="K26" s="1"/>
  <c r="L46"/>
  <c r="L61" s="1"/>
  <c r="L63" s="1"/>
  <c r="Q16"/>
  <c r="Q27" s="1"/>
  <c r="H18"/>
  <c r="G13" i="48"/>
  <c r="G31" s="1"/>
  <c r="O22"/>
  <c r="D9"/>
  <c r="D27" s="1"/>
  <c r="E20" i="14"/>
  <c r="E22" s="1"/>
  <c r="P10"/>
  <c r="O5" i="48"/>
  <c r="O23" s="1"/>
  <c r="G11" i="14"/>
  <c r="F4" i="48"/>
  <c r="F22" s="1"/>
  <c r="I5"/>
  <c r="J10" i="14"/>
  <c r="J16" s="1"/>
  <c r="J27" s="1"/>
  <c r="J63" s="1"/>
  <c r="P22" i="48"/>
  <c r="P33" s="1"/>
  <c r="P15"/>
  <c r="K33"/>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E12" i="17"/>
  <c r="F54" i="14" s="1"/>
  <c r="F56" s="1"/>
  <c r="N19" l="1"/>
  <c r="N22" s="1"/>
  <c r="N27" s="1"/>
  <c r="M10" i="48"/>
  <c r="M28" s="1"/>
  <c r="E4"/>
  <c r="F11" i="14"/>
  <c r="O11"/>
  <c r="N4" i="48"/>
  <c r="N22" s="1"/>
  <c r="P13" i="14"/>
  <c r="P16" s="1"/>
  <c r="P27" s="1"/>
  <c r="O8" i="48"/>
  <c r="O26" s="1"/>
  <c r="J4"/>
  <c r="K11" i="14"/>
  <c r="I23" i="48"/>
  <c r="I33" s="1"/>
  <c r="I15"/>
  <c r="O15"/>
  <c r="O33"/>
  <c r="H19" i="14"/>
  <c r="G10" i="48"/>
  <c r="E7"/>
  <c r="E25" s="1"/>
  <c r="F24" i="14"/>
  <c r="F26"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R11" l="1"/>
  <c r="Q7" i="48"/>
  <c r="H22" i="14"/>
  <c r="H27" s="1"/>
  <c r="R19"/>
  <c r="R22" s="1"/>
  <c r="J22" i="48"/>
  <c r="N52" i="14"/>
  <c r="N61" s="1"/>
  <c r="F10"/>
  <c r="E5" i="48"/>
  <c r="E23" s="1"/>
  <c r="G28"/>
  <c r="Q10"/>
  <c r="E22"/>
  <c r="Q4"/>
  <c r="G9"/>
  <c r="H20" i="14"/>
  <c r="K10"/>
  <c r="J5" i="48"/>
  <c r="J23" s="1"/>
  <c r="M15"/>
  <c r="M27"/>
  <c r="M33" s="1"/>
  <c r="Q9"/>
  <c r="H15"/>
  <c r="H27"/>
  <c r="H33" s="1"/>
  <c r="N63" i="14"/>
  <c r="R20"/>
  <c r="R24"/>
  <c r="R26" s="1"/>
  <c r="N18" i="16"/>
  <c r="E20" i="15"/>
  <c r="F40" i="14" s="1"/>
  <c r="F18" i="16"/>
  <c r="J18"/>
  <c r="E18"/>
  <c r="G18" i="22"/>
  <c r="H50" i="14" s="1"/>
  <c r="H52" s="1"/>
  <c r="H61" s="1"/>
  <c r="H63" s="1"/>
  <c r="H18" i="22"/>
  <c r="I50" i="14" s="1"/>
  <c r="I52" s="1"/>
  <c r="I61" s="1"/>
  <c r="I63" s="1"/>
  <c r="E33" i="48" l="1"/>
  <c r="J33"/>
  <c r="F13" i="14"/>
  <c r="F16" s="1"/>
  <c r="F27" s="1"/>
  <c r="F63" s="1"/>
  <c r="E8" i="48"/>
  <c r="E26" s="1"/>
  <c r="G27"/>
  <c r="G33" s="1"/>
  <c r="G15"/>
  <c r="J8"/>
  <c r="J26" s="1"/>
  <c r="K13" i="14"/>
  <c r="K16"/>
  <c r="K27" s="1"/>
  <c r="K63" s="1"/>
  <c r="E15" i="48"/>
  <c r="J15"/>
  <c r="N8"/>
  <c r="N26" s="1"/>
  <c r="O13" i="14"/>
  <c r="F8" i="48"/>
  <c r="G13" i="14"/>
  <c r="R13" s="1"/>
  <c r="E22" i="16"/>
  <c r="F43" i="14" s="1"/>
  <c r="F46" s="1"/>
  <c r="F61" s="1"/>
  <c r="F22" i="16"/>
  <c r="G43" i="14" s="1"/>
  <c r="N22" i="16"/>
  <c r="O43" i="14" s="1"/>
  <c r="J22" i="16"/>
  <c r="K43" i="14" s="1"/>
  <c r="K46" s="1"/>
  <c r="K61" s="1"/>
  <c r="F26" i="48" l="1"/>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<sst xmlns="http://schemas.openxmlformats.org/spreadsheetml/2006/main" count="2401" uniqueCount="893">
  <si>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</si>
  <si>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</si>
  <si>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</si>
  <si>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</si>
  <si>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</si>
  <si>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</si>
  <si>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</si>
  <si>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</si>
  <si>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</si>
  <si>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</si>
  <si>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</si>
  <si>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</si>
  <si>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</si>
  <si>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</si>
  <si>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</si>
  <si>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</si>
  <si>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</si>
  <si>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</si>
  <si>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</si>
  <si>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</si>
  <si>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</si>
  <si>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</si>
  <si>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</si>
  <si>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</si>
  <si>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</si>
  <si>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</si>
  <si>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</si>
  <si>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</si>
  <si>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</si>
  <si>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</si>
  <si>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</si>
  <si>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</si>
  <si>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</si>
  <si>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</si>
  <si>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</si>
  <si>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</si>
  <si>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</si>
  <si>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</si>
  <si>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</si>
  <si>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</si>
  <si>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</si>
  <si>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</si>
  <si>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</si>
  <si>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</si>
  <si>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</si>
  <si>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</si>
  <si>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</si>
  <si>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</si>
  <si>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</si>
  <si>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</si>
  <si>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</si>
  <si>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</si>
  <si>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</si>
  <si>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</si>
  <si>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</si>
  <si>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</si>
  <si>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</si>
  <si>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</si>
  <si>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</si>
  <si>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</si>
  <si>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</si>
  <si>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</si>
  <si>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</si>
  <si>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</si>
  <si>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</si>
  <si>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</si>
  <si>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</si>
  <si>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</si>
  <si>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</si>
  <si>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</si>
  <si>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</si>
  <si>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</si>
  <si>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</si>
  <si>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</si>
  <si>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</si>
  <si>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</si>
  <si>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</si>
  <si>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</si>
  <si>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</si>
  <si>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</si>
  <si>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</si>
  <si>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</si>
  <si>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</si>
  <si>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</si>
  <si>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</si>
  <si>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</si>
  <si>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</si>
  <si>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</si>
  <si>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</si>
  <si>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</si>
  <si>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</si>
  <si>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</si>
  <si>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</si>
  <si>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</si>
  <si>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</si>
  <si>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</si>
  <si>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</si>
  <si>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</si>
  <si>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</si>
  <si>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</si>
  <si>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</si>
  <si>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</si>
  <si>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</si>
  <si>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</si>
  <si>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</si>
  <si>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</si>
  <si>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</si>
  <si>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</si>
  <si>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</si>
  <si>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</si>
  <si>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</si>
  <si>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</si>
  <si>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</si>
  <si>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</si>
  <si>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</si>
  <si>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</si>
  <si>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</si>
  <si>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</si>
  <si>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</si>
  <si>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</si>
  <si>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</si>
  <si>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</si>
  <si>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</si>
  <si>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</si>
  <si>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</si>
  <si>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</si>
  <si>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</si>
  <si>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</si>
  <si>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</si>
  <si>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</si>
  <si>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</si>
  <si>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</si>
  <si>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</si>
  <si>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</si>
  <si>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</si>
  <si>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</si>
  <si>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</si>
  <si>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</si>
  <si>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</si>
  <si>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</si>
  <si>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</si>
  <si>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</si>
  <si>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</si>
  <si>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</si>
  <si>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</si>
  <si>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</si>
  <si>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</si>
  <si>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</si>
  <si>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</si>
  <si>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</si>
  <si>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</si>
  <si>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</si>
  <si>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</si>
  <si>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</si>
  <si>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</si>
  <si>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</si>
  <si>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</si>
  <si>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</si>
  <si>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</si>
  <si>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</si>
  <si>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</si>
  <si>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</si>
  <si>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</si>
  <si>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</si>
  <si>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</si>
  <si>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</si>
  <si>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</si>
  <si>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</si>
  <si>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</si>
  <si>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</si>
  <si>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</si>
  <si>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</si>
  <si>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</si>
  <si>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</si>
  <si>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</si>
  <si>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</si>
  <si>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</si>
  <si>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</si>
  <si>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</si>
  <si>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</si>
  <si>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</si>
  <si>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</si>
  <si>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</si>
  <si>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</si>
  <si>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</si>
  <si>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</si>
  <si>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</si>
  <si>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</si>
  <si>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</si>
  <si>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</si>
  <si>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</si>
  <si>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</si>
  <si>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</si>
  <si>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</si>
  <si>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</si>
  <si>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</si>
  <si>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</si>
  <si>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</si>
  <si>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</si>
  <si>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</si>
  <si>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</si>
  <si>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</si>
  <si>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</si>
  <si>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</si>
  <si>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</si>
  <si>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</si>
  <si>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</si>
  <si>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</si>
  <si>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</si>
  <si>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</si>
  <si>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</si>
  <si>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</si>
  <si>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</si>
  <si>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</si>
  <si>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</si>
  <si>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</si>
  <si>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</si>
  <si>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</si>
  <si>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</si>
  <si>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</si>
  <si>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</si>
  <si>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</si>
  <si>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</si>
  <si>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</si>
  <si>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</si>
  <si>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</si>
  <si>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</si>
  <si>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</si>
  <si>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</si>
  <si>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</si>
  <si>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</si>
  <si>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</si>
  <si>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</si>
  <si>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</si>
  <si>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</si>
  <si>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</si>
  <si>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</si>
  <si>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</si>
  <si>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</si>
  <si>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</si>
  <si>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</si>
  <si>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</si>
  <si>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</si>
  <si>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</si>
  <si>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</si>
  <si>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</si>
  <si>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</si>
  <si>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</si>
  <si>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</si>
  <si>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</si>
  <si>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</si>
  <si>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</si>
  <si>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</si>
  <si>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</si>
  <si>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</si>
  <si>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</si>
  <si>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</si>
  <si>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</si>
  <si>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</si>
  <si>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</si>
  <si>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</si>
  <si>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</si>
  <si>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</si>
  <si>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</si>
  <si>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</si>
  <si>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</si>
  <si>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</si>
  <si>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</si>
  <si>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</si>
  <si>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</si>
  <si>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</si>
  <si>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</si>
  <si>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</si>
  <si>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</si>
  <si>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</si>
  <si>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</si>
  <si>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</si>
  <si>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</si>
  <si>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</si>
  <si>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</si>
  <si>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</si>
  <si>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</si>
  <si>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</si>
  <si>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</si>
  <si>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</si>
  <si>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</si>
  <si>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</si>
  <si>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</si>
  <si>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</si>
  <si>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</si>
  <si>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</si>
  <si>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</si>
  <si>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</si>
  <si>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</si>
  <si>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</si>
  <si>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</si>
  <si>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</si>
  <si>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</si>
  <si>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</si>
  <si>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</si>
  <si>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</si>
  <si>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</si>
  <si>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</si>
  <si>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</si>
  <si>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</si>
  <si>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</si>
  <si>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</si>
  <si>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</si>
  <si>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</si>
  <si>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</si>
  <si>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</si>
  <si>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</si>
  <si>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</si>
  <si>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</si>
  <si>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</si>
  <si>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</si>
  <si>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</si>
  <si>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</si>
  <si>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</si>
  <si>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</si>
  <si>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</si>
  <si>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</si>
  <si>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</si>
  <si>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</si>
  <si>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</si>
  <si>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</si>
  <si>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</si>
  <si>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</si>
  <si>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</si>
  <si>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</si>
  <si>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</si>
  <si>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</si>
  <si>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</si>
  <si>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</si>
  <si>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</si>
  <si>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</si>
  <si>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</si>
  <si>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</si>
  <si>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</si>
  <si>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</si>
  <si>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</si>
  <si>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</si>
  <si>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</si>
  <si>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</si>
  <si>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</si>
  <si>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</si>
  <si>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</si>
  <si>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</si>
  <si>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</si>
  <si>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</si>
  <si>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</si>
  <si>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</si>
  <si>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</si>
  <si>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</si>
  <si>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</si>
  <si>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</si>
  <si>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</si>
  <si>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</si>
  <si>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</si>
  <si>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</si>
  <si>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</si>
  <si>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</si>
  <si>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</si>
  <si>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</si>
  <si>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</si>
  <si>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</si>
  <si>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</si>
  <si>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</si>
  <si>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</si>
  <si>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</si>
  <si>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</si>
  <si>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</si>
  <si>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</si>
  <si>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</si>
  <si>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</si>
  <si>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</si>
  <si>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</si>
  <si>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</si>
  <si>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</si>
  <si>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</si>
  <si>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</si>
  <si>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</si>
  <si>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</si>
  <si>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</si>
  <si>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</si>
  <si>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</si>
  <si>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</si>
  <si>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</si>
  <si>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</si>
  <si>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</si>
  <si>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</si>
  <si>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</si>
  <si>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</si>
  <si>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</si>
  <si>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</si>
  <si>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</si>
  <si>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</si>
  <si>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</si>
  <si>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</si>
  <si>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</si>
  <si>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</si>
  <si>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</si>
  <si>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</si>
  <si>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</si>
  <si>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</si>
  <si>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</si>
  <si>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</si>
  <si>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</si>
  <si>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</si>
  <si>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</si>
  <si>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</si>
  <si>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</si>
  <si>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</si>
  <si>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</si>
  <si>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</si>
  <si>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</si>
  <si>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</si>
  <si>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</si>
  <si>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</si>
  <si>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</si>
  <si>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</si>
  <si>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</si>
  <si>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</si>
  <si>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</si>
  <si>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</si>
  <si>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</si>
  <si>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</si>
  <si>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</si>
  <si>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</si>
  <si>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</si>
  <si>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</si>
  <si>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</si>
  <si>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</si>
  <si>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</si>
  <si>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</si>
  <si>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</si>
  <si>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</si>
  <si>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</si>
  <si>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</si>
  <si>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</si>
  <si>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</si>
  <si>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</si>
  <si>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</si>
  <si>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</si>
  <si>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</si>
  <si>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</si>
  <si>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</si>
  <si>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</si>
  <si>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</si>
  <si>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</si>
  <si>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</si>
  <si>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</si>
  <si>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</si>
  <si>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</si>
  <si>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</si>
  <si>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</si>
  <si>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</si>
  <si>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</si>
  <si>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</si>
  <si>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</si>
  <si>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</si>
  <si>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</si>
  <si>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</si>
  <si>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</si>
  <si>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</si>
  <si>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</si>
  <si>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</si>
  <si>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</si>
  <si>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</si>
  <si>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</si>
  <si>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</si>
  <si>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</si>
  <si>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</si>
  <si>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</si>
  <si>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</si>
  <si>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</si>
  <si>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</si>
  <si>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</si>
  <si>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</si>
  <si>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</si>
  <si>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</si>
  <si>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</si>
  <si>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</si>
  <si>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</si>
  <si>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</si>
  <si>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</si>
  <si>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</si>
  <si>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</si>
  <si>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</si>
  <si>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</si>
  <si>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</si>
  <si>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</si>
  <si>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</si>
  <si>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</si>
  <si>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</si>
  <si>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</si>
  <si>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</si>
  <si>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</si>
  <si>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</si>
  <si>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</si>
  <si>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</si>
  <si>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</si>
  <si>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</si>
  <si>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</si>
  <si>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</si>
  <si>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</si>
  <si>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</si>
  <si>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</si>
  <si>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</si>
  <si>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</si>
  <si>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</si>
  <si>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</si>
  <si>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</si>
  <si>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</si>
  <si>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</si>
  <si>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</si>
  <si>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</si>
  <si>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</si>
  <si>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</si>
  <si>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</si>
  <si>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</si>
  <si>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</si>
  <si>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</si>
  <si>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</si>
  <si>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</si>
  <si>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</si>
  <si>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</si>
  <si>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</si>
  <si>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</si>
  <si>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</si>
  <si>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</si>
  <si>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</si>
  <si>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</si>
  <si>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</si>
  <si>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</si>
  <si>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</si>
  <si>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</si>
  <si>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</si>
  <si>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</si>
  <si>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</si>
  <si>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</si>
  <si>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</si>
  <si>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</si>
  <si>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</si>
  <si>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</si>
  <si>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</si>
  <si>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</si>
  <si>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</si>
  <si>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</si>
  <si>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</si>
  <si>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</si>
  <si>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</si>
  <si>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</si>
  <si>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</si>
  <si>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</si>
  <si>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</si>
  <si>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</si>
  <si>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</si>
  <si>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</si>
  <si>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</si>
  <si>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</si>
  <si>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</si>
  <si>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</si>
  <si>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</si>
  <si>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</si>
  <si>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</si>
  <si>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</si>
  <si>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</si>
  <si>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</si>
  <si>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</si>
  <si>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</si>
  <si>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</si>
  <si>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</si>
  <si>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</si>
  <si>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</si>
  <si>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</si>
  <si>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</si>
  <si>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</si>
  <si>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</si>
  <si>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</si>
  <si>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</si>
  <si>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</si>
  <si>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</si>
  <si>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</si>
  <si>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</si>
  <si>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</si>
  <si>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</si>
  <si>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</si>
  <si>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</si>
  <si>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</si>
  <si>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</si>
  <si>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</si>
  <si>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</si>
  <si>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</si>
  <si>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</si>
  <si>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</si>
  <si>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</si>
  <si>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</si>
  <si>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</si>
  <si>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</si>
  <si>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</si>
  <si>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</si>
  <si>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</si>
  <si>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</si>
  <si>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</si>
  <si>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</si>
  <si>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</si>
  <si>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</si>
  <si>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</si>
  <si>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</si>
  <si>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</si>
  <si>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</si>
  <si>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</si>
  <si>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</si>
  <si>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</si>
  <si>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</si>
  <si>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</si>
  <si>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</si>
  <si>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</si>
  <si>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</si>
  <si>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</si>
  <si>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</si>
  <si>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</si>
  <si>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</si>
  <si>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</si>
  <si>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</si>
  <si>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</si>
  <si>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</si>
  <si>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</si>
  <si>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</si>
  <si>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</si>
  <si>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</si>
  <si>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</si>
  <si>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</si>
  <si>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</si>
  <si>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</si>
  <si>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</si>
  <si>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</si>
  <si>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</si>
  <si>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</si>
  <si>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</si>
  <si>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</si>
  <si>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</si>
  <si>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</si>
  <si>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</si>
  <si>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</si>
  <si>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</si>
  <si>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</si>
  <si>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</si>
  <si>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</si>
  <si>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</si>
  <si>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</si>
  <si>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</si>
  <si>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</si>
  <si>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</si>
  <si>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</si>
  <si>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</si>
  <si>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</si>
  <si>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</si>
  <si>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</si>
  <si>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</si>
  <si>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</si>
  <si>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</si>
  <si>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</si>
  <si>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</si>
  <si>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</si>
  <si>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</si>
  <si>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</si>
  <si>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</si>
  <si>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</si>
  <si>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</si>
  <si>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</si>
  <si>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</si>
  <si>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</si>
  <si>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</si>
  <si>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</si>
  <si>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</si>
  <si>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</si>
  <si>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</si>
  <si>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</si>
  <si>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</si>
  <si>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</si>
  <si>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</si>
  <si>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</si>
  <si>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</si>
  <si>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</si>
  <si>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</si>
  <si>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</si>
  <si>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</si>
  <si>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</si>
  <si>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</si>
  <si>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</si>
  <si>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</si>
  <si>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</si>
  <si>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</si>
  <si>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</si>
  <si>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</si>
  <si>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</si>
  <si>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</si>
  <si>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</si>
  <si>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</si>
  <si>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</si>
  <si>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</si>
  <si>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</si>
  <si>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</si>
  <si>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</si>
  <si>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</si>
  <si>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</si>
  <si>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</si>
  <si>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</si>
  <si>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</si>
  <si>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</si>
  <si>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</si>
  <si>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</si>
  <si>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</si>
  <si>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</si>
  <si>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</si>
  <si>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</si>
  <si>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</si>
  <si>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</si>
  <si>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</si>
  <si>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</si>
  <si>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</si>
  <si>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</si>
  <si>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</si>
  <si>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</si>
  <si>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</si>
  <si>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</si>
  <si>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</si>
  <si>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</si>
  <si>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</si>
  <si>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</si>
  <si>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</si>
  <si>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</si>
  <si>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</si>
  <si>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</si>
  <si>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</si>
  <si>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</si>
  <si>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</si>
  <si>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</si>
  <si>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</si>
  <si>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</si>
  <si>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</si>
  <si>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</si>
  <si>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</si>
  <si>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</si>
  <si>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</si>
  <si>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</si>
  <si>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</si>
  <si>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</si>
  <si>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</si>
  <si>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</si>
  <si>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</si>
  <si>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</si>
  <si>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</si>
  <si>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</si>
  <si>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</si>
  <si>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</si>
  <si>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</si>
  <si>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</si>
  <si>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</si>
  <si>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</si>
  <si>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</si>
  <si>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</si>
  <si>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</si>
  <si>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</si>
  <si>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</si>
  <si>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</si>
  <si>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</si>
  <si>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</si>
  <si>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</si>
  <si>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</si>
  <si>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</si>
  <si>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</si>
  <si>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</si>
  <si>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</si>
  <si>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</si>
  <si>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</si>
  <si>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</si>
  <si>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</si>
  <si>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</si>
  <si>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</si>
  <si>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</si>
  <si>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</si>
  <si>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</si>
  <si>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</si>
  <si>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</si>
  <si>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</si>
  <si>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</si>
  <si>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</si>
  <si>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</si>
  <si>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</si>
  <si>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</si>
  <si>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</si>
  <si>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</si>
  <si>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</si>
  <si>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</si>
  <si>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</si>
  <si>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</si>
  <si>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</si>
  <si>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</si>
  <si>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</si>
  <si>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</si>
  <si>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</si>
  <si>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</si>
  <si>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</si>
  <si>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</si>
  <si>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</si>
  <si>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</si>
  <si>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</si>
  <si>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</si>
  <si>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</si>
  <si>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</si>
  <si>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</si>
  <si>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</si>
  <si>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</si>
  <si>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</si>
  <si>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</si>
  <si>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</si>
  <si>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</si>
  <si>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</si>
  <si>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</si>
  <si>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</si>
  <si>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</si>
  <si>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</si>
  <si>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</si>
  <si>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</si>
  <si>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</si>
  <si>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</si>
  <si>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</si>
  <si>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</si>
  <si>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</si>
  <si>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</si>
  <si>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</si>
  <si>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</si>
  <si>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</si>
  <si>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</si>
  <si>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</si>
  <si>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</si>
  <si>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</si>
  <si>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</si>
  <si>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</si>
  <si>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</si>
  <si>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</si>
  <si>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</si>
  <si>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</si>
  <si>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</si>
  <si>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</si>
  <si>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</si>
  <si>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</si>
  <si>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</si>
  <si>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</si>
  <si>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</si>
  <si>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</si>
  <si>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</si>
  <si>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</si>
  <si>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</si>
  <si>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</si>
  <si>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</si>
  <si>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</si>
  <si>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</si>
  <si>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</si>
  <si>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</si>
  <si>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</si>
  <si>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</si>
  <si>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</si>
  <si>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</si>
  <si>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</si>
  <si>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</si>
  <si>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</si>
  <si>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</si>
  <si>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</si>
  <si>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</si>
  <si>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71053</t>
  </si>
  <si>
    <t>SINT-TRUIDEN</t>
  </si>
  <si>
    <t>Eandis (januari 2018); Infrax (juni 2018)</t>
  </si>
  <si>
    <t>MOW (september 2017)</t>
  </si>
  <si>
    <t>referentietaak LNE (2017); Jaarverslag De Lijn (2016)</t>
  </si>
  <si>
    <t>VEA (april 2018)</t>
  </si>
  <si>
    <t>VEA (januari 2017)</t>
  </si>
  <si>
    <t>VEA (juni 2018)</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</si>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</sst>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383820.51809024636</c:v>
                </c:pt>
                <c:pt idx="1">
                  <c:v>211284.25883491151</c:v>
                </c:pt>
                <c:pt idx="2">
                  <c:v>2350.319</c:v>
                </c:pt>
                <c:pt idx="3">
                  <c:v>63572.525231764645</c:v>
                </c:pt>
                <c:pt idx="4">
                  <c:v>160322.61321922237</c:v>
                </c:pt>
                <c:pt idx="5">
                  <c:v>257115.73581739998</c:v>
                </c:pt>
                <c:pt idx="6">
                  <c:v>5588.4351100645636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4096"/>
        <c:axId val="75765632"/>
      </c:barChart>
      <c:catAx>
        <c:axId val="75764096"/>
        <c:scaling>
          <c:orientation val="minMax"/>
        </c:scaling>
        <c:axPos val="b"/>
        <c:numFmt formatCode="General" sourceLinked="0"/>
        <c:tickLblPos val="nextTo"/>
        <c:crossAx val="75765632"/>
        <c:crosses val="autoZero"/>
        <c:auto val="1"/>
        <c:lblAlgn val="ctr"/>
        <c:lblOffset val="100"/>
      </c:catAx>
      <c:valAx>
        <c:axId val="75765632"/>
        <c:scaling>
          <c:orientation val="minMax"/>
        </c:scaling>
        <c:axPos val="l"/>
        <c:majorGridlines>
          <c:spPr>
            <a:ln>
              <a:noFill/>
            </a:ln>
          </c:spPr>
        </c:majorGridlines>
        <c:numFmt formatCode="#,##0" sourceLinked="1"/>
        <c:tickLblPos val="nextTo"/>
        <c:crossAx val="75764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383820.51809024636</c:v>
                </c:pt>
                <c:pt idx="1">
                  <c:v>211284.25883491151</c:v>
                </c:pt>
                <c:pt idx="2">
                  <c:v>2350.319</c:v>
                </c:pt>
                <c:pt idx="3">
                  <c:v>63572.525231764645</c:v>
                </c:pt>
                <c:pt idx="4">
                  <c:v>160322.61321922237</c:v>
                </c:pt>
                <c:pt idx="5">
                  <c:v>257115.73581739998</c:v>
                </c:pt>
                <c:pt idx="6">
                  <c:v>5588.4351100645636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75903.628872805624</c:v>
                </c:pt>
                <c:pt idx="2">
                  <c:v>42118.880661478404</c:v>
                </c:pt>
                <c:pt idx="3">
                  <c:v>472.69318429832111</c:v>
                </c:pt>
                <c:pt idx="4">
                  <c:v>15976.348451374795</c:v>
                </c:pt>
                <c:pt idx="5">
                  <c:v>32273.504755773793</c:v>
                </c:pt>
                <c:pt idx="6">
                  <c:v>64300.785038727248</c:v>
                </c:pt>
                <c:pt idx="7">
                  <c:v>1411.9212787864994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3504"/>
        <c:axId val="156455296"/>
      </c:barChart>
      <c:catAx>
        <c:axId val="156453504"/>
        <c:scaling>
          <c:orientation val="minMax"/>
        </c:scaling>
        <c:axPos val="b"/>
        <c:numFmt formatCode="General" sourceLinked="0"/>
        <c:tickLblPos val="nextTo"/>
        <c:crossAx val="156455296"/>
        <c:crosses val="autoZero"/>
        <c:auto val="1"/>
        <c:lblAlgn val="ctr"/>
        <c:lblOffset val="100"/>
      </c:catAx>
      <c:valAx>
        <c:axId val="156455296"/>
        <c:scaling>
          <c:orientation val="minMax"/>
        </c:scaling>
        <c:axPos val="l"/>
        <c:majorGridlines>
          <c:spPr>
            <a:ln>
              <a:noFill/>
            </a:ln>
          </c:spPr>
        </c:majorGridlines>
        <c:numFmt formatCode="#,##0" sourceLinked="1"/>
        <c:tickLblPos val="nextTo"/>
        <c:crossAx val="1564535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75903.628872805624</c:v>
                </c:pt>
                <c:pt idx="2">
                  <c:v>42118.880661478404</c:v>
                </c:pt>
                <c:pt idx="3">
                  <c:v>472.69318429832111</c:v>
                </c:pt>
                <c:pt idx="4">
                  <c:v>15976.348451374795</c:v>
                </c:pt>
                <c:pt idx="5">
                  <c:v>32273.504755773793</c:v>
                </c:pt>
                <c:pt idx="6">
                  <c:v>64300.785038727248</c:v>
                </c:pt>
                <c:pt idx="7">
                  <c:v>1411.9212787864994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71053</v>
      </c>
      <c r="B6" s="415"/>
      <c r="C6" s="416"/>
    </row>
    <row r="7" spans="1:7" s="413" customFormat="1" ht="15.75" customHeight="1">
      <c r="A7" s="417" t="str">
        <f>txtMunicipality</f>
        <v>SINT-TRUIDEN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0.20111873507312034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0.20111873507312034</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17495</v>
      </c>
      <c r="C9" s="342">
        <v>18529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6262.51</v>
      </c>
    </row>
    <row r="15" spans="1:6">
      <c r="A15" s="348" t="s">
        <v>184</v>
      </c>
      <c r="B15" s="334">
        <v>7</v>
      </c>
    </row>
    <row r="16" spans="1:6">
      <c r="A16" s="348" t="s">
        <v>6</v>
      </c>
      <c r="B16" s="334">
        <v>169</v>
      </c>
    </row>
    <row r="17" spans="1:6">
      <c r="A17" s="348" t="s">
        <v>7</v>
      </c>
      <c r="B17" s="334">
        <v>1075</v>
      </c>
    </row>
    <row r="18" spans="1:6">
      <c r="A18" s="348" t="s">
        <v>8</v>
      </c>
      <c r="B18" s="334">
        <v>997</v>
      </c>
    </row>
    <row r="19" spans="1:6">
      <c r="A19" s="348" t="s">
        <v>9</v>
      </c>
      <c r="B19" s="334">
        <v>721</v>
      </c>
    </row>
    <row r="20" spans="1:6">
      <c r="A20" s="348" t="s">
        <v>10</v>
      </c>
      <c r="B20" s="334">
        <v>461</v>
      </c>
    </row>
    <row r="21" spans="1:6">
      <c r="A21" s="348" t="s">
        <v>11</v>
      </c>
      <c r="B21" s="334">
        <v>1767</v>
      </c>
    </row>
    <row r="22" spans="1:6">
      <c r="A22" s="348" t="s">
        <v>12</v>
      </c>
      <c r="B22" s="334">
        <v>7148</v>
      </c>
    </row>
    <row r="23" spans="1:6">
      <c r="A23" s="348" t="s">
        <v>13</v>
      </c>
      <c r="B23" s="334">
        <v>27</v>
      </c>
    </row>
    <row r="24" spans="1:6">
      <c r="A24" s="348" t="s">
        <v>14</v>
      </c>
      <c r="B24" s="334">
        <v>4</v>
      </c>
    </row>
    <row r="25" spans="1:6">
      <c r="A25" s="348" t="s">
        <v>15</v>
      </c>
      <c r="B25" s="334">
        <v>225</v>
      </c>
    </row>
    <row r="26" spans="1:6">
      <c r="A26" s="348" t="s">
        <v>16</v>
      </c>
      <c r="B26" s="334">
        <v>168</v>
      </c>
    </row>
    <row r="27" spans="1:6">
      <c r="A27" s="348" t="s">
        <v>17</v>
      </c>
      <c r="B27" s="334">
        <v>8</v>
      </c>
    </row>
    <row r="28" spans="1:6" s="356" customFormat="1">
      <c r="A28" s="355" t="s">
        <v>18</v>
      </c>
      <c r="B28" s="355">
        <v>147565</v>
      </c>
    </row>
    <row r="29" spans="1:6">
      <c r="A29" s="355" t="s">
        <v>744</v>
      </c>
      <c r="B29" s="355">
        <v>186</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35569</v>
      </c>
    </row>
    <row r="36" spans="1:6">
      <c r="A36" s="348" t="s">
        <v>25</v>
      </c>
      <c r="B36" s="348" t="s">
        <v>27</v>
      </c>
      <c r="C36" s="334">
        <v>0</v>
      </c>
      <c r="D36" s="334">
        <v>0</v>
      </c>
      <c r="E36" s="334">
        <v>10</v>
      </c>
      <c r="F36" s="334">
        <v>44491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10888</v>
      </c>
      <c r="D39" s="334">
        <v>201630184.05000001</v>
      </c>
      <c r="E39" s="334">
        <v>17506</v>
      </c>
      <c r="F39" s="334">
        <v>56932457.549999803</v>
      </c>
    </row>
    <row r="40" spans="1:6">
      <c r="A40" s="348" t="s">
        <v>30</v>
      </c>
      <c r="B40" s="348" t="s">
        <v>29</v>
      </c>
      <c r="C40" s="334">
        <v>0</v>
      </c>
      <c r="D40" s="334">
        <v>0</v>
      </c>
      <c r="E40" s="334">
        <v>0</v>
      </c>
      <c r="F40" s="334">
        <v>0</v>
      </c>
    </row>
    <row r="41" spans="1:6">
      <c r="A41" s="348" t="s">
        <v>32</v>
      </c>
      <c r="B41" s="348" t="s">
        <v>33</v>
      </c>
      <c r="C41" s="334">
        <v>123</v>
      </c>
      <c r="D41" s="334">
        <v>3499236.8</v>
      </c>
      <c r="E41" s="334">
        <v>284</v>
      </c>
      <c r="F41" s="334">
        <v>5341062.5259999996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48425907.946999997</v>
      </c>
      <c r="E44" s="334">
        <v>39</v>
      </c>
      <c r="F44" s="334">
        <v>72854045.909999996</v>
      </c>
    </row>
    <row r="45" spans="1:6">
      <c r="A45" s="348" t="s">
        <v>32</v>
      </c>
      <c r="B45" s="348" t="s">
        <v>37</v>
      </c>
      <c r="C45" s="334">
        <v>6</v>
      </c>
      <c r="D45" s="334">
        <v>31250</v>
      </c>
      <c r="E45" s="334">
        <v>12</v>
      </c>
      <c r="F45" s="334">
        <v>697343</v>
      </c>
    </row>
    <row r="46" spans="1:6">
      <c r="A46" s="348" t="s">
        <v>32</v>
      </c>
      <c r="B46" s="348" t="s">
        <v>38</v>
      </c>
      <c r="C46" s="334">
        <v>0</v>
      </c>
      <c r="D46" s="334">
        <v>0</v>
      </c>
      <c r="E46" s="334">
        <v>0</v>
      </c>
      <c r="F46" s="334">
        <v>0</v>
      </c>
    </row>
    <row r="47" spans="1:6">
      <c r="A47" s="348" t="s">
        <v>32</v>
      </c>
      <c r="B47" s="348" t="s">
        <v>39</v>
      </c>
      <c r="C47" s="334">
        <v>7</v>
      </c>
      <c r="D47" s="334">
        <v>189384</v>
      </c>
      <c r="E47" s="334">
        <v>11</v>
      </c>
      <c r="F47" s="334">
        <v>154734</v>
      </c>
    </row>
    <row r="48" spans="1:6">
      <c r="A48" s="348" t="s">
        <v>32</v>
      </c>
      <c r="B48" s="348" t="s">
        <v>29</v>
      </c>
      <c r="C48" s="334">
        <v>3</v>
      </c>
      <c r="D48" s="334">
        <v>224115</v>
      </c>
      <c r="E48" s="334">
        <v>4</v>
      </c>
      <c r="F48" s="334">
        <v>372228</v>
      </c>
    </row>
    <row r="49" spans="1:6">
      <c r="A49" s="348" t="s">
        <v>32</v>
      </c>
      <c r="B49" s="348" t="s">
        <v>40</v>
      </c>
      <c r="C49" s="334">
        <v>5</v>
      </c>
      <c r="D49" s="334">
        <v>139710.54999999999</v>
      </c>
      <c r="E49" s="334">
        <v>6</v>
      </c>
      <c r="F49" s="334">
        <v>36293.050000000003</v>
      </c>
    </row>
    <row r="50" spans="1:6">
      <c r="A50" s="348" t="s">
        <v>32</v>
      </c>
      <c r="B50" s="348" t="s">
        <v>41</v>
      </c>
      <c r="C50" s="334">
        <v>24</v>
      </c>
      <c r="D50" s="334">
        <v>1822890.55</v>
      </c>
      <c r="E50" s="334">
        <v>33</v>
      </c>
      <c r="F50" s="334">
        <v>12909098.851</v>
      </c>
    </row>
    <row r="51" spans="1:6">
      <c r="A51" s="348" t="s">
        <v>42</v>
      </c>
      <c r="B51" s="348" t="s">
        <v>43</v>
      </c>
      <c r="C51" s="334">
        <v>37</v>
      </c>
      <c r="D51" s="334">
        <v>7065912.3619999997</v>
      </c>
      <c r="E51" s="334">
        <v>256</v>
      </c>
      <c r="F51" s="334">
        <v>10711000.41</v>
      </c>
    </row>
    <row r="52" spans="1:6">
      <c r="A52" s="348" t="s">
        <v>42</v>
      </c>
      <c r="B52" s="348" t="s">
        <v>29</v>
      </c>
      <c r="C52" s="334">
        <v>0</v>
      </c>
      <c r="D52" s="334">
        <v>0</v>
      </c>
      <c r="E52" s="334">
        <v>0</v>
      </c>
      <c r="F52" s="334">
        <v>0</v>
      </c>
    </row>
    <row r="53" spans="1:6">
      <c r="A53" s="348" t="s">
        <v>44</v>
      </c>
      <c r="B53" s="348" t="s">
        <v>45</v>
      </c>
      <c r="C53" s="334">
        <v>214</v>
      </c>
      <c r="D53" s="334">
        <v>9527479.2689999994</v>
      </c>
      <c r="E53" s="334">
        <v>430</v>
      </c>
      <c r="F53" s="334">
        <v>2184043.75</v>
      </c>
    </row>
    <row r="54" spans="1:6">
      <c r="A54" s="348" t="s">
        <v>46</v>
      </c>
      <c r="B54" s="348" t="s">
        <v>47</v>
      </c>
      <c r="C54" s="334">
        <v>0</v>
      </c>
      <c r="D54" s="334">
        <v>0</v>
      </c>
      <c r="E54" s="334">
        <v>3</v>
      </c>
      <c r="F54" s="334">
        <v>2350319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153</v>
      </c>
      <c r="D57" s="334">
        <v>10816923.828</v>
      </c>
      <c r="E57" s="334">
        <v>262</v>
      </c>
      <c r="F57" s="334">
        <v>10710620.449999999</v>
      </c>
    </row>
    <row r="58" spans="1:6">
      <c r="A58" s="348" t="s">
        <v>49</v>
      </c>
      <c r="B58" s="348" t="s">
        <v>51</v>
      </c>
      <c r="C58" s="334">
        <v>123</v>
      </c>
      <c r="D58" s="334">
        <v>24631720.993999999</v>
      </c>
      <c r="E58" s="334">
        <v>177</v>
      </c>
      <c r="F58" s="334">
        <v>11733383.317</v>
      </c>
    </row>
    <row r="59" spans="1:6">
      <c r="A59" s="348" t="s">
        <v>49</v>
      </c>
      <c r="B59" s="348" t="s">
        <v>52</v>
      </c>
      <c r="C59" s="334">
        <v>404</v>
      </c>
      <c r="D59" s="334">
        <v>18492632.778999999</v>
      </c>
      <c r="E59" s="334">
        <v>733</v>
      </c>
      <c r="F59" s="334">
        <v>44144124.869999997</v>
      </c>
    </row>
    <row r="60" spans="1:6">
      <c r="A60" s="348" t="s">
        <v>49</v>
      </c>
      <c r="B60" s="348" t="s">
        <v>53</v>
      </c>
      <c r="C60" s="334">
        <v>182</v>
      </c>
      <c r="D60" s="334">
        <v>7424340.5499999998</v>
      </c>
      <c r="E60" s="334">
        <v>285</v>
      </c>
      <c r="F60" s="334">
        <v>6543198.4819999998</v>
      </c>
    </row>
    <row r="61" spans="1:6">
      <c r="A61" s="348" t="s">
        <v>49</v>
      </c>
      <c r="B61" s="348" t="s">
        <v>54</v>
      </c>
      <c r="C61" s="334">
        <v>338</v>
      </c>
      <c r="D61" s="334">
        <v>34160011.442000002</v>
      </c>
      <c r="E61" s="334">
        <v>790</v>
      </c>
      <c r="F61" s="334">
        <v>16871085.579999998</v>
      </c>
    </row>
    <row r="62" spans="1:6">
      <c r="A62" s="348" t="s">
        <v>49</v>
      </c>
      <c r="B62" s="348" t="s">
        <v>55</v>
      </c>
      <c r="C62" s="334">
        <v>45</v>
      </c>
      <c r="D62" s="334">
        <v>6328806.7819999997</v>
      </c>
      <c r="E62" s="334">
        <v>62</v>
      </c>
      <c r="F62" s="334">
        <v>2351074.2769999998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172839.576</v>
      </c>
      <c r="E65" s="334">
        <v>0</v>
      </c>
      <c r="F65" s="334">
        <v>0</v>
      </c>
    </row>
    <row r="66" spans="1:6">
      <c r="A66" s="348" t="s">
        <v>56</v>
      </c>
      <c r="B66" s="348" t="s">
        <v>58</v>
      </c>
      <c r="C66" s="334">
        <v>0</v>
      </c>
      <c r="D66" s="334">
        <v>0</v>
      </c>
      <c r="E66" s="334">
        <v>34</v>
      </c>
      <c r="F66" s="334">
        <v>1211779.652</v>
      </c>
    </row>
    <row r="67" spans="1:6">
      <c r="A67" s="355" t="s">
        <v>56</v>
      </c>
      <c r="B67" s="355" t="s">
        <v>59</v>
      </c>
      <c r="C67" s="334">
        <v>0</v>
      </c>
      <c r="D67" s="334">
        <v>0</v>
      </c>
      <c r="E67" s="334">
        <v>0</v>
      </c>
      <c r="F67" s="334">
        <v>0</v>
      </c>
    </row>
    <row r="68" spans="1:6">
      <c r="A68" s="341" t="s">
        <v>56</v>
      </c>
      <c r="B68" s="341" t="s">
        <v>60</v>
      </c>
      <c r="C68" s="334">
        <v>16</v>
      </c>
      <c r="D68" s="334">
        <v>381354.6</v>
      </c>
      <c r="E68" s="334">
        <v>39</v>
      </c>
      <c r="F68" s="334">
        <v>1583832.15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225781048</v>
      </c>
      <c r="E73" s="475">
        <v>201548004.62065986</v>
      </c>
    </row>
    <row r="74" spans="1:6">
      <c r="A74" s="348" t="s">
        <v>64</v>
      </c>
      <c r="B74" s="348" t="s">
        <v>657</v>
      </c>
      <c r="C74" s="1295" t="s">
        <v>659</v>
      </c>
      <c r="D74" s="475">
        <v>18342281.5</v>
      </c>
      <c r="E74" s="475">
        <v>17534596.83379944</v>
      </c>
    </row>
    <row r="75" spans="1:6">
      <c r="A75" s="348" t="s">
        <v>65</v>
      </c>
      <c r="B75" s="348" t="s">
        <v>656</v>
      </c>
      <c r="C75" s="1295" t="s">
        <v>660</v>
      </c>
      <c r="D75" s="475">
        <v>77771484</v>
      </c>
      <c r="E75" s="475">
        <v>73746849.095485121</v>
      </c>
    </row>
    <row r="76" spans="1:6">
      <c r="A76" s="348" t="s">
        <v>65</v>
      </c>
      <c r="B76" s="348" t="s">
        <v>657</v>
      </c>
      <c r="C76" s="1295" t="s">
        <v>661</v>
      </c>
      <c r="D76" s="475">
        <v>950495.5</v>
      </c>
      <c r="E76" s="475">
        <v>822502.10102961864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1515677</v>
      </c>
      <c r="C83" s="475">
        <v>1549853.9494049749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7405.8374375333478</v>
      </c>
    </row>
    <row r="92" spans="1:6">
      <c r="A92" s="341" t="s">
        <v>69</v>
      </c>
      <c r="B92" s="342">
        <v>15935.106982024574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6223</v>
      </c>
    </row>
    <row r="98" spans="1:6">
      <c r="A98" s="348" t="s">
        <v>72</v>
      </c>
      <c r="B98" s="334">
        <v>8</v>
      </c>
    </row>
    <row r="99" spans="1:6">
      <c r="A99" s="348" t="s">
        <v>73</v>
      </c>
      <c r="B99" s="334">
        <v>93</v>
      </c>
    </row>
    <row r="100" spans="1:6">
      <c r="A100" s="348" t="s">
        <v>74</v>
      </c>
      <c r="B100" s="334">
        <v>422</v>
      </c>
    </row>
    <row r="101" spans="1:6">
      <c r="A101" s="348" t="s">
        <v>75</v>
      </c>
      <c r="B101" s="334">
        <v>99</v>
      </c>
    </row>
    <row r="102" spans="1:6">
      <c r="A102" s="348" t="s">
        <v>76</v>
      </c>
      <c r="B102" s="334">
        <v>212</v>
      </c>
    </row>
    <row r="103" spans="1:6">
      <c r="A103" s="348" t="s">
        <v>77</v>
      </c>
      <c r="B103" s="334">
        <v>294</v>
      </c>
    </row>
    <row r="104" spans="1:6">
      <c r="A104" s="348" t="s">
        <v>78</v>
      </c>
      <c r="B104" s="334">
        <v>7679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70</v>
      </c>
      <c r="C123" s="334">
        <v>33</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271</v>
      </c>
    </row>
    <row r="130" spans="1:6">
      <c r="A130" s="348" t="s">
        <v>295</v>
      </c>
      <c r="B130" s="334">
        <v>0</v>
      </c>
    </row>
    <row r="131" spans="1:6">
      <c r="A131" s="348" t="s">
        <v>296</v>
      </c>
      <c r="B131" s="334">
        <v>3</v>
      </c>
    </row>
    <row r="132" spans="1:6">
      <c r="A132" s="341" t="s">
        <v>297</v>
      </c>
      <c r="B132" s="342">
        <v>75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264940.21903243434</v>
      </c>
      <c r="C3" s="43" t="s">
        <v>170</v>
      </c>
      <c r="D3" s="43"/>
      <c r="E3" s="154"/>
      <c r="F3" s="43"/>
      <c r="G3" s="43"/>
      <c r="H3" s="43"/>
      <c r="I3" s="43"/>
      <c r="J3" s="43"/>
      <c r="K3" s="96"/>
    </row>
    <row r="4" spans="1:11">
      <c r="A4" s="383" t="s">
        <v>171</v>
      </c>
      <c r="B4" s="49">
        <f>IF(ISERROR('SEAP template'!B78+'SEAP template'!C78),0,'SEAP template'!B78+'SEAP template'!C78)</f>
        <v>23859.794419557918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5.6678823529411773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0.20111873507312034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8.0969747899159685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2350.319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2350.319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0.20111873507312034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472.69318429832111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56932.457549999803</v>
      </c>
      <c r="C5" s="17">
        <f>IF(ISERROR('Eigen informatie GS &amp; warmtenet'!B57),0,'Eigen informatie GS &amp; warmtenet'!B57)</f>
        <v>0</v>
      </c>
      <c r="D5" s="30">
        <f>(SUM(HH_hh_gas_kWh,HH_rest_gas_kWh)/1000)*0.902</f>
        <v>181870.42601310002</v>
      </c>
      <c r="E5" s="17">
        <f>B46*B57</f>
        <v>9552.2018124603837</v>
      </c>
      <c r="F5" s="17">
        <f>B51*B62</f>
        <v>90104.181655718974</v>
      </c>
      <c r="G5" s="18"/>
      <c r="H5" s="17"/>
      <c r="I5" s="17"/>
      <c r="J5" s="17">
        <f>B50*B61+C50*C61</f>
        <v>0</v>
      </c>
      <c r="K5" s="17"/>
      <c r="L5" s="17"/>
      <c r="M5" s="17"/>
      <c r="N5" s="17">
        <f>B48*B59+C48*C59</f>
        <v>34653.603621433816</v>
      </c>
      <c r="O5" s="17">
        <f>B69*B70*B71</f>
        <v>479.94333333333338</v>
      </c>
      <c r="P5" s="17">
        <f>B77*B78*B79/1000-B77*B78*B79/1000/B80</f>
        <v>2821.8666666666668</v>
      </c>
    </row>
    <row r="6" spans="1:16">
      <c r="A6" s="16" t="s">
        <v>621</v>
      </c>
      <c r="B6" s="788">
        <f>kWh_PV_kleiner_dan_10kW</f>
        <v>7405.8374375333478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64338.294987533154</v>
      </c>
      <c r="C8" s="21">
        <f>C5</f>
        <v>0</v>
      </c>
      <c r="D8" s="21">
        <f>D5</f>
        <v>181870.42601310002</v>
      </c>
      <c r="E8" s="21">
        <f>E5</f>
        <v>9552.2018124603837</v>
      </c>
      <c r="F8" s="21">
        <f>F5</f>
        <v>90104.181655718974</v>
      </c>
      <c r="G8" s="21"/>
      <c r="H8" s="21"/>
      <c r="I8" s="21"/>
      <c r="J8" s="21">
        <f>J5</f>
        <v>0</v>
      </c>
      <c r="K8" s="21"/>
      <c r="L8" s="21">
        <f>L5</f>
        <v>0</v>
      </c>
      <c r="M8" s="21">
        <f>M5</f>
        <v>0</v>
      </c>
      <c r="N8" s="21">
        <f>N5</f>
        <v>34653.603621433816</v>
      </c>
      <c r="O8" s="21">
        <f>O5</f>
        <v>479.94333333333338</v>
      </c>
      <c r="P8" s="21">
        <f>P5</f>
        <v>2821.8666666666668</v>
      </c>
    </row>
    <row r="9" spans="1:16">
      <c r="B9" s="19"/>
      <c r="C9" s="19"/>
      <c r="D9" s="258"/>
      <c r="E9" s="19"/>
      <c r="F9" s="19"/>
      <c r="G9" s="19"/>
      <c r="H9" s="19"/>
      <c r="I9" s="19"/>
      <c r="J9" s="19"/>
      <c r="K9" s="19"/>
      <c r="L9" s="19"/>
      <c r="M9" s="19"/>
      <c r="N9" s="19"/>
      <c r="O9" s="19"/>
      <c r="P9" s="19"/>
    </row>
    <row r="10" spans="1:16">
      <c r="A10" s="24" t="s">
        <v>214</v>
      </c>
      <c r="B10" s="25">
        <f ca="1">'EF ele_warmte'!B12</f>
        <v>0.20111873507312034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12939.636504653947</v>
      </c>
      <c r="C12" s="23">
        <f ca="1">C10*C8</f>
        <v>0</v>
      </c>
      <c r="D12" s="23">
        <f>D8*D10</f>
        <v>36737.826054646204</v>
      </c>
      <c r="E12" s="23">
        <f>E10*E8</f>
        <v>2168.3498114285071</v>
      </c>
      <c r="F12" s="23">
        <f>F10*F8</f>
        <v>24057.816502076967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6223</v>
      </c>
      <c r="C18" s="166" t="s">
        <v>111</v>
      </c>
      <c r="D18" s="228"/>
      <c r="E18" s="15"/>
    </row>
    <row r="19" spans="1:7">
      <c r="A19" s="171" t="s">
        <v>72</v>
      </c>
      <c r="B19" s="37">
        <f>aantalw2001_ander</f>
        <v>8</v>
      </c>
      <c r="C19" s="166" t="s">
        <v>111</v>
      </c>
      <c r="D19" s="229"/>
      <c r="E19" s="15"/>
    </row>
    <row r="20" spans="1:7">
      <c r="A20" s="171" t="s">
        <v>73</v>
      </c>
      <c r="B20" s="37">
        <f>aantalw2001_propaan</f>
        <v>93</v>
      </c>
      <c r="C20" s="167">
        <f>IF(ISERROR(B20/SUM($B$20,$B$21,$B$22)*100),0,B20/SUM($B$20,$B$21,$B$22)*100)</f>
        <v>15.146579804560261</v>
      </c>
      <c r="D20" s="229"/>
      <c r="E20" s="15"/>
    </row>
    <row r="21" spans="1:7">
      <c r="A21" s="171" t="s">
        <v>74</v>
      </c>
      <c r="B21" s="37">
        <f>aantalw2001_elektriciteit</f>
        <v>422</v>
      </c>
      <c r="C21" s="167">
        <f>IF(ISERROR(B21/SUM($B$20,$B$21,$B$22)*100),0,B21/SUM($B$20,$B$21,$B$22)*100)</f>
        <v>68.729641693811075</v>
      </c>
      <c r="D21" s="229"/>
      <c r="E21" s="15"/>
    </row>
    <row r="22" spans="1:7">
      <c r="A22" s="171" t="s">
        <v>75</v>
      </c>
      <c r="B22" s="37">
        <f>aantalw2001_hout</f>
        <v>99</v>
      </c>
      <c r="C22" s="167">
        <f>IF(ISERROR(B22/SUM($B$20,$B$21,$B$22)*100),0,B22/SUM($B$20,$B$21,$B$22)*100)</f>
        <v>16.123778501628664</v>
      </c>
      <c r="D22" s="229"/>
      <c r="E22" s="15"/>
    </row>
    <row r="23" spans="1:7">
      <c r="A23" s="171" t="s">
        <v>76</v>
      </c>
      <c r="B23" s="37">
        <f>aantalw2001_niet_gespec</f>
        <v>212</v>
      </c>
      <c r="C23" s="166" t="s">
        <v>111</v>
      </c>
      <c r="D23" s="228"/>
      <c r="E23" s="15"/>
    </row>
    <row r="24" spans="1:7">
      <c r="A24" s="171" t="s">
        <v>77</v>
      </c>
      <c r="B24" s="37">
        <f>aantalw2001_steenkool</f>
        <v>294</v>
      </c>
      <c r="C24" s="166" t="s">
        <v>111</v>
      </c>
      <c r="D24" s="229"/>
      <c r="E24" s="15"/>
    </row>
    <row r="25" spans="1:7">
      <c r="A25" s="171" t="s">
        <v>78</v>
      </c>
      <c r="B25" s="37">
        <f>aantalw2001_stookolie</f>
        <v>7679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17495</v>
      </c>
      <c r="C28" s="36"/>
      <c r="D28" s="228"/>
    </row>
    <row r="29" spans="1:7" s="15" customFormat="1">
      <c r="A29" s="230" t="s">
        <v>794</v>
      </c>
      <c r="B29" s="37">
        <f>SUM(HH_hh_gas_aantal,HH_rest_gas_aantal)</f>
        <v>10888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10888</v>
      </c>
      <c r="C32" s="167">
        <f>IF(ISERROR(B32/SUM($B$32,$B$34,$B$35,$B$36,$B$38,$B$39)*100),0,B32/SUM($B$32,$B$34,$B$35,$B$36,$B$38,$B$39)*100)</f>
        <v>62.765896120366641</v>
      </c>
      <c r="D32" s="233"/>
      <c r="G32" s="15"/>
    </row>
    <row r="33" spans="1:7">
      <c r="A33" s="171" t="s">
        <v>72</v>
      </c>
      <c r="B33" s="34" t="s">
        <v>111</v>
      </c>
      <c r="C33" s="167"/>
      <c r="D33" s="233"/>
      <c r="G33" s="15"/>
    </row>
    <row r="34" spans="1:7">
      <c r="A34" s="171" t="s">
        <v>73</v>
      </c>
      <c r="B34" s="33">
        <f>IF((($B$28-$B$32-$B$39-$B$77-$B$38)*C20/100)&lt;0,0,($B$28-$B$32-$B$39-$B$77-$B$38)*C20/100)</f>
        <v>451.1408794788274</v>
      </c>
      <c r="C34" s="167">
        <f>IF(ISERROR(B34/SUM($B$32,$B$34,$B$35,$B$36,$B$38,$B$39)*100),0,B34/SUM($B$32,$B$34,$B$35,$B$36,$B$38,$B$39)*100)</f>
        <v>2.6006853028121717</v>
      </c>
      <c r="D34" s="233"/>
      <c r="G34" s="15"/>
    </row>
    <row r="35" spans="1:7">
      <c r="A35" s="171" t="s">
        <v>74</v>
      </c>
      <c r="B35" s="33">
        <f>IF((($B$28-$B$32-$B$39-$B$77-$B$38)*C21/100)&lt;0,0,($B$28-$B$32-$B$39-$B$77-$B$38)*C21/100)</f>
        <v>2047.1123778501628</v>
      </c>
      <c r="C35" s="167">
        <f>IF(ISERROR(B35/SUM($B$32,$B$34,$B$35,$B$36,$B$38,$B$39)*100),0,B35/SUM($B$32,$B$34,$B$35,$B$36,$B$38,$B$39)*100)</f>
        <v>11.800959115986412</v>
      </c>
      <c r="D35" s="233"/>
      <c r="G35" s="15"/>
    </row>
    <row r="36" spans="1:7">
      <c r="A36" s="171" t="s">
        <v>75</v>
      </c>
      <c r="B36" s="33">
        <f>IF((($B$28-$B$32-$B$39-$B$77-$B$38)*C22/100)&lt;0,0,($B$28-$B$32-$B$39-$B$77-$B$38)*C22/100)</f>
        <v>480.24674267100977</v>
      </c>
      <c r="C36" s="167">
        <f>IF(ISERROR(B36/SUM($B$32,$B$34,$B$35,$B$36,$B$38,$B$39)*100),0,B36/SUM($B$32,$B$34,$B$35,$B$36,$B$38,$B$39)*100)</f>
        <v>2.7684714513806985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3480.5</v>
      </c>
      <c r="C39" s="167">
        <f>IF(ISERROR(B39/SUM($B$32,$B$34,$B$35,$B$36,$B$38,$B$39)*100),0,B39/SUM($B$32,$B$34,$B$35,$B$36,$B$38,$B$39)*100)</f>
        <v>20.063988009454086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10888</v>
      </c>
      <c r="C44" s="34" t="s">
        <v>111</v>
      </c>
      <c r="D44" s="174"/>
    </row>
    <row r="45" spans="1:7">
      <c r="A45" s="171" t="s">
        <v>72</v>
      </c>
      <c r="B45" s="33" t="str">
        <f t="shared" si="0"/>
        <v>-</v>
      </c>
      <c r="C45" s="34" t="s">
        <v>111</v>
      </c>
      <c r="D45" s="174"/>
    </row>
    <row r="46" spans="1:7">
      <c r="A46" s="171" t="s">
        <v>73</v>
      </c>
      <c r="B46" s="33">
        <f t="shared" si="0"/>
        <v>451.1408794788274</v>
      </c>
      <c r="C46" s="34" t="s">
        <v>111</v>
      </c>
      <c r="D46" s="174"/>
    </row>
    <row r="47" spans="1:7">
      <c r="A47" s="171" t="s">
        <v>74</v>
      </c>
      <c r="B47" s="33">
        <f t="shared" si="0"/>
        <v>2047.1123778501628</v>
      </c>
      <c r="C47" s="34" t="s">
        <v>111</v>
      </c>
      <c r="D47" s="174"/>
    </row>
    <row r="48" spans="1:7">
      <c r="A48" s="171" t="s">
        <v>75</v>
      </c>
      <c r="B48" s="33">
        <f t="shared" si="0"/>
        <v>480.24674267100977</v>
      </c>
      <c r="C48" s="33">
        <f>B48*10</f>
        <v>4802.4674267100982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3480.5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92353.486975999986</v>
      </c>
      <c r="C5" s="17">
        <f>IF(ISERROR('Eigen informatie GS &amp; warmtenet'!B58),0,'Eigen informatie GS &amp; warmtenet'!B58)</f>
        <v>0</v>
      </c>
      <c r="D5" s="30">
        <f>SUM(D6:D12)</f>
        <v>91872.70161025002</v>
      </c>
      <c r="E5" s="17">
        <f>SUM(E6:E12)</f>
        <v>1743.8804467120099</v>
      </c>
      <c r="F5" s="17">
        <f>SUM(F6:F12)</f>
        <v>16823.79296390355</v>
      </c>
      <c r="G5" s="18"/>
      <c r="H5" s="17"/>
      <c r="I5" s="17"/>
      <c r="J5" s="17">
        <f>SUM(J6:J12)</f>
        <v>0.23248558549660953</v>
      </c>
      <c r="K5" s="17"/>
      <c r="L5" s="17"/>
      <c r="M5" s="17"/>
      <c r="N5" s="17">
        <f>SUM(N6:N12)</f>
        <v>9362.4714953175571</v>
      </c>
      <c r="O5" s="17">
        <f>B38*B39*B40</f>
        <v>0</v>
      </c>
      <c r="P5" s="17">
        <f>B46*B47*B48/1000-B46*B47*B48/1000/B49</f>
        <v>57.2</v>
      </c>
      <c r="R5" s="32"/>
    </row>
    <row r="6" spans="1:18">
      <c r="A6" s="32" t="s">
        <v>54</v>
      </c>
      <c r="B6" s="37">
        <f>B26</f>
        <v>16871.085579999999</v>
      </c>
      <c r="C6" s="33"/>
      <c r="D6" s="37">
        <f>IF(ISERROR(TER_kantoor_gas_kWh/1000),0,TER_kantoor_gas_kWh/1000)*0.902</f>
        <v>30812.330320684003</v>
      </c>
      <c r="E6" s="33">
        <f>$C$26*'E Balans VL '!I12/100/3.6*1000000</f>
        <v>0.10574235318028399</v>
      </c>
      <c r="F6" s="33">
        <f>$C$26*('E Balans VL '!L12+'E Balans VL '!N12)/100/3.6*1000000</f>
        <v>2535.2527395815</v>
      </c>
      <c r="G6" s="34"/>
      <c r="H6" s="33"/>
      <c r="I6" s="33"/>
      <c r="J6" s="33">
        <f>$C$26*('E Balans VL '!D12+'E Balans VL '!E12)/100/3.6*1000000</f>
        <v>0</v>
      </c>
      <c r="K6" s="33"/>
      <c r="L6" s="33"/>
      <c r="M6" s="33"/>
      <c r="N6" s="33">
        <f>$C$26*'E Balans VL '!Y12/100/3.6*1000000</f>
        <v>16.134691944317286</v>
      </c>
      <c r="O6" s="33"/>
      <c r="P6" s="33"/>
      <c r="R6" s="32"/>
    </row>
    <row r="7" spans="1:18">
      <c r="A7" s="32" t="s">
        <v>53</v>
      </c>
      <c r="B7" s="37">
        <f t="shared" ref="B7:B12" si="0">B27</f>
        <v>6543.1984819999998</v>
      </c>
      <c r="C7" s="33"/>
      <c r="D7" s="37">
        <f>IF(ISERROR(TER_horeca_gas_kWh/1000),0,TER_horeca_gas_kWh/1000)*0.902</f>
        <v>6696.7551761000004</v>
      </c>
      <c r="E7" s="33">
        <f>$C$27*'E Balans VL '!I9/100/3.6*1000000</f>
        <v>93.697512373430598</v>
      </c>
      <c r="F7" s="33">
        <f>$C$27*('E Balans VL '!L9+'E Balans VL '!N9)/100/3.6*1000000</f>
        <v>828.58473082113335</v>
      </c>
      <c r="G7" s="34"/>
      <c r="H7" s="33"/>
      <c r="I7" s="33"/>
      <c r="J7" s="33">
        <f>$C$27*('E Balans VL '!D9+'E Balans VL '!E9)/100/3.6*1000000</f>
        <v>0</v>
      </c>
      <c r="K7" s="33"/>
      <c r="L7" s="33"/>
      <c r="M7" s="33"/>
      <c r="N7" s="33">
        <f>$C$27*'E Balans VL '!Y9/100/3.6*1000000</f>
        <v>1.8810252984321434</v>
      </c>
      <c r="O7" s="33"/>
      <c r="P7" s="33"/>
      <c r="R7" s="32"/>
    </row>
    <row r="8" spans="1:18">
      <c r="A8" s="6" t="s">
        <v>52</v>
      </c>
      <c r="B8" s="37">
        <f t="shared" si="0"/>
        <v>44144.12487</v>
      </c>
      <c r="C8" s="33"/>
      <c r="D8" s="37">
        <f>IF(ISERROR(TER_handel_gas_kWh/1000),0,TER_handel_gas_kWh/1000)*0.902</f>
        <v>16680.354766658002</v>
      </c>
      <c r="E8" s="33">
        <f>$C$28*'E Balans VL '!I13/100/3.6*1000000</f>
        <v>1601.101965425303</v>
      </c>
      <c r="F8" s="33">
        <f>$C$28*('E Balans VL '!L13+'E Balans VL '!N13)/100/3.6*1000000</f>
        <v>8502.6054376448974</v>
      </c>
      <c r="G8" s="34"/>
      <c r="H8" s="33"/>
      <c r="I8" s="33"/>
      <c r="J8" s="33">
        <f>$C$28*('E Balans VL '!D13+'E Balans VL '!E13)/100/3.6*1000000</f>
        <v>0</v>
      </c>
      <c r="K8" s="33"/>
      <c r="L8" s="33"/>
      <c r="M8" s="33"/>
      <c r="N8" s="33">
        <f>$C$28*'E Balans VL '!Y13/100/3.6*1000000</f>
        <v>61.14977005508905</v>
      </c>
      <c r="O8" s="33"/>
      <c r="P8" s="33"/>
      <c r="R8" s="32"/>
    </row>
    <row r="9" spans="1:18">
      <c r="A9" s="32" t="s">
        <v>51</v>
      </c>
      <c r="B9" s="37">
        <f t="shared" si="0"/>
        <v>11733.383317</v>
      </c>
      <c r="C9" s="33"/>
      <c r="D9" s="37">
        <f>IF(ISERROR(TER_gezond_gas_kWh/1000),0,TER_gezond_gas_kWh/1000)*0.902</f>
        <v>22217.812336587998</v>
      </c>
      <c r="E9" s="33">
        <f>$C$29*'E Balans VL '!I10/100/3.6*1000000</f>
        <v>0.73462564187562351</v>
      </c>
      <c r="F9" s="33">
        <f>$C$29*('E Balans VL '!L10+'E Balans VL '!N10)/100/3.6*1000000</f>
        <v>1743.0298164903049</v>
      </c>
      <c r="G9" s="34"/>
      <c r="H9" s="33"/>
      <c r="I9" s="33"/>
      <c r="J9" s="33">
        <f>$C$29*('E Balans VL '!D10+'E Balans VL '!E10)/100/3.6*1000000</f>
        <v>0</v>
      </c>
      <c r="K9" s="33"/>
      <c r="L9" s="33"/>
      <c r="M9" s="33"/>
      <c r="N9" s="33">
        <f>$C$29*'E Balans VL '!Y10/100/3.6*1000000</f>
        <v>181.49310532206763</v>
      </c>
      <c r="O9" s="33"/>
      <c r="P9" s="33"/>
      <c r="R9" s="32"/>
    </row>
    <row r="10" spans="1:18">
      <c r="A10" s="32" t="s">
        <v>50</v>
      </c>
      <c r="B10" s="37">
        <f t="shared" si="0"/>
        <v>10710.620449999999</v>
      </c>
      <c r="C10" s="33"/>
      <c r="D10" s="37">
        <f>IF(ISERROR(TER_ander_gas_kWh/1000),0,TER_ander_gas_kWh/1000)*0.902</f>
        <v>9756.8652928559986</v>
      </c>
      <c r="E10" s="33">
        <f>$C$30*'E Balans VL '!I14/100/3.6*1000000</f>
        <v>12.766676843495611</v>
      </c>
      <c r="F10" s="33">
        <f>$C$30*('E Balans VL '!L14+'E Balans VL '!N14)/100/3.6*1000000</f>
        <v>2802.3744665063564</v>
      </c>
      <c r="G10" s="34"/>
      <c r="H10" s="33"/>
      <c r="I10" s="33"/>
      <c r="J10" s="33">
        <f>$C$30*('E Balans VL '!D14+'E Balans VL '!E14)/100/3.6*1000000</f>
        <v>0.23248558549660953</v>
      </c>
      <c r="K10" s="33"/>
      <c r="L10" s="33"/>
      <c r="M10" s="33"/>
      <c r="N10" s="33">
        <f>$C$30*'E Balans VL '!Y14/100/3.6*1000000</f>
        <v>9095.1968009467</v>
      </c>
      <c r="O10" s="33"/>
      <c r="P10" s="33"/>
      <c r="R10" s="32"/>
    </row>
    <row r="11" spans="1:18">
      <c r="A11" s="32" t="s">
        <v>55</v>
      </c>
      <c r="B11" s="37">
        <f t="shared" si="0"/>
        <v>2351.0742769999997</v>
      </c>
      <c r="C11" s="33"/>
      <c r="D11" s="37">
        <f>IF(ISERROR(TER_onderwijs_gas_kWh/1000),0,TER_onderwijs_gas_kWh/1000)*0.902</f>
        <v>5708.5837173640002</v>
      </c>
      <c r="E11" s="33">
        <f>$C$31*'E Balans VL '!I11/100/3.6*1000000</f>
        <v>35.47392407472455</v>
      </c>
      <c r="F11" s="33">
        <f>$C$31*('E Balans VL '!L11+'E Balans VL '!N11)/100/3.6*1000000</f>
        <v>411.9457728593585</v>
      </c>
      <c r="G11" s="34"/>
      <c r="H11" s="33"/>
      <c r="I11" s="33"/>
      <c r="J11" s="33">
        <f>$C$31*('E Balans VL '!D11+'E Balans VL '!E11)/100/3.6*1000000</f>
        <v>0</v>
      </c>
      <c r="K11" s="33"/>
      <c r="L11" s="33"/>
      <c r="M11" s="33"/>
      <c r="N11" s="33">
        <f>$C$31*'E Balans VL '!Y11/100/3.6*1000000</f>
        <v>6.6161017509511195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518.85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-1414.2857142857144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92872.336975999991</v>
      </c>
      <c r="C16" s="21">
        <f t="shared" ca="1" si="1"/>
        <v>34.071428571428577</v>
      </c>
      <c r="D16" s="21">
        <f t="shared" ca="1" si="1"/>
        <v>91804.558753107165</v>
      </c>
      <c r="E16" s="21">
        <f t="shared" si="1"/>
        <v>1743.8804467120099</v>
      </c>
      <c r="F16" s="21">
        <f t="shared" ca="1" si="1"/>
        <v>16823.79296390355</v>
      </c>
      <c r="G16" s="21">
        <f t="shared" si="1"/>
        <v>0</v>
      </c>
      <c r="H16" s="21">
        <f t="shared" si="1"/>
        <v>0</v>
      </c>
      <c r="I16" s="21">
        <f t="shared" si="1"/>
        <v>0</v>
      </c>
      <c r="J16" s="21">
        <f t="shared" si="1"/>
        <v>0.23248558549660953</v>
      </c>
      <c r="K16" s="21">
        <f t="shared" si="1"/>
        <v>0</v>
      </c>
      <c r="L16" s="21">
        <f t="shared" ca="1" si="1"/>
        <v>0</v>
      </c>
      <c r="M16" s="21">
        <f t="shared" si="1"/>
        <v>0</v>
      </c>
      <c r="N16" s="21">
        <f t="shared" ca="1" si="1"/>
        <v>7948.1857810318425</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0.20111873507312034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18678.366935897699</v>
      </c>
      <c r="C20" s="23">
        <f t="shared" ref="C20:P20" ca="1" si="2">C16*C18</f>
        <v>8.0969747899159685</v>
      </c>
      <c r="D20" s="23">
        <f t="shared" ca="1" si="2"/>
        <v>18544.520868127649</v>
      </c>
      <c r="E20" s="23">
        <f t="shared" si="2"/>
        <v>395.86086140362625</v>
      </c>
      <c r="F20" s="23">
        <f t="shared" ca="1" si="2"/>
        <v>4491.9527213622478</v>
      </c>
      <c r="G20" s="23">
        <f t="shared" si="2"/>
        <v>0</v>
      </c>
      <c r="H20" s="23">
        <f t="shared" si="2"/>
        <v>0</v>
      </c>
      <c r="I20" s="23">
        <f t="shared" si="2"/>
        <v>0</v>
      </c>
      <c r="J20" s="23">
        <f t="shared" si="2"/>
        <v>8.2299897265799768E-2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16871.085579999999</v>
      </c>
      <c r="C26" s="39">
        <f>IF(ISERROR(B26*3.6/1000000/'E Balans VL '!Z12*100),0,B26*3.6/1000000/'E Balans VL '!Z12*100)</f>
        <v>0.35662802320285009</v>
      </c>
      <c r="D26" s="237" t="s">
        <v>754</v>
      </c>
      <c r="F26" s="6"/>
    </row>
    <row r="27" spans="1:18">
      <c r="A27" s="231" t="s">
        <v>53</v>
      </c>
      <c r="B27" s="33">
        <f>IF(ISERROR(TER_horeca_ele_kWh/1000),0,TER_horeca_ele_kWh/1000)</f>
        <v>6543.1984819999998</v>
      </c>
      <c r="C27" s="39">
        <f>IF(ISERROR(B27*3.6/1000000/'E Balans VL '!Z9*100),0,B27*3.6/1000000/'E Balans VL '!Z9*100)</f>
        <v>0.51579789756148176</v>
      </c>
      <c r="D27" s="237" t="s">
        <v>754</v>
      </c>
      <c r="F27" s="6"/>
    </row>
    <row r="28" spans="1:18">
      <c r="A28" s="171" t="s">
        <v>52</v>
      </c>
      <c r="B28" s="33">
        <f>IF(ISERROR(TER_handel_ele_kWh/1000),0,TER_handel_ele_kWh/1000)</f>
        <v>44144.12487</v>
      </c>
      <c r="C28" s="39">
        <f>IF(ISERROR(B28*3.6/1000000/'E Balans VL '!Z13*100),0,B28*3.6/1000000/'E Balans VL '!Z13*100)</f>
        <v>1.2812408659784538</v>
      </c>
      <c r="D28" s="237" t="s">
        <v>754</v>
      </c>
      <c r="F28" s="6"/>
    </row>
    <row r="29" spans="1:18">
      <c r="A29" s="231" t="s">
        <v>51</v>
      </c>
      <c r="B29" s="33">
        <f>IF(ISERROR(TER_gezond_ele_kWh/1000),0,TER_gezond_ele_kWh/1000)</f>
        <v>11733.383317</v>
      </c>
      <c r="C29" s="39">
        <f>IF(ISERROR(B29*3.6/1000000/'E Balans VL '!Z10*100),0,B29*3.6/1000000/'E Balans VL '!Z10*100)</f>
        <v>1.2357179305198356</v>
      </c>
      <c r="D29" s="237" t="s">
        <v>754</v>
      </c>
      <c r="F29" s="6"/>
    </row>
    <row r="30" spans="1:18">
      <c r="A30" s="231" t="s">
        <v>50</v>
      </c>
      <c r="B30" s="33">
        <f>IF(ISERROR(TER_ander_ele_kWh/1000),0,TER_ander_ele_kWh/1000)</f>
        <v>10710.620449999999</v>
      </c>
      <c r="C30" s="39">
        <f>IF(ISERROR(B30*3.6/1000000/'E Balans VL '!Z14*100),0,B30*3.6/1000000/'E Balans VL '!Z14*100)</f>
        <v>0.79001769072718964</v>
      </c>
      <c r="D30" s="237" t="s">
        <v>754</v>
      </c>
      <c r="F30" s="6"/>
    </row>
    <row r="31" spans="1:18">
      <c r="A31" s="231" t="s">
        <v>55</v>
      </c>
      <c r="B31" s="33">
        <f>IF(ISERROR(TER_onderwijs_ele_kWh/1000),0,TER_onderwijs_ele_kWh/1000)</f>
        <v>2351.0742769999997</v>
      </c>
      <c r="C31" s="39">
        <f>IF(ISERROR(B31*3.6/1000000/'E Balans VL '!Z11*100),0,B31*3.6/1000000/'E Balans VL '!Z11*100)</f>
        <v>0.58388187378406464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92364.805336999983</v>
      </c>
      <c r="C5" s="17">
        <f>IF(ISERROR('Eigen informatie GS &amp; warmtenet'!B59),0,'Eigen informatie GS &amp; warmtenet'!B59)</f>
        <v>0</v>
      </c>
      <c r="D5" s="30">
        <f>SUM(D6:D15)</f>
        <v>49007.910351994011</v>
      </c>
      <c r="E5" s="17">
        <f>SUM(E6:E15)</f>
        <v>2299.5218833045296</v>
      </c>
      <c r="F5" s="17">
        <f>SUM(F6:F15)</f>
        <v>12264.931524372729</v>
      </c>
      <c r="G5" s="18"/>
      <c r="H5" s="17"/>
      <c r="I5" s="17"/>
      <c r="J5" s="17">
        <f>SUM(J6:J15)</f>
        <v>2.5024449178607444</v>
      </c>
      <c r="K5" s="17"/>
      <c r="L5" s="17"/>
      <c r="M5" s="17"/>
      <c r="N5" s="17">
        <f>SUM(N6:N15)</f>
        <v>4382.941677633281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72854.045910000001</v>
      </c>
      <c r="C8" s="33"/>
      <c r="D8" s="37">
        <f>IF( ISERROR(IND_metaal_Gas_kWH/1000),0,IND_metaal_Gas_kWH/1000)*0.902</f>
        <v>43680.168968194004</v>
      </c>
      <c r="E8" s="33">
        <f>C30*'E Balans VL '!I18/100/3.6*1000000</f>
        <v>669.82258903575496</v>
      </c>
      <c r="F8" s="33">
        <f>C30*'E Balans VL '!L18/100/3.6*1000000+C30*'E Balans VL '!N18/100/3.6*1000000</f>
        <v>6831.2839496436864</v>
      </c>
      <c r="G8" s="34"/>
      <c r="H8" s="33"/>
      <c r="I8" s="33"/>
      <c r="J8" s="40">
        <f>C30*'E Balans VL '!D18/100/3.6*1000000+C30*'E Balans VL '!E18/100/3.6*1000000</f>
        <v>0</v>
      </c>
      <c r="K8" s="33"/>
      <c r="L8" s="33"/>
      <c r="M8" s="33"/>
      <c r="N8" s="33">
        <f>C30*'E Balans VL '!Y18/100/3.6*1000000</f>
        <v>1039.3833612870342</v>
      </c>
      <c r="O8" s="33"/>
      <c r="P8" s="33"/>
      <c r="R8" s="32"/>
    </row>
    <row r="9" spans="1:18">
      <c r="A9" s="6" t="s">
        <v>33</v>
      </c>
      <c r="B9" s="37">
        <f t="shared" si="0"/>
        <v>5341.0625259999997</v>
      </c>
      <c r="C9" s="33"/>
      <c r="D9" s="37">
        <f>IF( ISERROR(IND_andere_gas_kWh/1000),0,IND_andere_gas_kWh/1000)*0.902</f>
        <v>3156.3115935999999</v>
      </c>
      <c r="E9" s="33">
        <f>C31*'E Balans VL '!I19/100/3.6*1000000</f>
        <v>1561.2965545730208</v>
      </c>
      <c r="F9" s="33">
        <f>C31*'E Balans VL '!L19/100/3.6*1000000+C31*'E Balans VL '!N19/100/3.6*1000000</f>
        <v>4291.9480209264593</v>
      </c>
      <c r="G9" s="34"/>
      <c r="H9" s="33"/>
      <c r="I9" s="33"/>
      <c r="J9" s="40">
        <f>C31*'E Balans VL '!D19/100/3.6*1000000+C31*'E Balans VL '!E19/100/3.6*1000000</f>
        <v>0</v>
      </c>
      <c r="K9" s="33"/>
      <c r="L9" s="33"/>
      <c r="M9" s="33"/>
      <c r="N9" s="33">
        <f>C31*'E Balans VL '!Y19/100/3.6*1000000</f>
        <v>1764.7698925972422</v>
      </c>
      <c r="O9" s="33"/>
      <c r="P9" s="33"/>
      <c r="R9" s="32"/>
    </row>
    <row r="10" spans="1:18">
      <c r="A10" s="6" t="s">
        <v>41</v>
      </c>
      <c r="B10" s="37">
        <f t="shared" si="0"/>
        <v>12909.098851000001</v>
      </c>
      <c r="C10" s="33"/>
      <c r="D10" s="37">
        <f>IF( ISERROR(IND_voed_gas_kWh/1000),0,IND_voed_gas_kWh/1000)*0.902</f>
        <v>1644.2472761000001</v>
      </c>
      <c r="E10" s="33">
        <f>C32*'E Balans VL '!I20/100/3.6*1000000</f>
        <v>27.30939877723883</v>
      </c>
      <c r="F10" s="33">
        <f>C32*'E Balans VL '!L20/100/3.6*1000000+C32*'E Balans VL '!N20/100/3.6*1000000</f>
        <v>820.77369120437515</v>
      </c>
      <c r="G10" s="34"/>
      <c r="H10" s="33"/>
      <c r="I10" s="33"/>
      <c r="J10" s="40">
        <f>C32*'E Balans VL '!D20/100/3.6*1000000+C32*'E Balans VL '!E20/100/3.6*1000000</f>
        <v>0</v>
      </c>
      <c r="K10" s="33"/>
      <c r="L10" s="33"/>
      <c r="M10" s="33"/>
      <c r="N10" s="33">
        <f>C32*'E Balans VL '!Y20/100/3.6*1000000</f>
        <v>890.85521081918557</v>
      </c>
      <c r="O10" s="33"/>
      <c r="P10" s="33"/>
      <c r="R10" s="32"/>
    </row>
    <row r="11" spans="1:18">
      <c r="A11" s="6" t="s">
        <v>40</v>
      </c>
      <c r="B11" s="37">
        <f t="shared" si="0"/>
        <v>36.293050000000001</v>
      </c>
      <c r="C11" s="33"/>
      <c r="D11" s="37">
        <f>IF( ISERROR(IND_textiel_gas_kWh/1000),0,IND_textiel_gas_kWh/1000)*0.902</f>
        <v>126.01891609999998</v>
      </c>
      <c r="E11" s="33">
        <f>C33*'E Balans VL '!I21/100/3.6*1000000</f>
        <v>0.10778722943755098</v>
      </c>
      <c r="F11" s="33">
        <f>C33*'E Balans VL '!L21/100/3.6*1000000+C33*'E Balans VL '!N21/100/3.6*1000000</f>
        <v>3.6665944436269386</v>
      </c>
      <c r="G11" s="34"/>
      <c r="H11" s="33"/>
      <c r="I11" s="33"/>
      <c r="J11" s="40">
        <f>C33*'E Balans VL '!D21/100/3.6*1000000+C33*'E Balans VL '!E21/100/3.6*1000000</f>
        <v>0</v>
      </c>
      <c r="K11" s="33"/>
      <c r="L11" s="33"/>
      <c r="M11" s="33"/>
      <c r="N11" s="33">
        <f>C33*'E Balans VL '!Y21/100/3.6*1000000</f>
        <v>2.0016775314794093</v>
      </c>
      <c r="O11" s="33"/>
      <c r="P11" s="33"/>
      <c r="R11" s="32"/>
    </row>
    <row r="12" spans="1:18">
      <c r="A12" s="6" t="s">
        <v>37</v>
      </c>
      <c r="B12" s="37">
        <f t="shared" si="0"/>
        <v>697.34299999999996</v>
      </c>
      <c r="C12" s="33"/>
      <c r="D12" s="37">
        <f>IF( ISERROR(IND_min_gas_kWh/1000),0,IND_min_gas_kWh/1000)*0.902</f>
        <v>28.1875</v>
      </c>
      <c r="E12" s="33">
        <f>C34*'E Balans VL '!I22/100/3.6*1000000</f>
        <v>20.213102145741878</v>
      </c>
      <c r="F12" s="33">
        <f>C34*'E Balans VL '!L22/100/3.6*1000000+C34*'E Balans VL '!N22/100/3.6*1000000</f>
        <v>239.75440355152574</v>
      </c>
      <c r="G12" s="34"/>
      <c r="H12" s="33"/>
      <c r="I12" s="33"/>
      <c r="J12" s="40">
        <f>C34*'E Balans VL '!D22/100/3.6*1000000+C34*'E Balans VL '!E22/100/3.6*1000000</f>
        <v>1.1459446901785184</v>
      </c>
      <c r="K12" s="33"/>
      <c r="L12" s="33"/>
      <c r="M12" s="33"/>
      <c r="N12" s="33">
        <f>C34*'E Balans VL '!Y22/100/3.6*1000000</f>
        <v>152.65984234064427</v>
      </c>
      <c r="O12" s="33"/>
      <c r="P12" s="33"/>
      <c r="R12" s="32"/>
    </row>
    <row r="13" spans="1:18">
      <c r="A13" s="6" t="s">
        <v>39</v>
      </c>
      <c r="B13" s="37">
        <f t="shared" si="0"/>
        <v>154.73400000000001</v>
      </c>
      <c r="C13" s="33"/>
      <c r="D13" s="37">
        <f>IF( ISERROR(IND_papier_gas_kWh/1000),0,IND_papier_gas_kWh/1000)*0.902</f>
        <v>170.82436799999999</v>
      </c>
      <c r="E13" s="33">
        <f>C35*'E Balans VL '!I23/100/3.6*1000000</f>
        <v>0.21953215860891159</v>
      </c>
      <c r="F13" s="33">
        <f>C35*'E Balans VL '!L23/100/3.6*1000000+C35*'E Balans VL '!N23/100/3.6*1000000</f>
        <v>3.7776387773536202</v>
      </c>
      <c r="G13" s="34"/>
      <c r="H13" s="33"/>
      <c r="I13" s="33"/>
      <c r="J13" s="40">
        <f>C35*'E Balans VL '!D23/100/3.6*1000000+C35*'E Balans VL '!E23/100/3.6*1000000</f>
        <v>2.3931065831317745E-2</v>
      </c>
      <c r="K13" s="33"/>
      <c r="L13" s="33"/>
      <c r="M13" s="33"/>
      <c r="N13" s="33">
        <f>C35*'E Balans VL '!Y23/100/3.6*1000000</f>
        <v>449.77510994634503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372.22800000000001</v>
      </c>
      <c r="C15" s="33"/>
      <c r="D15" s="37">
        <f>IF( ISERROR(IND_rest_gas_kWh/1000),0,IND_rest_gas_kWh/1000)*0.902</f>
        <v>202.15173000000001</v>
      </c>
      <c r="E15" s="33">
        <f>C37*'E Balans VL '!I15/100/3.6*1000000</f>
        <v>20.552919384726362</v>
      </c>
      <c r="F15" s="33">
        <f>C37*'E Balans VL '!L15/100/3.6*1000000+C37*'E Balans VL '!N15/100/3.6*1000000</f>
        <v>73.727225825703542</v>
      </c>
      <c r="G15" s="34"/>
      <c r="H15" s="33"/>
      <c r="I15" s="33"/>
      <c r="J15" s="40">
        <f>C37*'E Balans VL '!D15/100/3.6*1000000+C37*'E Balans VL '!E15/100/3.6*1000000</f>
        <v>1.3325691618509081</v>
      </c>
      <c r="K15" s="33"/>
      <c r="L15" s="33"/>
      <c r="M15" s="33"/>
      <c r="N15" s="33">
        <f>C37*'E Balans VL '!Y15/100/3.6*1000000</f>
        <v>83.496583111349139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92364.805336999983</v>
      </c>
      <c r="C18" s="21">
        <f>C5+C16</f>
        <v>0</v>
      </c>
      <c r="D18" s="21">
        <f>MAX((D5+D16),0)</f>
        <v>49007.910351994011</v>
      </c>
      <c r="E18" s="21">
        <f>MAX((E5+E16),0)</f>
        <v>2299.5218833045296</v>
      </c>
      <c r="F18" s="21">
        <f>MAX((F5+F16),0)</f>
        <v>12264.931524372729</v>
      </c>
      <c r="G18" s="21"/>
      <c r="H18" s="21"/>
      <c r="I18" s="21"/>
      <c r="J18" s="21">
        <f>MAX((J5+J16),0)</f>
        <v>2.5024449178607444</v>
      </c>
      <c r="K18" s="21"/>
      <c r="L18" s="21">
        <f>MAX((L5+L16),0)</f>
        <v>0</v>
      </c>
      <c r="M18" s="21"/>
      <c r="N18" s="21">
        <f>MAX((N5+N16),0)</f>
        <v>4382.941677633281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0.20111873507312034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18576.292814652432</v>
      </c>
      <c r="C22" s="23">
        <f ca="1">C18*C20</f>
        <v>0</v>
      </c>
      <c r="D22" s="23">
        <f>D18*D20</f>
        <v>9899.5978911027905</v>
      </c>
      <c r="E22" s="23">
        <f>E18*E20</f>
        <v>521.99146751012825</v>
      </c>
      <c r="F22" s="23">
        <f>F18*F20</f>
        <v>3274.7367170075186</v>
      </c>
      <c r="G22" s="23"/>
      <c r="H22" s="23"/>
      <c r="I22" s="23"/>
      <c r="J22" s="23">
        <f>J18*J20</f>
        <v>0.88586550092270344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72854.045910000001</v>
      </c>
      <c r="C30" s="39">
        <f>IF(ISERROR(B30*3.6/1000000/'E Balans VL '!Z18*100),0,B30*3.6/1000000/'E Balans VL '!Z18*100)</f>
        <v>4.1288255917116912</v>
      </c>
      <c r="D30" s="237" t="s">
        <v>754</v>
      </c>
    </row>
    <row r="31" spans="1:18">
      <c r="A31" s="6" t="s">
        <v>33</v>
      </c>
      <c r="B31" s="37">
        <f>IF( ISERROR(IND_ander_ele_kWh/1000),0,IND_ander_ele_kWh/1000)</f>
        <v>5341.0625259999997</v>
      </c>
      <c r="C31" s="39">
        <f>IF(ISERROR(B31*3.6/1000000/'E Balans VL '!Z19*100),0,B31*3.6/1000000/'E Balans VL '!Z19*100)</f>
        <v>0.24224835638207862</v>
      </c>
      <c r="D31" s="237" t="s">
        <v>754</v>
      </c>
    </row>
    <row r="32" spans="1:18">
      <c r="A32" s="171" t="s">
        <v>41</v>
      </c>
      <c r="B32" s="37">
        <f>IF( ISERROR(IND_voed_ele_kWh/1000),0,IND_voed_ele_kWh/1000)</f>
        <v>12909.098851000001</v>
      </c>
      <c r="C32" s="39">
        <f>IF(ISERROR(B32*3.6/1000000/'E Balans VL '!Z20*100),0,B32*3.6/1000000/'E Balans VL '!Z20*100)</f>
        <v>0.39933702982209429</v>
      </c>
      <c r="D32" s="237" t="s">
        <v>754</v>
      </c>
    </row>
    <row r="33" spans="1:5">
      <c r="A33" s="171" t="s">
        <v>40</v>
      </c>
      <c r="B33" s="37">
        <f>IF( ISERROR(IND_textiel_ele_kWh/1000),0,IND_textiel_ele_kWh/1000)</f>
        <v>36.293050000000001</v>
      </c>
      <c r="C33" s="39">
        <f>IF(ISERROR(B33*3.6/1000000/'E Balans VL '!Z21*100),0,B33*3.6/1000000/'E Balans VL '!Z21*100)</f>
        <v>4.7322103022071609E-3</v>
      </c>
      <c r="D33" s="237" t="s">
        <v>754</v>
      </c>
    </row>
    <row r="34" spans="1:5">
      <c r="A34" s="171" t="s">
        <v>37</v>
      </c>
      <c r="B34" s="37">
        <f>IF( ISERROR(IND_min_ele_kWh/1000),0,IND_min_ele_kWh/1000)</f>
        <v>697.34299999999996</v>
      </c>
      <c r="C34" s="39">
        <f>IF(ISERROR(B34*3.6/1000000/'E Balans VL '!Z22*100),0,B34*3.6/1000000/'E Balans VL '!Z22*100)</f>
        <v>0.12543024884897183</v>
      </c>
      <c r="D34" s="237" t="s">
        <v>754</v>
      </c>
    </row>
    <row r="35" spans="1:5">
      <c r="A35" s="171" t="s">
        <v>39</v>
      </c>
      <c r="B35" s="37">
        <f>IF( ISERROR(IND_papier_ele_kWh/1000),0,IND_papier_ele_kWh/1000)</f>
        <v>154.73400000000001</v>
      </c>
      <c r="C35" s="39">
        <f>IF(ISERROR(B35*3.6/1000000/'E Balans VL '!Z22*100),0,B35*3.6/1000000/'E Balans VL '!Z22*100)</f>
        <v>2.7831818954799584E-2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372.22800000000001</v>
      </c>
      <c r="C37" s="39">
        <f>IF(ISERROR(B37*3.6/1000000/'E Balans VL '!Z15*100),0,B37*3.6/1000000/'E Balans VL '!Z15*100)</f>
        <v>2.950364039460163E-3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10711.000410000001</v>
      </c>
      <c r="C5" s="17">
        <f>'Eigen informatie GS &amp; warmtenet'!B60</f>
        <v>0</v>
      </c>
      <c r="D5" s="30">
        <f>IF(ISERROR(SUM(LB_lb_gas_kWh,LB_rest_gas_kWh)/1000),0,SUM(LB_lb_gas_kWh,LB_rest_gas_kWh)/1000)*0.902</f>
        <v>6373.4529505239998</v>
      </c>
      <c r="E5" s="17">
        <f>B17*'E Balans VL '!I25/3.6*1000000/100</f>
        <v>314.82901722118623</v>
      </c>
      <c r="F5" s="17">
        <f>B17*('E Balans VL '!L25/3.6*1000000+'E Balans VL '!N25/3.6*1000000)/100</f>
        <v>44621.448915977293</v>
      </c>
      <c r="G5" s="18"/>
      <c r="H5" s="17"/>
      <c r="I5" s="17"/>
      <c r="J5" s="17">
        <f>('E Balans VL '!D25+'E Balans VL '!E25)/3.6*1000000*landbouw!B17/100</f>
        <v>1551.7939380421667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10711.000410000001</v>
      </c>
      <c r="C8" s="21">
        <f>C5+C6</f>
        <v>0</v>
      </c>
      <c r="D8" s="21">
        <f>MAX((D5+D6),0)</f>
        <v>6373.4529505239998</v>
      </c>
      <c r="E8" s="21">
        <f>MAX((E5+E6),0)</f>
        <v>314.82901722118623</v>
      </c>
      <c r="F8" s="21">
        <f>MAX((F5+F6),0)</f>
        <v>44621.448915977293</v>
      </c>
      <c r="G8" s="21"/>
      <c r="H8" s="21"/>
      <c r="I8" s="21"/>
      <c r="J8" s="21">
        <f>MAX((J5+J6),0)</f>
        <v>1551.7939380421667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0.20111873507312034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2154.1828538268733</v>
      </c>
      <c r="C12" s="23">
        <f ca="1">C8*C10</f>
        <v>0</v>
      </c>
      <c r="D12" s="23">
        <f>D8*D10</f>
        <v>1287.4374960058481</v>
      </c>
      <c r="E12" s="23">
        <f>E8*E10</f>
        <v>71.466186909209284</v>
      </c>
      <c r="F12" s="23">
        <f>F8*F10</f>
        <v>11913.926860565938</v>
      </c>
      <c r="G12" s="23"/>
      <c r="H12" s="23"/>
      <c r="I12" s="23"/>
      <c r="J12" s="23">
        <f>J8*J10</f>
        <v>549.335054066927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1.5199245629179463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233.49223815787948</v>
      </c>
      <c r="C26" s="247">
        <f>B26*'GWP N2O_CH4'!B5</f>
        <v>4903.337001315469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59.8885828599592</v>
      </c>
      <c r="C27" s="247">
        <f>B27*'GWP N2O_CH4'!B5</f>
        <v>1257.6602400591432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3.4871639768145339</v>
      </c>
      <c r="C28" s="247">
        <f>B28*'GWP N2O_CH4'!B4</f>
        <v>1081.0208328125054</v>
      </c>
      <c r="D28" s="50"/>
    </row>
    <row r="29" spans="1:4">
      <c r="A29" s="41" t="s">
        <v>277</v>
      </c>
      <c r="B29" s="247">
        <f>B34*'ha_N2O bodem landbouw'!B4</f>
        <v>40.745395473586903</v>
      </c>
      <c r="C29" s="247">
        <f>B29*'GWP N2O_CH4'!B4</f>
        <v>12631.07259681194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9.2979588321930821E-3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4.2990685884442291E-4</v>
      </c>
      <c r="C5" s="463" t="s">
        <v>211</v>
      </c>
      <c r="D5" s="448">
        <f>SUM(D6:D11)</f>
        <v>1.5465044797272577E-3</v>
      </c>
      <c r="E5" s="448">
        <f>SUM(E6:E11)</f>
        <v>2.0534553911723459E-3</v>
      </c>
      <c r="F5" s="461" t="s">
        <v>211</v>
      </c>
      <c r="G5" s="448">
        <f>SUM(G6:G11)</f>
        <v>0.70140458072639356</v>
      </c>
      <c r="H5" s="448">
        <f>SUM(H6:H11)</f>
        <v>0.17406752001252976</v>
      </c>
      <c r="I5" s="463" t="s">
        <v>211</v>
      </c>
      <c r="J5" s="463" t="s">
        <v>211</v>
      </c>
      <c r="K5" s="463" t="s">
        <v>211</v>
      </c>
      <c r="L5" s="463" t="s">
        <v>211</v>
      </c>
      <c r="M5" s="448">
        <f>SUM(M6:M11)</f>
        <v>4.611468147397256E-2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3.1976284464753493E-4</v>
      </c>
      <c r="C6" s="449"/>
      <c r="D6" s="892">
        <f>vkm_2011_GW_PW*SUMIFS(TableVerdeelsleutelVkm[CNG],TableVerdeelsleutelVkm[Voertuigtype],"Lichte voertuigen")*SUMIFS(TableECFTransport[EnergieConsumptieFactor (PJ per km)],TableECFTransport[Index],CONCATENATE($A6,"_CNG_CNG"))</f>
        <v>9.5910500676359047E-4</v>
      </c>
      <c r="E6" s="892">
        <f>vkm_2011_GW_PW*SUMIFS(TableVerdeelsleutelVkm[LPG],TableVerdeelsleutelVkm[Voertuigtype],"Lichte voertuigen")*SUMIFS(TableECFTransport[EnergieConsumptieFactor (PJ per km)],TableECFTransport[Index],CONCATENATE($A6,"_LPG_LPG"))</f>
        <v>1.3102752078837368E-3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0.33877710480964984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0.10908715854325632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2.3010937215478148E-2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0.17212486997429427</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5.2460162773035132E-5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1.0058396684948814E-2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1.1014401419688799E-4</v>
      </c>
      <c r="C8" s="449"/>
      <c r="D8" s="451">
        <f>vkm_2011_NGW_PW*SUMIFS(TableVerdeelsleutelVkm[CNG],TableVerdeelsleutelVkm[Voertuigtype],"Lichte voertuigen")*SUMIFS(TableECFTransport[EnergieConsumptieFactor (PJ per km)],TableECFTransport[Index],CONCATENATE($A8,"_CNG_CNG"))</f>
        <v>5.873994729636672E-4</v>
      </c>
      <c r="E8" s="451">
        <f>vkm_2011_NGW_PW*SUMIFS(TableVerdeelsleutelVkm[LPG],TableVerdeelsleutelVkm[Voertuigtype],"Lichte voertuigen")*SUMIFS(TableECFTransport[EnergieConsumptieFactor (PJ per km)],TableECFTransport[Index],CONCATENATE($A8,"_LPG_LPG"))</f>
        <v>7.4318018328860909E-4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0.17906563785015367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6.4924619769012995E-2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1.2377015766780606E-2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1.1436968092295932E-2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3.2815374874003988E-6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6.6833180676499724E-4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119.41857190122859</v>
      </c>
      <c r="C14" s="21"/>
      <c r="D14" s="21">
        <f t="shared" ref="D14:M14" si="0">((D5)*10^9/3600)+D12</f>
        <v>429.58457770201602</v>
      </c>
      <c r="E14" s="21">
        <f t="shared" si="0"/>
        <v>570.40427532565161</v>
      </c>
      <c r="F14" s="21"/>
      <c r="G14" s="21">
        <f t="shared" si="0"/>
        <v>194834.60575733156</v>
      </c>
      <c r="H14" s="21">
        <f t="shared" si="0"/>
        <v>48352.088892369378</v>
      </c>
      <c r="I14" s="21"/>
      <c r="J14" s="21"/>
      <c r="K14" s="21"/>
      <c r="L14" s="21"/>
      <c r="M14" s="21">
        <f t="shared" si="0"/>
        <v>12809.633742770155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0.20111873507312034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24.017312125013564</v>
      </c>
      <c r="C18" s="23"/>
      <c r="D18" s="23">
        <f t="shared" ref="D18:M18" si="1">D14*D16</f>
        <v>86.776084695807242</v>
      </c>
      <c r="E18" s="23">
        <f t="shared" si="1"/>
        <v>129.48177049892291</v>
      </c>
      <c r="F18" s="23"/>
      <c r="G18" s="23">
        <f t="shared" si="1"/>
        <v>52020.839737207527</v>
      </c>
      <c r="H18" s="23">
        <f t="shared" si="1"/>
        <v>12039.670134199976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1.9037140837570778E-2</v>
      </c>
      <c r="H50" s="321">
        <f t="shared" si="2"/>
        <v>0</v>
      </c>
      <c r="I50" s="321">
        <f t="shared" si="2"/>
        <v>0</v>
      </c>
      <c r="J50" s="321">
        <f t="shared" si="2"/>
        <v>0</v>
      </c>
      <c r="K50" s="321">
        <f t="shared" si="2"/>
        <v>0</v>
      </c>
      <c r="L50" s="321">
        <f t="shared" si="2"/>
        <v>0</v>
      </c>
      <c r="M50" s="321">
        <f t="shared" si="2"/>
        <v>1.081225558661649E-3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1.9037140837570778E-2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1.081225558661649E-3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5288.094677102994</v>
      </c>
      <c r="H54" s="21">
        <f t="shared" si="3"/>
        <v>0</v>
      </c>
      <c r="I54" s="21">
        <f t="shared" si="3"/>
        <v>0</v>
      </c>
      <c r="J54" s="21">
        <f t="shared" si="3"/>
        <v>0</v>
      </c>
      <c r="K54" s="21">
        <f t="shared" si="3"/>
        <v>0</v>
      </c>
      <c r="L54" s="21">
        <f t="shared" si="3"/>
        <v>0</v>
      </c>
      <c r="M54" s="21">
        <f t="shared" si="3"/>
        <v>300.34043296156915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0.20111873507312034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1411.9212787864994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95222.655975999995</v>
      </c>
      <c r="D10" s="1013">
        <f ca="1">tertiair!C16</f>
        <v>34.071428571428577</v>
      </c>
      <c r="E10" s="1013">
        <f ca="1">tertiair!D16</f>
        <v>91804.558753107165</v>
      </c>
      <c r="F10" s="1013">
        <f>tertiair!E16</f>
        <v>1743.8804467120099</v>
      </c>
      <c r="G10" s="1013">
        <f ca="1">tertiair!F16</f>
        <v>16823.79296390355</v>
      </c>
      <c r="H10" s="1013">
        <f>tertiair!G16</f>
        <v>0</v>
      </c>
      <c r="I10" s="1013">
        <f>tertiair!H16</f>
        <v>0</v>
      </c>
      <c r="J10" s="1013">
        <f>tertiair!I16</f>
        <v>0</v>
      </c>
      <c r="K10" s="1013">
        <f>tertiair!J16</f>
        <v>0.23248558549660953</v>
      </c>
      <c r="L10" s="1013">
        <f>tertiair!K16</f>
        <v>0</v>
      </c>
      <c r="M10" s="1013">
        <f ca="1">tertiair!L16</f>
        <v>0</v>
      </c>
      <c r="N10" s="1013">
        <f>tertiair!M16</f>
        <v>0</v>
      </c>
      <c r="O10" s="1013">
        <f ca="1">tertiair!N16</f>
        <v>7948.1857810318425</v>
      </c>
      <c r="P10" s="1013">
        <f>tertiair!O16</f>
        <v>0</v>
      </c>
      <c r="Q10" s="1014">
        <f>tertiair!P16</f>
        <v>57.2</v>
      </c>
      <c r="R10" s="700">
        <f ca="1">SUM(C10:Q10)</f>
        <v>213634.5778349115</v>
      </c>
      <c r="S10" s="67"/>
    </row>
    <row r="11" spans="1:19" s="473" customFormat="1">
      <c r="A11" s="809" t="s">
        <v>225</v>
      </c>
      <c r="B11" s="814"/>
      <c r="C11" s="1013">
        <f>huishoudens!B8</f>
        <v>64338.294987533154</v>
      </c>
      <c r="D11" s="1013">
        <f>huishoudens!C8</f>
        <v>0</v>
      </c>
      <c r="E11" s="1013">
        <f>huishoudens!D8</f>
        <v>181870.42601310002</v>
      </c>
      <c r="F11" s="1013">
        <f>huishoudens!E8</f>
        <v>9552.2018124603837</v>
      </c>
      <c r="G11" s="1013">
        <f>huishoudens!F8</f>
        <v>90104.181655718974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34653.603621433816</v>
      </c>
      <c r="P11" s="1013">
        <f>huishoudens!O8</f>
        <v>479.94333333333338</v>
      </c>
      <c r="Q11" s="1014">
        <f>huishoudens!P8</f>
        <v>2821.8666666666668</v>
      </c>
      <c r="R11" s="700">
        <f>SUM(C11:Q11)</f>
        <v>383820.51809024636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92364.805336999983</v>
      </c>
      <c r="D13" s="1013">
        <f>industrie!C18</f>
        <v>0</v>
      </c>
      <c r="E13" s="1013">
        <f>industrie!D18</f>
        <v>49007.910351994011</v>
      </c>
      <c r="F13" s="1013">
        <f>industrie!E18</f>
        <v>2299.5218833045296</v>
      </c>
      <c r="G13" s="1013">
        <f>industrie!F18</f>
        <v>12264.931524372729</v>
      </c>
      <c r="H13" s="1013">
        <f>industrie!G18</f>
        <v>0</v>
      </c>
      <c r="I13" s="1013">
        <f>industrie!H18</f>
        <v>0</v>
      </c>
      <c r="J13" s="1013">
        <f>industrie!I18</f>
        <v>0</v>
      </c>
      <c r="K13" s="1013">
        <f>industrie!J18</f>
        <v>2.5024449178607444</v>
      </c>
      <c r="L13" s="1013">
        <f>industrie!K18</f>
        <v>0</v>
      </c>
      <c r="M13" s="1013">
        <f>industrie!L18</f>
        <v>0</v>
      </c>
      <c r="N13" s="1013">
        <f>industrie!M18</f>
        <v>0</v>
      </c>
      <c r="O13" s="1013">
        <f>industrie!N18</f>
        <v>4382.941677633281</v>
      </c>
      <c r="P13" s="1013">
        <f>industrie!O18</f>
        <v>0</v>
      </c>
      <c r="Q13" s="1014">
        <f>industrie!P18</f>
        <v>0</v>
      </c>
      <c r="R13" s="700">
        <f>SUM(C13:Q13)</f>
        <v>160322.61321922237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251925.75630053313</v>
      </c>
      <c r="D16" s="732">
        <f t="shared" ref="D16:R16" ca="1" si="0">SUM(D9:D15)</f>
        <v>34.071428571428577</v>
      </c>
      <c r="E16" s="732">
        <f t="shared" ca="1" si="0"/>
        <v>322682.89511820115</v>
      </c>
      <c r="F16" s="732">
        <f t="shared" si="0"/>
        <v>13595.604142476923</v>
      </c>
      <c r="G16" s="732">
        <f t="shared" ca="1" si="0"/>
        <v>119192.90614399525</v>
      </c>
      <c r="H16" s="732">
        <f t="shared" si="0"/>
        <v>0</v>
      </c>
      <c r="I16" s="732">
        <f t="shared" si="0"/>
        <v>0</v>
      </c>
      <c r="J16" s="732">
        <f t="shared" si="0"/>
        <v>0</v>
      </c>
      <c r="K16" s="732">
        <f t="shared" si="0"/>
        <v>2.7349305033573539</v>
      </c>
      <c r="L16" s="732">
        <f t="shared" si="0"/>
        <v>0</v>
      </c>
      <c r="M16" s="732">
        <f t="shared" ca="1" si="0"/>
        <v>0</v>
      </c>
      <c r="N16" s="732">
        <f t="shared" si="0"/>
        <v>0</v>
      </c>
      <c r="O16" s="732">
        <f t="shared" ca="1" si="0"/>
        <v>46984.731080098936</v>
      </c>
      <c r="P16" s="732">
        <f t="shared" si="0"/>
        <v>479.94333333333338</v>
      </c>
      <c r="Q16" s="732">
        <f t="shared" si="0"/>
        <v>2879.0666666666666</v>
      </c>
      <c r="R16" s="732">
        <f t="shared" ca="1" si="0"/>
        <v>757777.70914438029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5288.094677102994</v>
      </c>
      <c r="I19" s="1013">
        <f>transport!H54</f>
        <v>0</v>
      </c>
      <c r="J19" s="1013">
        <f>transport!I54</f>
        <v>0</v>
      </c>
      <c r="K19" s="1013">
        <f>transport!J54</f>
        <v>0</v>
      </c>
      <c r="L19" s="1013">
        <f>transport!K54</f>
        <v>0</v>
      </c>
      <c r="M19" s="1013">
        <f>transport!L54</f>
        <v>0</v>
      </c>
      <c r="N19" s="1013">
        <f>transport!M54</f>
        <v>300.34043296156915</v>
      </c>
      <c r="O19" s="1013">
        <f>transport!N54</f>
        <v>0</v>
      </c>
      <c r="P19" s="1013">
        <f>transport!O54</f>
        <v>0</v>
      </c>
      <c r="Q19" s="1014">
        <f>transport!P54</f>
        <v>0</v>
      </c>
      <c r="R19" s="700">
        <f>SUM(C19:Q19)</f>
        <v>5588.4351100645636</v>
      </c>
      <c r="S19" s="67"/>
    </row>
    <row r="20" spans="1:19" s="473" customFormat="1">
      <c r="A20" s="809" t="s">
        <v>307</v>
      </c>
      <c r="B20" s="814"/>
      <c r="C20" s="1013">
        <f>transport!B14</f>
        <v>119.41857190122859</v>
      </c>
      <c r="D20" s="1013">
        <f>transport!C14</f>
        <v>0</v>
      </c>
      <c r="E20" s="1013">
        <f>transport!D14</f>
        <v>429.58457770201602</v>
      </c>
      <c r="F20" s="1013">
        <f>transport!E14</f>
        <v>570.40427532565161</v>
      </c>
      <c r="G20" s="1013">
        <f>transport!F14</f>
        <v>0</v>
      </c>
      <c r="H20" s="1013">
        <f>transport!G14</f>
        <v>194834.60575733156</v>
      </c>
      <c r="I20" s="1013">
        <f>transport!H14</f>
        <v>48352.088892369378</v>
      </c>
      <c r="J20" s="1013">
        <f>transport!I14</f>
        <v>0</v>
      </c>
      <c r="K20" s="1013">
        <f>transport!J14</f>
        <v>0</v>
      </c>
      <c r="L20" s="1013">
        <f>transport!K14</f>
        <v>0</v>
      </c>
      <c r="M20" s="1013">
        <f>transport!L14</f>
        <v>0</v>
      </c>
      <c r="N20" s="1013">
        <f>transport!M14</f>
        <v>12809.633742770155</v>
      </c>
      <c r="O20" s="1013">
        <f>transport!N14</f>
        <v>0</v>
      </c>
      <c r="P20" s="1013">
        <f>transport!O14</f>
        <v>0</v>
      </c>
      <c r="Q20" s="1014">
        <f>transport!P14</f>
        <v>0</v>
      </c>
      <c r="R20" s="700">
        <f>SUM(C20:Q20)</f>
        <v>257115.73581739998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119.41857190122859</v>
      </c>
      <c r="D22" s="812">
        <f t="shared" ref="D22:R22" si="1">SUM(D18:D21)</f>
        <v>0</v>
      </c>
      <c r="E22" s="812">
        <f t="shared" si="1"/>
        <v>429.58457770201602</v>
      </c>
      <c r="F22" s="812">
        <f t="shared" si="1"/>
        <v>570.40427532565161</v>
      </c>
      <c r="G22" s="812">
        <f t="shared" si="1"/>
        <v>0</v>
      </c>
      <c r="H22" s="812">
        <f t="shared" si="1"/>
        <v>200122.70043443455</v>
      </c>
      <c r="I22" s="812">
        <f t="shared" si="1"/>
        <v>48352.088892369378</v>
      </c>
      <c r="J22" s="812">
        <f t="shared" si="1"/>
        <v>0</v>
      </c>
      <c r="K22" s="812">
        <f t="shared" si="1"/>
        <v>0</v>
      </c>
      <c r="L22" s="812">
        <f t="shared" si="1"/>
        <v>0</v>
      </c>
      <c r="M22" s="812">
        <f t="shared" si="1"/>
        <v>0</v>
      </c>
      <c r="N22" s="812">
        <f t="shared" si="1"/>
        <v>13109.974175731724</v>
      </c>
      <c r="O22" s="812">
        <f t="shared" si="1"/>
        <v>0</v>
      </c>
      <c r="P22" s="812">
        <f t="shared" si="1"/>
        <v>0</v>
      </c>
      <c r="Q22" s="812">
        <f t="shared" si="1"/>
        <v>0</v>
      </c>
      <c r="R22" s="812">
        <f t="shared" si="1"/>
        <v>262704.17092746455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10711.000410000001</v>
      </c>
      <c r="D24" s="1013">
        <f>+landbouw!C8</f>
        <v>0</v>
      </c>
      <c r="E24" s="1013">
        <f>+landbouw!D8</f>
        <v>6373.4529505239998</v>
      </c>
      <c r="F24" s="1013">
        <f>+landbouw!E8</f>
        <v>314.82901722118623</v>
      </c>
      <c r="G24" s="1013">
        <f>+landbouw!F8</f>
        <v>44621.448915977293</v>
      </c>
      <c r="H24" s="1013">
        <f>+landbouw!G8</f>
        <v>0</v>
      </c>
      <c r="I24" s="1013">
        <f>+landbouw!H8</f>
        <v>0</v>
      </c>
      <c r="J24" s="1013">
        <f>+landbouw!I8</f>
        <v>0</v>
      </c>
      <c r="K24" s="1013">
        <f>+landbouw!J8</f>
        <v>1551.7939380421667</v>
      </c>
      <c r="L24" s="1013">
        <f>+landbouw!K8</f>
        <v>0</v>
      </c>
      <c r="M24" s="1013">
        <f>+landbouw!L8</f>
        <v>0</v>
      </c>
      <c r="N24" s="1013">
        <f>+landbouw!M8</f>
        <v>0</v>
      </c>
      <c r="O24" s="1013">
        <f>+landbouw!N8</f>
        <v>0</v>
      </c>
      <c r="P24" s="1013">
        <f>+landbouw!O8</f>
        <v>0</v>
      </c>
      <c r="Q24" s="1014">
        <f>+landbouw!P8</f>
        <v>0</v>
      </c>
      <c r="R24" s="700">
        <f>SUM(C24:Q24)</f>
        <v>63572.525231764645</v>
      </c>
      <c r="S24" s="67"/>
    </row>
    <row r="25" spans="1:19" s="473" customFormat="1" ht="15" thickBot="1">
      <c r="A25" s="831" t="s">
        <v>836</v>
      </c>
      <c r="B25" s="1016"/>
      <c r="C25" s="1017">
        <f>IF(Onbekend_ele_kWh="---",0,Onbekend_ele_kWh)/1000+IF(REST_rest_ele_kWh="---",0,REST_rest_ele_kWh)/1000</f>
        <v>2184.0437499999998</v>
      </c>
      <c r="D25" s="1017"/>
      <c r="E25" s="1017">
        <f>IF(onbekend_gas_kWh="---",0,onbekend_gas_kWh)/1000+IF(REST_rest_gas_kWh="---",0,REST_rest_gas_kWh)/1000</f>
        <v>9527.4792689999995</v>
      </c>
      <c r="F25" s="1017"/>
      <c r="G25" s="1017"/>
      <c r="H25" s="1017"/>
      <c r="I25" s="1017"/>
      <c r="J25" s="1017"/>
      <c r="K25" s="1017"/>
      <c r="L25" s="1017"/>
      <c r="M25" s="1017"/>
      <c r="N25" s="1017"/>
      <c r="O25" s="1017"/>
      <c r="P25" s="1017"/>
      <c r="Q25" s="1018"/>
      <c r="R25" s="700">
        <f>SUM(C25:Q25)</f>
        <v>11711.523019</v>
      </c>
      <c r="S25" s="67"/>
    </row>
    <row r="26" spans="1:19" s="473" customFormat="1" ht="15.75" thickBot="1">
      <c r="A26" s="705" t="s">
        <v>837</v>
      </c>
      <c r="B26" s="817"/>
      <c r="C26" s="812">
        <f>SUM(C24:C25)</f>
        <v>12895.044160000001</v>
      </c>
      <c r="D26" s="812">
        <f t="shared" ref="D26:R26" si="2">SUM(D24:D25)</f>
        <v>0</v>
      </c>
      <c r="E26" s="812">
        <f t="shared" si="2"/>
        <v>15900.932219523998</v>
      </c>
      <c r="F26" s="812">
        <f t="shared" si="2"/>
        <v>314.82901722118623</v>
      </c>
      <c r="G26" s="812">
        <f t="shared" si="2"/>
        <v>44621.448915977293</v>
      </c>
      <c r="H26" s="812">
        <f t="shared" si="2"/>
        <v>0</v>
      </c>
      <c r="I26" s="812">
        <f t="shared" si="2"/>
        <v>0</v>
      </c>
      <c r="J26" s="812">
        <f t="shared" si="2"/>
        <v>0</v>
      </c>
      <c r="K26" s="812">
        <f t="shared" si="2"/>
        <v>1551.7939380421667</v>
      </c>
      <c r="L26" s="812">
        <f t="shared" si="2"/>
        <v>0</v>
      </c>
      <c r="M26" s="812">
        <f t="shared" si="2"/>
        <v>0</v>
      </c>
      <c r="N26" s="812">
        <f t="shared" si="2"/>
        <v>0</v>
      </c>
      <c r="O26" s="812">
        <f t="shared" si="2"/>
        <v>0</v>
      </c>
      <c r="P26" s="812">
        <f t="shared" si="2"/>
        <v>0</v>
      </c>
      <c r="Q26" s="812">
        <f t="shared" si="2"/>
        <v>0</v>
      </c>
      <c r="R26" s="812">
        <f t="shared" si="2"/>
        <v>75284.048250764637</v>
      </c>
      <c r="S26" s="67"/>
    </row>
    <row r="27" spans="1:19" s="473" customFormat="1" ht="17.25" thickTop="1" thickBot="1">
      <c r="A27" s="706" t="s">
        <v>116</v>
      </c>
      <c r="B27" s="805"/>
      <c r="C27" s="707">
        <f ca="1">C22+C16+C26</f>
        <v>264940.21903243434</v>
      </c>
      <c r="D27" s="707">
        <f t="shared" ref="D27:R27" ca="1" si="3">D22+D16+D26</f>
        <v>34.071428571428577</v>
      </c>
      <c r="E27" s="707">
        <f t="shared" ca="1" si="3"/>
        <v>339013.41191542719</v>
      </c>
      <c r="F27" s="707">
        <f t="shared" si="3"/>
        <v>14480.837435023759</v>
      </c>
      <c r="G27" s="707">
        <f t="shared" ca="1" si="3"/>
        <v>163814.35505997256</v>
      </c>
      <c r="H27" s="707">
        <f t="shared" si="3"/>
        <v>200122.70043443455</v>
      </c>
      <c r="I27" s="707">
        <f t="shared" si="3"/>
        <v>48352.088892369378</v>
      </c>
      <c r="J27" s="707">
        <f t="shared" si="3"/>
        <v>0</v>
      </c>
      <c r="K27" s="707">
        <f t="shared" si="3"/>
        <v>1554.5288685455241</v>
      </c>
      <c r="L27" s="707">
        <f t="shared" si="3"/>
        <v>0</v>
      </c>
      <c r="M27" s="707">
        <f t="shared" ca="1" si="3"/>
        <v>0</v>
      </c>
      <c r="N27" s="707">
        <f t="shared" si="3"/>
        <v>13109.974175731724</v>
      </c>
      <c r="O27" s="707">
        <f t="shared" ca="1" si="3"/>
        <v>46984.731080098936</v>
      </c>
      <c r="P27" s="707">
        <f t="shared" si="3"/>
        <v>479.94333333333338</v>
      </c>
      <c r="Q27" s="707">
        <f t="shared" si="3"/>
        <v>2879.0666666666666</v>
      </c>
      <c r="R27" s="707">
        <f t="shared" ca="1" si="3"/>
        <v>1095765.9283226095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19151.06012019602</v>
      </c>
      <c r="D40" s="1013">
        <f ca="1">tertiair!C20</f>
        <v>8.0969747899159685</v>
      </c>
      <c r="E40" s="1013">
        <f ca="1">tertiair!D20</f>
        <v>18544.520868127649</v>
      </c>
      <c r="F40" s="1013">
        <f>tertiair!E20</f>
        <v>395.86086140362625</v>
      </c>
      <c r="G40" s="1013">
        <f ca="1">tertiair!F20</f>
        <v>4491.9527213622478</v>
      </c>
      <c r="H40" s="1013">
        <f>tertiair!G20</f>
        <v>0</v>
      </c>
      <c r="I40" s="1013">
        <f>tertiair!H20</f>
        <v>0</v>
      </c>
      <c r="J40" s="1013">
        <f>tertiair!I20</f>
        <v>0</v>
      </c>
      <c r="K40" s="1013">
        <f>tertiair!J20</f>
        <v>8.2299897265799768E-2</v>
      </c>
      <c r="L40" s="1013">
        <f>tertiair!K20</f>
        <v>0</v>
      </c>
      <c r="M40" s="1013">
        <f ca="1">tertiair!L20</f>
        <v>0</v>
      </c>
      <c r="N40" s="1013">
        <f>tertiair!M20</f>
        <v>0</v>
      </c>
      <c r="O40" s="1013">
        <f ca="1">tertiair!N20</f>
        <v>0</v>
      </c>
      <c r="P40" s="1013">
        <f>tertiair!O20</f>
        <v>0</v>
      </c>
      <c r="Q40" s="774">
        <f>tertiair!P20</f>
        <v>0</v>
      </c>
      <c r="R40" s="850">
        <f t="shared" ca="1" si="4"/>
        <v>42591.573845776729</v>
      </c>
    </row>
    <row r="41" spans="1:18">
      <c r="A41" s="822" t="s">
        <v>225</v>
      </c>
      <c r="B41" s="829"/>
      <c r="C41" s="1013">
        <f ca="1">huishoudens!B12</f>
        <v>12939.636504653947</v>
      </c>
      <c r="D41" s="1013">
        <f ca="1">huishoudens!C12</f>
        <v>0</v>
      </c>
      <c r="E41" s="1013">
        <f>huishoudens!D12</f>
        <v>36737.826054646204</v>
      </c>
      <c r="F41" s="1013">
        <f>huishoudens!E12</f>
        <v>2168.3498114285071</v>
      </c>
      <c r="G41" s="1013">
        <f>huishoudens!F12</f>
        <v>24057.816502076967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75903.628872805624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18576.292814652432</v>
      </c>
      <c r="D43" s="1013">
        <f ca="1">industrie!C22</f>
        <v>0</v>
      </c>
      <c r="E43" s="1013">
        <f>industrie!D22</f>
        <v>9899.5978911027905</v>
      </c>
      <c r="F43" s="1013">
        <f>industrie!E22</f>
        <v>521.99146751012825</v>
      </c>
      <c r="G43" s="1013">
        <f>industrie!F22</f>
        <v>3274.7367170075186</v>
      </c>
      <c r="H43" s="1013">
        <f>industrie!G22</f>
        <v>0</v>
      </c>
      <c r="I43" s="1013">
        <f>industrie!H22</f>
        <v>0</v>
      </c>
      <c r="J43" s="1013">
        <f>industrie!I22</f>
        <v>0</v>
      </c>
      <c r="K43" s="1013">
        <f>industrie!J22</f>
        <v>0.88586550092270344</v>
      </c>
      <c r="L43" s="1013">
        <f>industrie!K22</f>
        <v>0</v>
      </c>
      <c r="M43" s="1013">
        <f>industrie!L22</f>
        <v>0</v>
      </c>
      <c r="N43" s="1013">
        <f>industrie!M22</f>
        <v>0</v>
      </c>
      <c r="O43" s="1013">
        <f>industrie!N22</f>
        <v>0</v>
      </c>
      <c r="P43" s="1013">
        <f>industrie!O22</f>
        <v>0</v>
      </c>
      <c r="Q43" s="774">
        <f>industrie!P22</f>
        <v>0</v>
      </c>
      <c r="R43" s="849">
        <f t="shared" ca="1" si="4"/>
        <v>32273.504755773793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50666.989439502402</v>
      </c>
      <c r="D46" s="732">
        <f t="shared" ref="D46:Q46" ca="1" si="5">SUM(D39:D45)</f>
        <v>8.0969747899159685</v>
      </c>
      <c r="E46" s="732">
        <f t="shared" ca="1" si="5"/>
        <v>65181.944813876646</v>
      </c>
      <c r="F46" s="732">
        <f t="shared" si="5"/>
        <v>3086.2021403422614</v>
      </c>
      <c r="G46" s="732">
        <f t="shared" ca="1" si="5"/>
        <v>31824.505940446736</v>
      </c>
      <c r="H46" s="732">
        <f t="shared" si="5"/>
        <v>0</v>
      </c>
      <c r="I46" s="732">
        <f t="shared" si="5"/>
        <v>0</v>
      </c>
      <c r="J46" s="732">
        <f t="shared" si="5"/>
        <v>0</v>
      </c>
      <c r="K46" s="732">
        <f t="shared" si="5"/>
        <v>0.96816539818850322</v>
      </c>
      <c r="L46" s="732">
        <f t="shared" si="5"/>
        <v>0</v>
      </c>
      <c r="M46" s="732">
        <f t="shared" ca="1" si="5"/>
        <v>0</v>
      </c>
      <c r="N46" s="732">
        <f t="shared" si="5"/>
        <v>0</v>
      </c>
      <c r="O46" s="732">
        <f t="shared" ca="1" si="5"/>
        <v>0</v>
      </c>
      <c r="P46" s="732">
        <f t="shared" si="5"/>
        <v>0</v>
      </c>
      <c r="Q46" s="732">
        <f t="shared" si="5"/>
        <v>0</v>
      </c>
      <c r="R46" s="732">
        <f ca="1">SUM(R39:R45)</f>
        <v>150768.70747435614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1411.9212787864994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1411.9212787864994</v>
      </c>
    </row>
    <row r="50" spans="1:18">
      <c r="A50" s="825" t="s">
        <v>307</v>
      </c>
      <c r="B50" s="835"/>
      <c r="C50" s="703">
        <f ca="1">transport!B18</f>
        <v>24.017312125013564</v>
      </c>
      <c r="D50" s="703">
        <f>transport!C18</f>
        <v>0</v>
      </c>
      <c r="E50" s="703">
        <f>transport!D18</f>
        <v>86.776084695807242</v>
      </c>
      <c r="F50" s="703">
        <f>transport!E18</f>
        <v>129.48177049892291</v>
      </c>
      <c r="G50" s="703">
        <f>transport!F18</f>
        <v>0</v>
      </c>
      <c r="H50" s="703">
        <f>transport!G18</f>
        <v>52020.839737207527</v>
      </c>
      <c r="I50" s="703">
        <f>transport!H18</f>
        <v>12039.670134199976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64300.785038727248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24.017312125013564</v>
      </c>
      <c r="D52" s="732">
        <f t="shared" ref="D52:Q52" ca="1" si="6">SUM(D48:D51)</f>
        <v>0</v>
      </c>
      <c r="E52" s="732">
        <f t="shared" si="6"/>
        <v>86.776084695807242</v>
      </c>
      <c r="F52" s="732">
        <f t="shared" si="6"/>
        <v>129.48177049892291</v>
      </c>
      <c r="G52" s="732">
        <f t="shared" si="6"/>
        <v>0</v>
      </c>
      <c r="H52" s="732">
        <f t="shared" si="6"/>
        <v>53432.761015994023</v>
      </c>
      <c r="I52" s="732">
        <f t="shared" si="6"/>
        <v>12039.670134199976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65712.706317513745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2154.1828538268733</v>
      </c>
      <c r="D54" s="703">
        <f ca="1">+landbouw!C12</f>
        <v>0</v>
      </c>
      <c r="E54" s="703">
        <f>+landbouw!D12</f>
        <v>1287.4374960058481</v>
      </c>
      <c r="F54" s="703">
        <f>+landbouw!E12</f>
        <v>71.466186909209284</v>
      </c>
      <c r="G54" s="703">
        <f>+landbouw!F12</f>
        <v>11913.926860565938</v>
      </c>
      <c r="H54" s="703">
        <f>+landbouw!G12</f>
        <v>0</v>
      </c>
      <c r="I54" s="703">
        <f>+landbouw!H12</f>
        <v>0</v>
      </c>
      <c r="J54" s="703">
        <f>+landbouw!I12</f>
        <v>0</v>
      </c>
      <c r="K54" s="703">
        <f>+landbouw!J12</f>
        <v>549.335054066927</v>
      </c>
      <c r="L54" s="703">
        <f>+landbouw!K12</f>
        <v>0</v>
      </c>
      <c r="M54" s="703">
        <f>+landbouw!L12</f>
        <v>0</v>
      </c>
      <c r="N54" s="703">
        <f>+landbouw!M12</f>
        <v>0</v>
      </c>
      <c r="O54" s="703">
        <f>+landbouw!N12</f>
        <v>0</v>
      </c>
      <c r="P54" s="703">
        <f>+landbouw!O12</f>
        <v>0</v>
      </c>
      <c r="Q54" s="704">
        <f>+landbouw!P12</f>
        <v>0</v>
      </c>
      <c r="R54" s="731">
        <f ca="1">SUM(C54:Q54)</f>
        <v>15976.348451374795</v>
      </c>
    </row>
    <row r="55" spans="1:18" ht="15" thickBot="1">
      <c r="A55" s="825" t="s">
        <v>836</v>
      </c>
      <c r="B55" s="835"/>
      <c r="C55" s="703">
        <f ca="1">C25*'EF ele_warmte'!B12</f>
        <v>439.25211634435425</v>
      </c>
      <c r="D55" s="703"/>
      <c r="E55" s="703">
        <f>E25*EF_CO2_aardgas</f>
        <v>1924.550812338</v>
      </c>
      <c r="F55" s="703"/>
      <c r="G55" s="703"/>
      <c r="H55" s="703"/>
      <c r="I55" s="703"/>
      <c r="J55" s="703"/>
      <c r="K55" s="703"/>
      <c r="L55" s="703"/>
      <c r="M55" s="703"/>
      <c r="N55" s="703"/>
      <c r="O55" s="703"/>
      <c r="P55" s="703"/>
      <c r="Q55" s="704"/>
      <c r="R55" s="731">
        <f ca="1">SUM(C55:Q55)</f>
        <v>2363.8029286823544</v>
      </c>
    </row>
    <row r="56" spans="1:18" ht="15.75" thickBot="1">
      <c r="A56" s="823" t="s">
        <v>837</v>
      </c>
      <c r="B56" s="836"/>
      <c r="C56" s="732">
        <f ca="1">SUM(C54:C55)</f>
        <v>2593.4349701712276</v>
      </c>
      <c r="D56" s="732">
        <f t="shared" ref="D56:Q56" ca="1" si="7">SUM(D54:D55)</f>
        <v>0</v>
      </c>
      <c r="E56" s="732">
        <f t="shared" si="7"/>
        <v>3211.9883083438481</v>
      </c>
      <c r="F56" s="732">
        <f t="shared" si="7"/>
        <v>71.466186909209284</v>
      </c>
      <c r="G56" s="732">
        <f t="shared" si="7"/>
        <v>11913.926860565938</v>
      </c>
      <c r="H56" s="732">
        <f t="shared" si="7"/>
        <v>0</v>
      </c>
      <c r="I56" s="732">
        <f t="shared" si="7"/>
        <v>0</v>
      </c>
      <c r="J56" s="732">
        <f t="shared" si="7"/>
        <v>0</v>
      </c>
      <c r="K56" s="732">
        <f t="shared" si="7"/>
        <v>549.335054066927</v>
      </c>
      <c r="L56" s="732">
        <f t="shared" si="7"/>
        <v>0</v>
      </c>
      <c r="M56" s="732">
        <f t="shared" si="7"/>
        <v>0</v>
      </c>
      <c r="N56" s="732">
        <f t="shared" si="7"/>
        <v>0</v>
      </c>
      <c r="O56" s="732">
        <f t="shared" si="7"/>
        <v>0</v>
      </c>
      <c r="P56" s="732">
        <f t="shared" si="7"/>
        <v>0</v>
      </c>
      <c r="Q56" s="733">
        <f t="shared" si="7"/>
        <v>0</v>
      </c>
      <c r="R56" s="734">
        <f ca="1">SUM(R54:R55)</f>
        <v>18340.151380057148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53284.441721798641</v>
      </c>
      <c r="D61" s="740">
        <f t="shared" ref="D61:Q61" ca="1" si="8">D46+D52+D56</f>
        <v>8.0969747899159685</v>
      </c>
      <c r="E61" s="740">
        <f t="shared" ca="1" si="8"/>
        <v>68480.709206916305</v>
      </c>
      <c r="F61" s="740">
        <f t="shared" si="8"/>
        <v>3287.1500977503933</v>
      </c>
      <c r="G61" s="740">
        <f t="shared" ca="1" si="8"/>
        <v>43738.432801012677</v>
      </c>
      <c r="H61" s="740">
        <f t="shared" si="8"/>
        <v>53432.761015994023</v>
      </c>
      <c r="I61" s="740">
        <f t="shared" si="8"/>
        <v>12039.670134199976</v>
      </c>
      <c r="J61" s="740">
        <f t="shared" si="8"/>
        <v>0</v>
      </c>
      <c r="K61" s="740">
        <f t="shared" si="8"/>
        <v>550.30321946511549</v>
      </c>
      <c r="L61" s="740">
        <f t="shared" si="8"/>
        <v>0</v>
      </c>
      <c r="M61" s="740">
        <f t="shared" ca="1" si="8"/>
        <v>0</v>
      </c>
      <c r="N61" s="740">
        <f t="shared" si="8"/>
        <v>0</v>
      </c>
      <c r="O61" s="740">
        <f t="shared" ca="1" si="8"/>
        <v>0</v>
      </c>
      <c r="P61" s="740">
        <f t="shared" si="8"/>
        <v>0</v>
      </c>
      <c r="Q61" s="740">
        <f t="shared" si="8"/>
        <v>0</v>
      </c>
      <c r="R61" s="740">
        <f ca="1">R46+R52+R56</f>
        <v>234821.56517192704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0.20111873507312036</v>
      </c>
      <c r="D63" s="781">
        <f t="shared" ca="1" si="9"/>
        <v>0.23764705882352943</v>
      </c>
      <c r="E63" s="1024">
        <f t="shared" ca="1" si="9"/>
        <v>0.20200000000000004</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23340.94441955792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23.85</v>
      </c>
      <c r="D76" s="1034">
        <f>'lokale energieproductie'!C8</f>
        <v>28.058823529411768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5.6678823529411773</v>
      </c>
      <c r="R76" s="852">
        <v>0</v>
      </c>
    </row>
    <row r="77" spans="1:18" ht="30.75" thickBot="1">
      <c r="A77" s="753" t="s">
        <v>353</v>
      </c>
      <c r="B77" s="750">
        <f>'lokale energieproductie'!B9*IFERROR(SUM(I77:O77)/SUM(D77:O77),0)</f>
        <v>495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1414.2857142857144</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23835.94441955792</v>
      </c>
      <c r="C78" s="755">
        <f>SUM(C72:C77)</f>
        <v>23.85</v>
      </c>
      <c r="D78" s="756">
        <f t="shared" ref="D78:H78" si="10">SUM(D76:D77)</f>
        <v>28.058823529411768</v>
      </c>
      <c r="E78" s="756">
        <f t="shared" si="10"/>
        <v>0</v>
      </c>
      <c r="F78" s="756">
        <f t="shared" si="10"/>
        <v>0</v>
      </c>
      <c r="G78" s="756">
        <f t="shared" si="10"/>
        <v>0</v>
      </c>
      <c r="H78" s="756">
        <f t="shared" si="10"/>
        <v>0</v>
      </c>
      <c r="I78" s="756">
        <f>SUM(I76:I77)</f>
        <v>0</v>
      </c>
      <c r="J78" s="756">
        <f>SUM(J76:J77)</f>
        <v>1414.2857142857144</v>
      </c>
      <c r="K78" s="756">
        <f t="shared" ref="K78:L78" si="11">SUM(K76:K77)</f>
        <v>0</v>
      </c>
      <c r="L78" s="756">
        <f t="shared" si="11"/>
        <v>0</v>
      </c>
      <c r="M78" s="756">
        <f>SUM(M76:M77)</f>
        <v>0</v>
      </c>
      <c r="N78" s="756">
        <f>SUM(N76:N77)</f>
        <v>0</v>
      </c>
      <c r="O78" s="860">
        <f>SUM(O76:O77)</f>
        <v>0</v>
      </c>
      <c r="P78" s="757">
        <v>0</v>
      </c>
      <c r="Q78" s="757">
        <f>SUM(Q76:Q77)</f>
        <v>5.6678823529411773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34.071428571428577</v>
      </c>
      <c r="D87" s="777">
        <f>'lokale energieproductie'!C17</f>
        <v>40.084033613445385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8.0969747899159685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34.071428571428577</v>
      </c>
      <c r="D90" s="755">
        <f t="shared" ref="D90:H90" si="12">SUM(D87:D89)</f>
        <v>40.084033613445385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8.0969747899159685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23340.94441955792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23.85</v>
      </c>
      <c r="C8" s="570">
        <f>B101</f>
        <v>28.058823529411768</v>
      </c>
      <c r="D8" s="1044"/>
      <c r="E8" s="1044">
        <f>E101</f>
        <v>0</v>
      </c>
      <c r="F8" s="1045"/>
      <c r="G8" s="571"/>
      <c r="H8" s="1044">
        <f>I101</f>
        <v>0</v>
      </c>
      <c r="I8" s="1044">
        <f>G101+F101</f>
        <v>0</v>
      </c>
      <c r="J8" s="1044">
        <f>H101+D101+C101</f>
        <v>0</v>
      </c>
      <c r="K8" s="1044"/>
      <c r="L8" s="1044"/>
      <c r="M8" s="1044"/>
      <c r="N8" s="572"/>
      <c r="O8" s="573">
        <f>C8*$C$12+D8*$D$12+E8*$E$12+F8*$F$12+G8*$G$12+H8*$H$12+I8*$I$12+J8*$J$12</f>
        <v>5.6678823529411773</v>
      </c>
      <c r="P8" s="1238"/>
      <c r="Q8" s="1239"/>
      <c r="S8" s="1007"/>
      <c r="T8" s="1275"/>
      <c r="U8" s="1275"/>
    </row>
    <row r="9" spans="1:21" s="559" customFormat="1" ht="17.45" customHeight="1" thickBot="1">
      <c r="A9" s="574" t="s">
        <v>248</v>
      </c>
      <c r="B9" s="575">
        <f>N89+'Eigen informatie GS &amp; warmtenet'!B12</f>
        <v>495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23859.794419557918</v>
      </c>
      <c r="C10" s="583">
        <f t="shared" ref="C10:L10" si="0">SUM(C8:C9)</f>
        <v>28.058823529411768</v>
      </c>
      <c r="D10" s="583">
        <f t="shared" si="0"/>
        <v>0</v>
      </c>
      <c r="E10" s="583">
        <f t="shared" si="0"/>
        <v>0</v>
      </c>
      <c r="F10" s="583">
        <f t="shared" si="0"/>
        <v>0</v>
      </c>
      <c r="G10" s="583">
        <f t="shared" si="0"/>
        <v>0</v>
      </c>
      <c r="H10" s="583">
        <f t="shared" si="0"/>
        <v>0</v>
      </c>
      <c r="I10" s="583">
        <f t="shared" si="0"/>
        <v>0</v>
      </c>
      <c r="J10" s="583">
        <f t="shared" si="0"/>
        <v>1414.2857142857144</v>
      </c>
      <c r="K10" s="583">
        <f t="shared" si="0"/>
        <v>0</v>
      </c>
      <c r="L10" s="583">
        <f t="shared" si="0"/>
        <v>0</v>
      </c>
      <c r="M10" s="1047"/>
      <c r="N10" s="1047"/>
      <c r="O10" s="584">
        <f>SUM(O4:O9)</f>
        <v>5.6678823529411773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34.071428571428577</v>
      </c>
      <c r="C17" s="595">
        <f>B102</f>
        <v>40.084033613445385</v>
      </c>
      <c r="D17" s="596"/>
      <c r="E17" s="596">
        <f>E102</f>
        <v>0</v>
      </c>
      <c r="F17" s="1050"/>
      <c r="G17" s="597"/>
      <c r="H17" s="595">
        <f>I102</f>
        <v>0</v>
      </c>
      <c r="I17" s="596">
        <f>G102+F102</f>
        <v>0</v>
      </c>
      <c r="J17" s="596">
        <f>H102+D102+C102</f>
        <v>0</v>
      </c>
      <c r="K17" s="596"/>
      <c r="L17" s="596"/>
      <c r="M17" s="596"/>
      <c r="N17" s="1051"/>
      <c r="O17" s="598">
        <f>C17*$C$22+E17*$E$22+H17*$H$22+I17*$I$22+J17*$J$22+D17*$D$22+F17*$F$22+G17*$G$22+K17*$K$22+L17*$L$22</f>
        <v>8.0969747899159685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34.071428571428577</v>
      </c>
      <c r="C20" s="582">
        <f>SUM(C17:C19)</f>
        <v>40.084033613445385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8.0969747899159685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71053</v>
      </c>
      <c r="C28" s="796">
        <v>3800</v>
      </c>
      <c r="D28" s="653" t="s">
        <v>881</v>
      </c>
      <c r="E28" s="652" t="s">
        <v>882</v>
      </c>
      <c r="F28" s="652" t="s">
        <v>883</v>
      </c>
      <c r="G28" s="652" t="s">
        <v>884</v>
      </c>
      <c r="H28" s="652" t="s">
        <v>885</v>
      </c>
      <c r="I28" s="652" t="s">
        <v>882</v>
      </c>
      <c r="J28" s="795">
        <v>39764</v>
      </c>
      <c r="K28" s="795">
        <v>40238</v>
      </c>
      <c r="L28" s="652" t="s">
        <v>886</v>
      </c>
      <c r="M28" s="652">
        <v>5.3</v>
      </c>
      <c r="N28" s="652">
        <v>23.85</v>
      </c>
      <c r="O28" s="652">
        <v>34.071428571428577</v>
      </c>
      <c r="P28" s="652">
        <v>68.142857142857153</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5.3</v>
      </c>
      <c r="N58" s="610">
        <f>SUM(N28:N57)</f>
        <v>23.85</v>
      </c>
      <c r="O58" s="610">
        <f t="shared" ref="O58:W58" si="2">SUM(O28:O57)</f>
        <v>34.071428571428577</v>
      </c>
      <c r="P58" s="610">
        <f t="shared" si="2"/>
        <v>68.142857142857153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5.3</v>
      </c>
      <c r="N60" s="610">
        <f ca="1">SUMIF($Z$28:AD57,"tertiair",N28:N57)</f>
        <v>23.85</v>
      </c>
      <c r="O60" s="610">
        <f ca="1">SUMIF($Z$28:AE57,"tertiair",O28:O57)</f>
        <v>34.071428571428577</v>
      </c>
      <c r="P60" s="610">
        <f ca="1">SUMIF($Z$28:AF57,"tertiair",P28:P57)</f>
        <v>68.142857142857153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71053</v>
      </c>
      <c r="C64" s="796">
        <v>3803</v>
      </c>
      <c r="D64" s="655" t="s">
        <v>887</v>
      </c>
      <c r="E64" s="655" t="s">
        <v>888</v>
      </c>
      <c r="F64" s="655" t="s">
        <v>889</v>
      </c>
      <c r="G64" s="655" t="s">
        <v>890</v>
      </c>
      <c r="H64" s="655" t="s">
        <v>891</v>
      </c>
      <c r="I64" s="655" t="s">
        <v>892</v>
      </c>
      <c r="J64" s="795">
        <v>40606</v>
      </c>
      <c r="K64" s="795">
        <v>40606</v>
      </c>
      <c r="L64" s="655" t="s">
        <v>886</v>
      </c>
      <c r="M64" s="655">
        <v>110</v>
      </c>
      <c r="N64" s="655">
        <v>495</v>
      </c>
      <c r="O64" s="655">
        <v>0</v>
      </c>
      <c r="P64" s="655">
        <v>0</v>
      </c>
      <c r="Q64" s="655">
        <v>1414.2857142857144</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110</v>
      </c>
      <c r="N89" s="610">
        <f t="shared" ref="N89:W89" si="5">SUM(N64:N88)</f>
        <v>495</v>
      </c>
      <c r="O89" s="610">
        <f t="shared" si="5"/>
        <v>0</v>
      </c>
      <c r="P89" s="610">
        <f t="shared" si="5"/>
        <v>0</v>
      </c>
      <c r="Q89" s="610">
        <f t="shared" si="5"/>
        <v>1414.2857142857144</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110</v>
      </c>
      <c r="N91" s="610">
        <f t="shared" si="7"/>
        <v>495</v>
      </c>
      <c r="O91" s="610">
        <f t="shared" si="7"/>
        <v>0</v>
      </c>
      <c r="P91" s="610">
        <f t="shared" si="7"/>
        <v>0</v>
      </c>
      <c r="Q91" s="610">
        <f t="shared" si="7"/>
        <v>1414.2857142857144</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28.058823529411768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40.084033613445385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64338.294987533154</v>
      </c>
      <c r="C4" s="477">
        <f>huishoudens!C8</f>
        <v>0</v>
      </c>
      <c r="D4" s="477">
        <f>huishoudens!D8</f>
        <v>181870.42601310002</v>
      </c>
      <c r="E4" s="477">
        <f>huishoudens!E8</f>
        <v>9552.2018124603837</v>
      </c>
      <c r="F4" s="477">
        <f>huishoudens!F8</f>
        <v>90104.181655718974</v>
      </c>
      <c r="G4" s="477">
        <f>huishoudens!G8</f>
        <v>0</v>
      </c>
      <c r="H4" s="477">
        <f>huishoudens!H8</f>
        <v>0</v>
      </c>
      <c r="I4" s="477">
        <f>huishoudens!I8</f>
        <v>0</v>
      </c>
      <c r="J4" s="477">
        <f>huishoudens!J8</f>
        <v>0</v>
      </c>
      <c r="K4" s="477">
        <f>huishoudens!K8</f>
        <v>0</v>
      </c>
      <c r="L4" s="477">
        <f>huishoudens!L8</f>
        <v>0</v>
      </c>
      <c r="M4" s="477">
        <f>huishoudens!M8</f>
        <v>0</v>
      </c>
      <c r="N4" s="477">
        <f>huishoudens!N8</f>
        <v>34653.603621433816</v>
      </c>
      <c r="O4" s="477">
        <f>huishoudens!O8</f>
        <v>479.94333333333338</v>
      </c>
      <c r="P4" s="478">
        <f>huishoudens!P8</f>
        <v>2821.8666666666668</v>
      </c>
      <c r="Q4" s="479">
        <f>SUM(B4:P4)</f>
        <v>383820.51809024636</v>
      </c>
    </row>
    <row r="5" spans="1:17">
      <c r="A5" s="476" t="s">
        <v>156</v>
      </c>
      <c r="B5" s="477">
        <f ca="1">tertiair!B16</f>
        <v>92872.336975999991</v>
      </c>
      <c r="C5" s="477">
        <f ca="1">tertiair!C16</f>
        <v>34.071428571428577</v>
      </c>
      <c r="D5" s="477">
        <f ca="1">tertiair!D16</f>
        <v>91804.558753107165</v>
      </c>
      <c r="E5" s="477">
        <f>tertiair!E16</f>
        <v>1743.8804467120099</v>
      </c>
      <c r="F5" s="477">
        <f ca="1">tertiair!F16</f>
        <v>16823.79296390355</v>
      </c>
      <c r="G5" s="477">
        <f>tertiair!G16</f>
        <v>0</v>
      </c>
      <c r="H5" s="477">
        <f>tertiair!H16</f>
        <v>0</v>
      </c>
      <c r="I5" s="477">
        <f>tertiair!I16</f>
        <v>0</v>
      </c>
      <c r="J5" s="477">
        <f>tertiair!J16</f>
        <v>0.23248558549660953</v>
      </c>
      <c r="K5" s="477">
        <f>tertiair!K16</f>
        <v>0</v>
      </c>
      <c r="L5" s="477">
        <f ca="1">tertiair!L16</f>
        <v>0</v>
      </c>
      <c r="M5" s="477">
        <f>tertiair!M16</f>
        <v>0</v>
      </c>
      <c r="N5" s="477">
        <f ca="1">tertiair!N16</f>
        <v>7948.1857810318425</v>
      </c>
      <c r="O5" s="477">
        <f>tertiair!O16</f>
        <v>0</v>
      </c>
      <c r="P5" s="478">
        <f>tertiair!P16</f>
        <v>57.2</v>
      </c>
      <c r="Q5" s="476">
        <f t="shared" ref="Q5:Q14" ca="1" si="0">SUM(B5:P5)</f>
        <v>211284.25883491151</v>
      </c>
    </row>
    <row r="6" spans="1:17">
      <c r="A6" s="476" t="s">
        <v>194</v>
      </c>
      <c r="B6" s="477">
        <f>'openbare verlichting'!B8</f>
        <v>2350.319</v>
      </c>
      <c r="C6" s="477"/>
      <c r="D6" s="477"/>
      <c r="E6" s="477"/>
      <c r="F6" s="477"/>
      <c r="G6" s="477"/>
      <c r="H6" s="477"/>
      <c r="I6" s="477"/>
      <c r="J6" s="477"/>
      <c r="K6" s="477"/>
      <c r="L6" s="477"/>
      <c r="M6" s="477"/>
      <c r="N6" s="477"/>
      <c r="O6" s="477"/>
      <c r="P6" s="478"/>
      <c r="Q6" s="476">
        <f t="shared" si="0"/>
        <v>2350.319</v>
      </c>
    </row>
    <row r="7" spans="1:17">
      <c r="A7" s="476" t="s">
        <v>112</v>
      </c>
      <c r="B7" s="477">
        <f>landbouw!B8</f>
        <v>10711.000410000001</v>
      </c>
      <c r="C7" s="477">
        <f>landbouw!C8</f>
        <v>0</v>
      </c>
      <c r="D7" s="477">
        <f>landbouw!D8</f>
        <v>6373.4529505239998</v>
      </c>
      <c r="E7" s="477">
        <f>landbouw!E8</f>
        <v>314.82901722118623</v>
      </c>
      <c r="F7" s="477">
        <f>landbouw!F8</f>
        <v>44621.448915977293</v>
      </c>
      <c r="G7" s="477">
        <f>landbouw!G8</f>
        <v>0</v>
      </c>
      <c r="H7" s="477">
        <f>landbouw!H8</f>
        <v>0</v>
      </c>
      <c r="I7" s="477">
        <f>landbouw!I8</f>
        <v>0</v>
      </c>
      <c r="J7" s="477">
        <f>landbouw!J8</f>
        <v>1551.7939380421667</v>
      </c>
      <c r="K7" s="477">
        <f>landbouw!K8</f>
        <v>0</v>
      </c>
      <c r="L7" s="477">
        <f>landbouw!L8</f>
        <v>0</v>
      </c>
      <c r="M7" s="477">
        <f>landbouw!M8</f>
        <v>0</v>
      </c>
      <c r="N7" s="477">
        <f>landbouw!N8</f>
        <v>0</v>
      </c>
      <c r="O7" s="477">
        <f>landbouw!O8</f>
        <v>0</v>
      </c>
      <c r="P7" s="478">
        <f>landbouw!P8</f>
        <v>0</v>
      </c>
      <c r="Q7" s="476">
        <f t="shared" si="0"/>
        <v>63572.525231764645</v>
      </c>
    </row>
    <row r="8" spans="1:17">
      <c r="A8" s="476" t="s">
        <v>635</v>
      </c>
      <c r="B8" s="477">
        <f>industrie!B18</f>
        <v>92364.805336999983</v>
      </c>
      <c r="C8" s="477">
        <f>industrie!C18</f>
        <v>0</v>
      </c>
      <c r="D8" s="477">
        <f>industrie!D18</f>
        <v>49007.910351994011</v>
      </c>
      <c r="E8" s="477">
        <f>industrie!E18</f>
        <v>2299.5218833045296</v>
      </c>
      <c r="F8" s="477">
        <f>industrie!F18</f>
        <v>12264.931524372729</v>
      </c>
      <c r="G8" s="477">
        <f>industrie!G18</f>
        <v>0</v>
      </c>
      <c r="H8" s="477">
        <f>industrie!H18</f>
        <v>0</v>
      </c>
      <c r="I8" s="477">
        <f>industrie!I18</f>
        <v>0</v>
      </c>
      <c r="J8" s="477">
        <f>industrie!J18</f>
        <v>2.5024449178607444</v>
      </c>
      <c r="K8" s="477">
        <f>industrie!K18</f>
        <v>0</v>
      </c>
      <c r="L8" s="477">
        <f>industrie!L18</f>
        <v>0</v>
      </c>
      <c r="M8" s="477">
        <f>industrie!M18</f>
        <v>0</v>
      </c>
      <c r="N8" s="477">
        <f>industrie!N18</f>
        <v>4382.941677633281</v>
      </c>
      <c r="O8" s="477">
        <f>industrie!O18</f>
        <v>0</v>
      </c>
      <c r="P8" s="478">
        <f>industrie!P18</f>
        <v>0</v>
      </c>
      <c r="Q8" s="476">
        <f t="shared" si="0"/>
        <v>160322.61321922237</v>
      </c>
    </row>
    <row r="9" spans="1:17" s="482" customFormat="1">
      <c r="A9" s="480" t="s">
        <v>561</v>
      </c>
      <c r="B9" s="481">
        <f>transport!B14</f>
        <v>119.41857190122859</v>
      </c>
      <c r="C9" s="481">
        <f>transport!C14</f>
        <v>0</v>
      </c>
      <c r="D9" s="481">
        <f>transport!D14</f>
        <v>429.58457770201602</v>
      </c>
      <c r="E9" s="481">
        <f>transport!E14</f>
        <v>570.40427532565161</v>
      </c>
      <c r="F9" s="481">
        <f>transport!F14</f>
        <v>0</v>
      </c>
      <c r="G9" s="481">
        <f>transport!G14</f>
        <v>194834.60575733156</v>
      </c>
      <c r="H9" s="481">
        <f>transport!H14</f>
        <v>48352.088892369378</v>
      </c>
      <c r="I9" s="481">
        <f>transport!I14</f>
        <v>0</v>
      </c>
      <c r="J9" s="481">
        <f>transport!J14</f>
        <v>0</v>
      </c>
      <c r="K9" s="481">
        <f>transport!K14</f>
        <v>0</v>
      </c>
      <c r="L9" s="481">
        <f>transport!L14</f>
        <v>0</v>
      </c>
      <c r="M9" s="481">
        <f>transport!M14</f>
        <v>12809.633742770155</v>
      </c>
      <c r="N9" s="481">
        <f>transport!N14</f>
        <v>0</v>
      </c>
      <c r="O9" s="481">
        <f>transport!O14</f>
        <v>0</v>
      </c>
      <c r="P9" s="481">
        <f>transport!P14</f>
        <v>0</v>
      </c>
      <c r="Q9" s="480">
        <f>SUM(B9:P9)</f>
        <v>257115.73581739998</v>
      </c>
    </row>
    <row r="10" spans="1:17">
      <c r="A10" s="476" t="s">
        <v>551</v>
      </c>
      <c r="B10" s="477">
        <f>transport!B54</f>
        <v>0</v>
      </c>
      <c r="C10" s="477">
        <f>transport!C54</f>
        <v>0</v>
      </c>
      <c r="D10" s="477">
        <f>transport!D54</f>
        <v>0</v>
      </c>
      <c r="E10" s="477">
        <f>transport!E54</f>
        <v>0</v>
      </c>
      <c r="F10" s="477">
        <f>transport!F54</f>
        <v>0</v>
      </c>
      <c r="G10" s="477">
        <f>transport!G54</f>
        <v>5288.094677102994</v>
      </c>
      <c r="H10" s="477">
        <f>transport!H54</f>
        <v>0</v>
      </c>
      <c r="I10" s="477">
        <f>transport!I54</f>
        <v>0</v>
      </c>
      <c r="J10" s="477">
        <f>transport!J54</f>
        <v>0</v>
      </c>
      <c r="K10" s="477">
        <f>transport!K54</f>
        <v>0</v>
      </c>
      <c r="L10" s="477">
        <f>transport!L54</f>
        <v>0</v>
      </c>
      <c r="M10" s="477">
        <f>transport!M54</f>
        <v>300.34043296156915</v>
      </c>
      <c r="N10" s="477">
        <f>transport!N54</f>
        <v>0</v>
      </c>
      <c r="O10" s="477">
        <f>transport!O54</f>
        <v>0</v>
      </c>
      <c r="P10" s="478">
        <f>transport!P54</f>
        <v>0</v>
      </c>
      <c r="Q10" s="476">
        <f t="shared" si="0"/>
        <v>5588.4351100645636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2184.0437499999998</v>
      </c>
      <c r="C14" s="484"/>
      <c r="D14" s="484">
        <f>'SEAP template'!E25</f>
        <v>9527.4792689999995</v>
      </c>
      <c r="E14" s="484"/>
      <c r="F14" s="484"/>
      <c r="G14" s="484"/>
      <c r="H14" s="484"/>
      <c r="I14" s="484"/>
      <c r="J14" s="484"/>
      <c r="K14" s="484"/>
      <c r="L14" s="484"/>
      <c r="M14" s="484"/>
      <c r="N14" s="484"/>
      <c r="O14" s="484"/>
      <c r="P14" s="485"/>
      <c r="Q14" s="476">
        <f t="shared" si="0"/>
        <v>11711.523019</v>
      </c>
    </row>
    <row r="15" spans="1:17" s="486" customFormat="1">
      <c r="A15" s="1039" t="s">
        <v>555</v>
      </c>
      <c r="B15" s="987">
        <f ca="1">SUM(B4:B14)</f>
        <v>264940.21903243434</v>
      </c>
      <c r="C15" s="987">
        <f t="shared" ref="C15:Q15" ca="1" si="1">SUM(C4:C14)</f>
        <v>34.071428571428577</v>
      </c>
      <c r="D15" s="987">
        <f t="shared" ca="1" si="1"/>
        <v>339013.41191542725</v>
      </c>
      <c r="E15" s="987">
        <f t="shared" si="1"/>
        <v>14480.837435023759</v>
      </c>
      <c r="F15" s="987">
        <f t="shared" ca="1" si="1"/>
        <v>163814.35505997253</v>
      </c>
      <c r="G15" s="987">
        <f t="shared" si="1"/>
        <v>200122.70043443455</v>
      </c>
      <c r="H15" s="987">
        <f t="shared" si="1"/>
        <v>48352.088892369378</v>
      </c>
      <c r="I15" s="987">
        <f t="shared" si="1"/>
        <v>0</v>
      </c>
      <c r="J15" s="987">
        <f t="shared" si="1"/>
        <v>1554.5288685455239</v>
      </c>
      <c r="K15" s="987">
        <f t="shared" si="1"/>
        <v>0</v>
      </c>
      <c r="L15" s="987">
        <f t="shared" ca="1" si="1"/>
        <v>0</v>
      </c>
      <c r="M15" s="987">
        <f t="shared" si="1"/>
        <v>13109.974175731724</v>
      </c>
      <c r="N15" s="987">
        <f t="shared" ca="1" si="1"/>
        <v>46984.731080098936</v>
      </c>
      <c r="O15" s="987">
        <f t="shared" si="1"/>
        <v>479.94333333333338</v>
      </c>
      <c r="P15" s="987">
        <f t="shared" si="1"/>
        <v>2879.0666666666666</v>
      </c>
      <c r="Q15" s="987">
        <f t="shared" ca="1" si="1"/>
        <v>1095765.9283226093</v>
      </c>
    </row>
    <row r="17" spans="1:17">
      <c r="A17" s="487" t="s">
        <v>556</v>
      </c>
      <c r="B17" s="786">
        <f ca="1">huishoudens!B10</f>
        <v>0.20111873507312034</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12939.636504653947</v>
      </c>
      <c r="C22" s="477">
        <f t="shared" ref="C22:C32" ca="1" si="3">C4*$C$17</f>
        <v>0</v>
      </c>
      <c r="D22" s="477">
        <f t="shared" ref="D22:D32" si="4">D4*$D$17</f>
        <v>36737.826054646204</v>
      </c>
      <c r="E22" s="477">
        <f t="shared" ref="E22:E32" si="5">E4*$E$17</f>
        <v>2168.3498114285071</v>
      </c>
      <c r="F22" s="477">
        <f t="shared" ref="F22:F32" si="6">F4*$F$17</f>
        <v>24057.816502076967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75903.628872805624</v>
      </c>
    </row>
    <row r="23" spans="1:17">
      <c r="A23" s="476" t="s">
        <v>156</v>
      </c>
      <c r="B23" s="477">
        <f t="shared" ca="1" si="2"/>
        <v>18678.366935897699</v>
      </c>
      <c r="C23" s="477">
        <f t="shared" ca="1" si="3"/>
        <v>8.0969747899159685</v>
      </c>
      <c r="D23" s="477">
        <f t="shared" ca="1" si="4"/>
        <v>18544.520868127649</v>
      </c>
      <c r="E23" s="477">
        <f t="shared" si="5"/>
        <v>395.86086140362625</v>
      </c>
      <c r="F23" s="477">
        <f t="shared" ca="1" si="6"/>
        <v>4491.9527213622478</v>
      </c>
      <c r="G23" s="477">
        <f t="shared" si="7"/>
        <v>0</v>
      </c>
      <c r="H23" s="477">
        <f t="shared" si="8"/>
        <v>0</v>
      </c>
      <c r="I23" s="477">
        <f t="shared" si="9"/>
        <v>0</v>
      </c>
      <c r="J23" s="477">
        <f t="shared" si="10"/>
        <v>8.2299897265799768E-2</v>
      </c>
      <c r="K23" s="477">
        <f t="shared" si="11"/>
        <v>0</v>
      </c>
      <c r="L23" s="477">
        <f t="shared" ca="1" si="12"/>
        <v>0</v>
      </c>
      <c r="M23" s="477">
        <f t="shared" si="13"/>
        <v>0</v>
      </c>
      <c r="N23" s="477">
        <f t="shared" ca="1" si="14"/>
        <v>0</v>
      </c>
      <c r="O23" s="477">
        <f t="shared" si="15"/>
        <v>0</v>
      </c>
      <c r="P23" s="478">
        <f t="shared" si="16"/>
        <v>0</v>
      </c>
      <c r="Q23" s="476">
        <f t="shared" ref="Q23:Q32" ca="1" si="17">SUM(B23:P23)</f>
        <v>42118.880661478404</v>
      </c>
    </row>
    <row r="24" spans="1:17">
      <c r="A24" s="476" t="s">
        <v>194</v>
      </c>
      <c r="B24" s="477">
        <f t="shared" ca="1" si="2"/>
        <v>472.69318429832111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472.69318429832111</v>
      </c>
    </row>
    <row r="25" spans="1:17">
      <c r="A25" s="476" t="s">
        <v>112</v>
      </c>
      <c r="B25" s="477">
        <f t="shared" ca="1" si="2"/>
        <v>2154.1828538268733</v>
      </c>
      <c r="C25" s="477">
        <f t="shared" ca="1" si="3"/>
        <v>0</v>
      </c>
      <c r="D25" s="477">
        <f t="shared" si="4"/>
        <v>1287.4374960058481</v>
      </c>
      <c r="E25" s="477">
        <f t="shared" si="5"/>
        <v>71.466186909209284</v>
      </c>
      <c r="F25" s="477">
        <f t="shared" si="6"/>
        <v>11913.926860565938</v>
      </c>
      <c r="G25" s="477">
        <f t="shared" si="7"/>
        <v>0</v>
      </c>
      <c r="H25" s="477">
        <f t="shared" si="8"/>
        <v>0</v>
      </c>
      <c r="I25" s="477">
        <f t="shared" si="9"/>
        <v>0</v>
      </c>
      <c r="J25" s="477">
        <f t="shared" si="10"/>
        <v>549.335054066927</v>
      </c>
      <c r="K25" s="477">
        <f t="shared" si="11"/>
        <v>0</v>
      </c>
      <c r="L25" s="477">
        <f t="shared" si="12"/>
        <v>0</v>
      </c>
      <c r="M25" s="477">
        <f t="shared" si="13"/>
        <v>0</v>
      </c>
      <c r="N25" s="477">
        <f t="shared" si="14"/>
        <v>0</v>
      </c>
      <c r="O25" s="477">
        <f t="shared" si="15"/>
        <v>0</v>
      </c>
      <c r="P25" s="478">
        <f t="shared" si="16"/>
        <v>0</v>
      </c>
      <c r="Q25" s="476">
        <f t="shared" ca="1" si="17"/>
        <v>15976.348451374795</v>
      </c>
    </row>
    <row r="26" spans="1:17">
      <c r="A26" s="476" t="s">
        <v>635</v>
      </c>
      <c r="B26" s="477">
        <f t="shared" ca="1" si="2"/>
        <v>18576.292814652432</v>
      </c>
      <c r="C26" s="477">
        <f t="shared" ca="1" si="3"/>
        <v>0</v>
      </c>
      <c r="D26" s="477">
        <f t="shared" si="4"/>
        <v>9899.5978911027905</v>
      </c>
      <c r="E26" s="477">
        <f t="shared" si="5"/>
        <v>521.99146751012825</v>
      </c>
      <c r="F26" s="477">
        <f t="shared" si="6"/>
        <v>3274.7367170075186</v>
      </c>
      <c r="G26" s="477">
        <f t="shared" si="7"/>
        <v>0</v>
      </c>
      <c r="H26" s="477">
        <f t="shared" si="8"/>
        <v>0</v>
      </c>
      <c r="I26" s="477">
        <f t="shared" si="9"/>
        <v>0</v>
      </c>
      <c r="J26" s="477">
        <f t="shared" si="10"/>
        <v>0.88586550092270344</v>
      </c>
      <c r="K26" s="477">
        <f t="shared" si="11"/>
        <v>0</v>
      </c>
      <c r="L26" s="477">
        <f t="shared" si="12"/>
        <v>0</v>
      </c>
      <c r="M26" s="477">
        <f t="shared" si="13"/>
        <v>0</v>
      </c>
      <c r="N26" s="477">
        <f t="shared" si="14"/>
        <v>0</v>
      </c>
      <c r="O26" s="477">
        <f t="shared" si="15"/>
        <v>0</v>
      </c>
      <c r="P26" s="478">
        <f t="shared" si="16"/>
        <v>0</v>
      </c>
      <c r="Q26" s="476">
        <f t="shared" ca="1" si="17"/>
        <v>32273.504755773793</v>
      </c>
    </row>
    <row r="27" spans="1:17" s="482" customFormat="1">
      <c r="A27" s="480" t="s">
        <v>561</v>
      </c>
      <c r="B27" s="780">
        <f t="shared" ca="1" si="2"/>
        <v>24.017312125013564</v>
      </c>
      <c r="C27" s="481">
        <f t="shared" ca="1" si="3"/>
        <v>0</v>
      </c>
      <c r="D27" s="481">
        <f t="shared" si="4"/>
        <v>86.776084695807242</v>
      </c>
      <c r="E27" s="481">
        <f t="shared" si="5"/>
        <v>129.48177049892291</v>
      </c>
      <c r="F27" s="481">
        <f t="shared" si="6"/>
        <v>0</v>
      </c>
      <c r="G27" s="481">
        <f t="shared" si="7"/>
        <v>52020.839737207527</v>
      </c>
      <c r="H27" s="481">
        <f t="shared" si="8"/>
        <v>12039.670134199976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64300.785038727248</v>
      </c>
    </row>
    <row r="28" spans="1:17">
      <c r="A28" s="476" t="s">
        <v>551</v>
      </c>
      <c r="B28" s="477">
        <f t="shared" ca="1" si="2"/>
        <v>0</v>
      </c>
      <c r="C28" s="477">
        <f t="shared" ca="1" si="3"/>
        <v>0</v>
      </c>
      <c r="D28" s="477">
        <f t="shared" si="4"/>
        <v>0</v>
      </c>
      <c r="E28" s="477">
        <f t="shared" si="5"/>
        <v>0</v>
      </c>
      <c r="F28" s="477">
        <f t="shared" si="6"/>
        <v>0</v>
      </c>
      <c r="G28" s="477">
        <f t="shared" si="7"/>
        <v>1411.9212787864994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1411.9212787864994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439.25211634435425</v>
      </c>
      <c r="C32" s="477">
        <f t="shared" ca="1" si="3"/>
        <v>0</v>
      </c>
      <c r="D32" s="477">
        <f t="shared" si="4"/>
        <v>1924.550812338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2363.8029286823544</v>
      </c>
    </row>
    <row r="33" spans="1:17" s="486" customFormat="1">
      <c r="A33" s="1039" t="s">
        <v>555</v>
      </c>
      <c r="B33" s="987">
        <f ca="1">SUM(B22:B32)</f>
        <v>53284.441721798641</v>
      </c>
      <c r="C33" s="987">
        <f t="shared" ref="C33:Q33" ca="1" si="18">SUM(C22:C32)</f>
        <v>8.0969747899159685</v>
      </c>
      <c r="D33" s="987">
        <f t="shared" ca="1" si="18"/>
        <v>68480.709206916305</v>
      </c>
      <c r="E33" s="987">
        <f t="shared" si="18"/>
        <v>3287.1500977503933</v>
      </c>
      <c r="F33" s="987">
        <f t="shared" ca="1" si="18"/>
        <v>43738.43280101267</v>
      </c>
      <c r="G33" s="987">
        <f t="shared" si="18"/>
        <v>53432.761015994023</v>
      </c>
      <c r="H33" s="987">
        <f t="shared" si="18"/>
        <v>12039.670134199976</v>
      </c>
      <c r="I33" s="987">
        <f t="shared" si="18"/>
        <v>0</v>
      </c>
      <c r="J33" s="987">
        <f t="shared" si="18"/>
        <v>550.30321946511549</v>
      </c>
      <c r="K33" s="987">
        <f t="shared" si="18"/>
        <v>0</v>
      </c>
      <c r="L33" s="987">
        <f t="shared" ca="1" si="18"/>
        <v>0</v>
      </c>
      <c r="M33" s="987">
        <f t="shared" si="18"/>
        <v>0</v>
      </c>
      <c r="N33" s="987">
        <f t="shared" ca="1" si="18"/>
        <v>0</v>
      </c>
      <c r="O33" s="987">
        <f t="shared" si="18"/>
        <v>0</v>
      </c>
      <c r="P33" s="987">
        <f t="shared" si="18"/>
        <v>0</v>
      </c>
      <c r="Q33" s="987">
        <f t="shared" ca="1" si="18"/>
        <v>234821.56517192704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23340.94441955792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23.85</v>
      </c>
      <c r="D8" s="1056">
        <f>'SEAP template'!D76</f>
        <v>28.058823529411768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5.6678823529411773</v>
      </c>
    </row>
    <row r="9" spans="1:16">
      <c r="A9" s="1059" t="s">
        <v>854</v>
      </c>
      <c r="B9" s="1056">
        <f>'SEAP template'!B77</f>
        <v>495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1414.2857142857144</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23835.94441955792</v>
      </c>
      <c r="C10" s="1060">
        <f>SUM(C4:C9)</f>
        <v>23.85</v>
      </c>
      <c r="D10" s="1060">
        <f t="shared" ref="D10:H10" si="0">SUM(D8:D9)</f>
        <v>28.058823529411768</v>
      </c>
      <c r="E10" s="1060">
        <f t="shared" si="0"/>
        <v>0</v>
      </c>
      <c r="F10" s="1060">
        <f t="shared" si="0"/>
        <v>0</v>
      </c>
      <c r="G10" s="1060">
        <f t="shared" si="0"/>
        <v>0</v>
      </c>
      <c r="H10" s="1060">
        <f t="shared" si="0"/>
        <v>0</v>
      </c>
      <c r="I10" s="1060">
        <f>SUM(I8:I9)</f>
        <v>0</v>
      </c>
      <c r="J10" s="1060">
        <f>SUM(J8:J9)</f>
        <v>1414.2857142857144</v>
      </c>
      <c r="K10" s="1060">
        <f t="shared" ref="K10:L10" si="1">SUM(K8:K9)</f>
        <v>0</v>
      </c>
      <c r="L10" s="1060">
        <f t="shared" si="1"/>
        <v>0</v>
      </c>
      <c r="M10" s="1060">
        <f>SUM(M8:M9)</f>
        <v>0</v>
      </c>
      <c r="N10" s="1060">
        <f>SUM(N8:N9)</f>
        <v>0</v>
      </c>
      <c r="O10" s="1060">
        <f>SUM(O8:O9)</f>
        <v>0</v>
      </c>
      <c r="P10" s="1060">
        <f>SUM(P8:P9)</f>
        <v>5.6678823529411773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0.20111873507312034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34.071428571428577</v>
      </c>
      <c r="D17" s="1057">
        <f>'SEAP template'!D87</f>
        <v>40.084033613445385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8.0969747899159685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34.071428571428577</v>
      </c>
      <c r="D20" s="1060">
        <f t="shared" ref="D20:H20" si="2">SUM(D17:D19)</f>
        <v>40.084033613445385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8.0969747899159685</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0.20111873507312034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2019-08-12T08:35:18Z</dcterms:modified>
</cp:coreProperties>
</file>