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L78" i="14"/>
  <c r="L8" i="61"/>
  <c r="L10" s="1"/>
  <c r="E90" i="14"/>
  <c r="E18" i="61"/>
  <c r="K78" i="14"/>
  <c r="K8" i="61"/>
  <c r="K10" s="1"/>
  <c r="L90" i="14"/>
  <c r="L18" i="61"/>
  <c r="L20" s="1"/>
  <c r="E20"/>
  <c r="N20"/>
  <c r="B10" i="18"/>
  <c r="O22" i="14"/>
  <c r="H20" i="61"/>
  <c r="P25" i="48"/>
  <c r="I77" i="14"/>
  <c r="I9" i="61" s="1"/>
  <c r="O9" i="18"/>
  <c r="O10" i="61"/>
  <c r="G20"/>
  <c r="K20"/>
  <c r="Q11" i="48"/>
  <c r="O25"/>
  <c r="B98" i="18"/>
  <c r="D102" s="1"/>
  <c r="N77" i="14"/>
  <c r="M77"/>
  <c r="M9" i="61" s="1"/>
  <c r="H9" i="18"/>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F102" i="18"/>
  <c r="I17" s="1"/>
  <c r="N78" i="14"/>
  <c r="N9" i="61"/>
  <c r="N10" s="1"/>
  <c r="H78" i="14"/>
  <c r="H9" i="61"/>
  <c r="H10" s="1"/>
  <c r="H102" i="18"/>
  <c r="J17" s="1"/>
  <c r="B88" i="14"/>
  <c r="B18" i="61" s="1"/>
  <c r="B77" i="14"/>
  <c r="B9" i="61" s="1"/>
  <c r="Q77" i="14"/>
  <c r="P9" i="61" s="1"/>
  <c r="H20" i="18"/>
  <c r="M87" i="14"/>
  <c r="J8" i="18"/>
  <c r="M76" i="14"/>
  <c r="H10" i="18"/>
  <c r="E20"/>
  <c r="F87" i="14"/>
  <c r="C77"/>
  <c r="C9" i="61" s="1"/>
  <c r="C20" i="18"/>
  <c r="D87" i="14"/>
  <c r="D17" i="61" s="1"/>
  <c r="D20" s="1"/>
  <c r="D76" i="14"/>
  <c r="D8" i="61" s="1"/>
  <c r="D10" s="1"/>
  <c r="O8" i="18"/>
  <c r="O10" s="1"/>
  <c r="C10"/>
  <c r="C88" i="14"/>
  <c r="C18" i="61" s="1"/>
  <c r="F76" i="14"/>
  <c r="E10" i="18"/>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0" i="48"/>
  <c r="F32"/>
  <c r="F24"/>
  <c r="F31"/>
  <c r="F27"/>
  <c r="F28"/>
  <c r="F29"/>
  <c r="J29"/>
  <c r="J30"/>
  <c r="J32"/>
  <c r="J24"/>
  <c r="J31"/>
  <c r="J28"/>
  <c r="J27"/>
  <c r="Q11" i="14"/>
  <c r="P4" i="48"/>
  <c r="P11" i="14"/>
  <c r="O4" i="48"/>
  <c r="I22"/>
  <c r="I32"/>
  <c r="I26"/>
  <c r="I29"/>
  <c r="I24"/>
  <c r="I31"/>
  <c r="I28"/>
  <c r="I30"/>
  <c r="I25"/>
  <c r="I27"/>
  <c r="D4"/>
  <c r="D22" s="1"/>
  <c r="E11" i="14"/>
  <c r="H29" i="48"/>
  <c r="H32"/>
  <c r="H25"/>
  <c r="H28"/>
  <c r="H24"/>
  <c r="H22"/>
  <c r="H30"/>
  <c r="H26"/>
  <c r="H23"/>
  <c r="G23"/>
  <c r="G30"/>
  <c r="G32"/>
  <c r="G22"/>
  <c r="G26"/>
  <c r="G29"/>
  <c r="G24"/>
  <c r="G25"/>
  <c r="C11" i="14"/>
  <c r="B4" i="48"/>
  <c r="N24"/>
  <c r="N30"/>
  <c r="N32"/>
  <c r="N27"/>
  <c r="N31"/>
  <c r="N28"/>
  <c r="N29"/>
  <c r="C19" i="14"/>
  <c r="B10" i="48"/>
  <c r="E31"/>
  <c r="E29"/>
  <c r="E24"/>
  <c r="E30"/>
  <c r="E28"/>
  <c r="E32"/>
  <c r="M29"/>
  <c r="M24"/>
  <c r="M30"/>
  <c r="M32"/>
  <c r="M22"/>
  <c r="M26"/>
  <c r="M25"/>
  <c r="M23"/>
  <c r="K5"/>
  <c r="L10" i="14"/>
  <c r="L16" s="1"/>
  <c r="L27" s="1"/>
  <c r="D30" i="48"/>
  <c r="D28"/>
  <c r="D24"/>
  <c r="D29"/>
  <c r="D31"/>
  <c r="D32"/>
  <c r="L29"/>
  <c r="L32"/>
  <c r="L24"/>
  <c r="L22"/>
  <c r="L30"/>
  <c r="L27"/>
  <c r="L28"/>
  <c r="L31"/>
  <c r="Q10" i="14"/>
  <c r="P5" i="48"/>
  <c r="P23" s="1"/>
  <c r="K32"/>
  <c r="K24"/>
  <c r="K27"/>
  <c r="K22"/>
  <c r="K29"/>
  <c r="K25"/>
  <c r="K26"/>
  <c r="K28"/>
  <c r="K31"/>
  <c r="K30"/>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C22" i="14"/>
  <c r="O22" i="48"/>
  <c r="Q13" i="14"/>
  <c r="P8" i="48"/>
  <c r="P26" s="1"/>
  <c r="D9"/>
  <c r="D27" s="1"/>
  <c r="E20" i="14"/>
  <c r="E22" s="1"/>
  <c r="P10"/>
  <c r="O5" i="48"/>
  <c r="O23" s="1"/>
  <c r="B9"/>
  <c r="C20" i="14"/>
  <c r="K24"/>
  <c r="K26" s="1"/>
  <c r="J7" i="48"/>
  <c r="J25" s="1"/>
  <c r="Q16" i="14"/>
  <c r="Q27" s="1"/>
  <c r="L46"/>
  <c r="L61" s="1"/>
  <c r="L63" s="1"/>
  <c r="G13" i="48"/>
  <c r="G31" s="1"/>
  <c r="H18" i="14"/>
  <c r="P22" i="48"/>
  <c r="P33" s="1"/>
  <c r="P15"/>
  <c r="E9"/>
  <c r="E27" s="1"/>
  <c r="F20" i="14"/>
  <c r="F22" s="1"/>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O8" i="48"/>
  <c r="O26" s="1"/>
  <c r="P13" i="14"/>
  <c r="P16" s="1"/>
  <c r="P27" s="1"/>
  <c r="K11"/>
  <c r="J4" i="48"/>
  <c r="N4"/>
  <c r="N22" s="1"/>
  <c r="O11" i="14"/>
  <c r="M10" i="48"/>
  <c r="M28" s="1"/>
  <c r="N19" i="14"/>
  <c r="N22" s="1"/>
  <c r="N27" s="1"/>
  <c r="I23" i="48"/>
  <c r="I33" s="1"/>
  <c r="I15"/>
  <c r="M14" i="22"/>
  <c r="O15" i="48"/>
  <c r="H14" i="22"/>
  <c r="I20" i="14" s="1"/>
  <c r="I22" s="1"/>
  <c r="I27" s="1"/>
  <c r="O33" i="48"/>
  <c r="H19" i="14"/>
  <c r="G10" i="48"/>
  <c r="F24" i="14"/>
  <c r="F26" s="1"/>
  <c r="E7" i="48"/>
  <c r="E25" s="1"/>
  <c r="H9"/>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G9" i="48"/>
  <c r="H20" i="14"/>
  <c r="H22" s="1"/>
  <c r="H27" s="1"/>
  <c r="E22" i="48"/>
  <c r="Q4"/>
  <c r="F10" i="14"/>
  <c r="E5" i="48"/>
  <c r="E23" s="1"/>
  <c r="J22"/>
  <c r="Q7"/>
  <c r="J5"/>
  <c r="J23" s="1"/>
  <c r="K10" i="14"/>
  <c r="R19"/>
  <c r="G28" i="48"/>
  <c r="Q10"/>
  <c r="N52" i="14"/>
  <c r="N61" s="1"/>
  <c r="M15" i="48"/>
  <c r="M27"/>
  <c r="M33" s="1"/>
  <c r="H15"/>
  <c r="H27"/>
  <c r="H33" s="1"/>
  <c r="N63" i="14"/>
  <c r="R20"/>
  <c r="R22" s="1"/>
  <c r="R24"/>
  <c r="R26" s="1"/>
  <c r="N18" i="16"/>
  <c r="E20" i="15"/>
  <c r="F40" i="14" s="1"/>
  <c r="F18" i="16"/>
  <c r="J18"/>
  <c r="E18"/>
  <c r="G18" i="22"/>
  <c r="H50" i="14" s="1"/>
  <c r="H52" s="1"/>
  <c r="H61" s="1"/>
  <c r="H18" i="22"/>
  <c r="I50" i="14" s="1"/>
  <c r="I52" s="1"/>
  <c r="I61" s="1"/>
  <c r="I63" s="1"/>
  <c r="G27" i="48" l="1"/>
  <c r="G33" s="1"/>
  <c r="G15"/>
  <c r="Q9"/>
  <c r="F16" i="14"/>
  <c r="F27" s="1"/>
  <c r="F13"/>
  <c r="E8" i="48"/>
  <c r="E26" s="1"/>
  <c r="E33" s="1"/>
  <c r="J8"/>
  <c r="K13" i="14"/>
  <c r="K16" s="1"/>
  <c r="K27" s="1"/>
  <c r="K63" s="1"/>
  <c r="H63"/>
  <c r="N8" i="48"/>
  <c r="N26" s="1"/>
  <c r="O13" i="14"/>
  <c r="F8" i="48"/>
  <c r="G13" i="14"/>
  <c r="E22" i="16"/>
  <c r="F43" i="14" s="1"/>
  <c r="F46" s="1"/>
  <c r="F61" s="1"/>
  <c r="F22" i="16"/>
  <c r="G43" i="14" s="1"/>
  <c r="N22" i="16"/>
  <c r="O43" i="14" s="1"/>
  <c r="J22" i="16"/>
  <c r="K43" i="14" s="1"/>
  <c r="K46" s="1"/>
  <c r="K61" s="1"/>
  <c r="J26" i="48" l="1"/>
  <c r="J33" s="1"/>
  <c r="J15"/>
  <c r="R13" i="14"/>
  <c r="E15" i="48"/>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<sst xmlns="http://schemas.openxmlformats.org/spreadsheetml/2006/main" count="2383" uniqueCount="881">
  <si>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</si>
  <si>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</si>
  <si>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</si>
  <si>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</si>
  <si>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</si>
  <si>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</si>
  <si>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</si>
  <si>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</si>
  <si>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</si>
  <si>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</si>
  <si>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</si>
  <si>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</si>
  <si>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</si>
  <si>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</si>
  <si>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</si>
  <si>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</si>
  <si>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</si>
  <si>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</si>
  <si>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</si>
  <si>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</si>
  <si>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</si>
  <si>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</si>
  <si>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</si>
  <si>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</si>
  <si>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</si>
  <si>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</si>
  <si>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</si>
  <si>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</si>
  <si>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</si>
  <si>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</si>
  <si>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</si>
  <si>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</si>
  <si>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</si>
  <si>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</si>
  <si>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</si>
  <si>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</si>
  <si>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</si>
  <si>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</si>
  <si>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</si>
  <si>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</si>
  <si>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</si>
  <si>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</si>
  <si>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</si>
  <si>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</si>
  <si>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</si>
  <si>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</si>
  <si>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</si>
  <si>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</si>
  <si>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</si>
  <si>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</si>
  <si>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</si>
  <si>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</si>
  <si>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</si>
  <si>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</si>
  <si>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</si>
  <si>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</si>
  <si>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</si>
  <si>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</si>
  <si>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</si>
  <si>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</si>
  <si>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</si>
  <si>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</si>
  <si>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</si>
  <si>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</si>
  <si>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</si>
  <si>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</si>
  <si>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</si>
  <si>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</si>
  <si>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</si>
  <si>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</si>
  <si>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</si>
  <si>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</si>
  <si>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</si>
  <si>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</si>
  <si>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</si>
  <si>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</si>
  <si>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</si>
  <si>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</si>
  <si>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</si>
  <si>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</si>
  <si>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</si>
  <si>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</si>
  <si>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</si>
  <si>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</si>
  <si>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</si>
  <si>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</si>
  <si>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</si>
  <si>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</si>
  <si>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</si>
  <si>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</si>
  <si>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</si>
  <si>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</si>
  <si>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</si>
  <si>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</si>
  <si>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</si>
  <si>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</si>
  <si>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</si>
  <si>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</si>
  <si>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</si>
  <si>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</si>
  <si>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</si>
  <si>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</si>
  <si>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</si>
  <si>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</si>
  <si>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</si>
  <si>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</si>
  <si>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</si>
  <si>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</si>
  <si>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</si>
  <si>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</si>
  <si>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</si>
  <si>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</si>
  <si>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</si>
  <si>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</si>
  <si>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</si>
  <si>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</si>
  <si>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</si>
  <si>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</si>
  <si>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</si>
  <si>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</si>
  <si>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</si>
  <si>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</si>
  <si>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</si>
  <si>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</si>
  <si>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</si>
  <si>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</si>
  <si>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</si>
  <si>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</si>
  <si>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</si>
  <si>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</si>
  <si>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</si>
  <si>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</si>
  <si>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</si>
  <si>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</si>
  <si>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</si>
  <si>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</si>
  <si>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</si>
  <si>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</si>
  <si>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</si>
  <si>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</si>
  <si>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</si>
  <si>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</si>
  <si>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</si>
  <si>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</si>
  <si>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</si>
  <si>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</si>
  <si>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</si>
  <si>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</si>
  <si>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</si>
  <si>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</si>
  <si>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</si>
  <si>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</si>
  <si>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</si>
  <si>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</si>
  <si>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</si>
  <si>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</si>
  <si>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</si>
  <si>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</si>
  <si>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</si>
  <si>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</si>
  <si>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</si>
  <si>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</si>
  <si>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</si>
  <si>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</si>
  <si>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</si>
  <si>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</si>
  <si>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</si>
  <si>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</si>
  <si>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</si>
  <si>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</si>
  <si>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</si>
  <si>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</si>
  <si>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</si>
  <si>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</si>
  <si>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</si>
  <si>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</si>
  <si>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</si>
  <si>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</si>
  <si>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</si>
  <si>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</si>
  <si>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</si>
  <si>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</si>
  <si>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</si>
  <si>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</si>
  <si>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</si>
  <si>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</si>
  <si>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</si>
  <si>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</si>
  <si>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</si>
  <si>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</si>
  <si>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</si>
  <si>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</si>
  <si>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</si>
  <si>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</si>
  <si>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</si>
  <si>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</si>
  <si>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</si>
  <si>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</si>
  <si>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</si>
  <si>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</si>
  <si>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</si>
  <si>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</si>
  <si>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</si>
  <si>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</si>
  <si>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</si>
  <si>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</si>
  <si>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</si>
  <si>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</si>
  <si>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</si>
  <si>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</si>
  <si>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</si>
  <si>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</si>
  <si>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</si>
  <si>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</si>
  <si>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</si>
  <si>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</si>
  <si>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</si>
  <si>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</si>
  <si>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</si>
  <si>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</si>
  <si>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</si>
  <si>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</si>
  <si>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</si>
  <si>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</si>
  <si>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</si>
  <si>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</si>
  <si>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</si>
  <si>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</si>
  <si>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</si>
  <si>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</si>
  <si>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</si>
  <si>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</si>
  <si>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</si>
  <si>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</si>
  <si>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</si>
  <si>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</si>
  <si>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</si>
  <si>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</si>
  <si>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</si>
  <si>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</si>
  <si>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</si>
  <si>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</si>
  <si>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</si>
  <si>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</si>
  <si>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</si>
  <si>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</si>
  <si>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</si>
  <si>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</si>
  <si>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</si>
  <si>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</si>
  <si>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</si>
  <si>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</si>
  <si>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</si>
  <si>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</si>
  <si>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</si>
  <si>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</si>
  <si>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</si>
  <si>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</si>
  <si>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</si>
  <si>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</si>
  <si>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</si>
  <si>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</si>
  <si>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</si>
  <si>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</si>
  <si>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</si>
  <si>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</si>
  <si>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</si>
  <si>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</si>
  <si>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</si>
  <si>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</si>
  <si>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</si>
  <si>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</si>
  <si>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</si>
  <si>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</si>
  <si>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</si>
  <si>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</si>
  <si>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</si>
  <si>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</si>
  <si>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</si>
  <si>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</si>
  <si>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</si>
  <si>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</si>
  <si>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</si>
  <si>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</si>
  <si>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</si>
  <si>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</si>
  <si>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</si>
  <si>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</si>
  <si>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</si>
  <si>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</si>
  <si>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</si>
  <si>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</si>
  <si>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</si>
  <si>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</si>
  <si>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</si>
  <si>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</si>
  <si>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</si>
  <si>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</si>
  <si>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</si>
  <si>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</si>
  <si>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</si>
  <si>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</si>
  <si>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</si>
  <si>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</si>
  <si>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</si>
  <si>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</si>
  <si>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</si>
  <si>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</si>
  <si>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</si>
  <si>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</si>
  <si>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</si>
  <si>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</si>
  <si>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</si>
  <si>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</si>
  <si>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</si>
  <si>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</si>
  <si>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</si>
  <si>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</si>
  <si>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</si>
  <si>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</si>
  <si>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</si>
  <si>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</si>
  <si>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</si>
  <si>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</si>
  <si>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</si>
  <si>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</si>
  <si>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</si>
  <si>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</si>
  <si>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</si>
  <si>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</si>
  <si>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</si>
  <si>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</si>
  <si>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</si>
  <si>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</si>
  <si>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</si>
  <si>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</si>
  <si>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</si>
  <si>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</si>
  <si>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</si>
  <si>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</si>
  <si>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</si>
  <si>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</si>
  <si>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</si>
  <si>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</si>
  <si>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</si>
  <si>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</si>
  <si>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</si>
  <si>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</si>
  <si>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</si>
  <si>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</si>
  <si>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</si>
  <si>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</si>
  <si>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</si>
  <si>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</si>
  <si>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</si>
  <si>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</si>
  <si>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</si>
  <si>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</si>
  <si>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</si>
  <si>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</si>
  <si>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</si>
  <si>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</si>
  <si>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</si>
  <si>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</si>
  <si>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</si>
  <si>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</si>
  <si>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</si>
  <si>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</si>
  <si>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</si>
  <si>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</si>
  <si>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</si>
  <si>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</si>
  <si>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</si>
  <si>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</si>
  <si>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</si>
  <si>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</si>
  <si>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</si>
  <si>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</si>
  <si>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</si>
  <si>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</si>
  <si>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</si>
  <si>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</si>
  <si>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</si>
  <si>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</si>
  <si>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</si>
  <si>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</si>
  <si>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</si>
  <si>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</si>
  <si>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</si>
  <si>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</si>
  <si>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</si>
  <si>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</si>
  <si>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</si>
  <si>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</si>
  <si>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</si>
  <si>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</si>
  <si>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</si>
  <si>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</si>
  <si>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</si>
  <si>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</si>
  <si>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</si>
  <si>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</si>
  <si>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</si>
  <si>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</si>
  <si>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</si>
  <si>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</si>
  <si>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</si>
  <si>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</si>
  <si>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</si>
  <si>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</si>
  <si>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</si>
  <si>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</si>
  <si>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</si>
  <si>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</si>
  <si>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</si>
  <si>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</si>
  <si>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</si>
  <si>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</si>
  <si>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</si>
  <si>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</si>
  <si>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</si>
  <si>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</si>
  <si>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</si>
  <si>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</si>
  <si>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</si>
  <si>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</si>
  <si>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</si>
  <si>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</si>
  <si>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</si>
  <si>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</si>
  <si>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</si>
  <si>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</si>
  <si>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</si>
  <si>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</si>
  <si>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</si>
  <si>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</si>
  <si>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</si>
  <si>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</si>
  <si>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</si>
  <si>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</si>
  <si>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</si>
  <si>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</si>
  <si>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</si>
  <si>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</si>
  <si>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</si>
  <si>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</si>
  <si>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</si>
  <si>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</si>
  <si>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</si>
  <si>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</si>
  <si>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</si>
  <si>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</si>
  <si>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</si>
  <si>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</si>
  <si>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</si>
  <si>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</si>
  <si>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</si>
  <si>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</si>
  <si>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</si>
  <si>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</si>
  <si>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</si>
  <si>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</si>
  <si>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</si>
  <si>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</si>
  <si>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</si>
  <si>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</si>
  <si>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</si>
  <si>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</si>
  <si>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</si>
  <si>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</si>
  <si>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</si>
  <si>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</si>
  <si>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</si>
  <si>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</si>
  <si>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</si>
  <si>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</si>
  <si>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</si>
  <si>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</si>
  <si>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</si>
  <si>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</si>
  <si>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</si>
  <si>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</si>
  <si>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</si>
  <si>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</si>
  <si>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</si>
  <si>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</si>
  <si>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</si>
  <si>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</si>
  <si>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</si>
  <si>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</si>
  <si>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</si>
  <si>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</si>
  <si>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</si>
  <si>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</si>
  <si>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</si>
  <si>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</si>
  <si>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</si>
  <si>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</si>
  <si>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</si>
  <si>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</si>
  <si>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</si>
  <si>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</si>
  <si>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</si>
  <si>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</si>
  <si>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</si>
  <si>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</si>
  <si>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</si>
  <si>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</si>
  <si>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</si>
  <si>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</si>
  <si>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</si>
  <si>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</si>
  <si>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</si>
  <si>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</si>
  <si>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</si>
  <si>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</si>
  <si>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</si>
  <si>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</si>
  <si>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</si>
  <si>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</si>
  <si>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</si>
  <si>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</si>
  <si>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</si>
  <si>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</si>
  <si>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</si>
  <si>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</si>
  <si>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</si>
  <si>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</si>
  <si>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</si>
  <si>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</si>
  <si>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</si>
  <si>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</si>
  <si>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</si>
  <si>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</si>
  <si>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</si>
  <si>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</si>
  <si>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</si>
  <si>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</si>
  <si>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</si>
  <si>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</si>
  <si>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</si>
  <si>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</si>
  <si>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</si>
  <si>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</si>
  <si>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</si>
  <si>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</si>
  <si>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</si>
  <si>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</si>
  <si>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</si>
  <si>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</si>
  <si>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</si>
  <si>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</si>
  <si>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</si>
  <si>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</si>
  <si>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</si>
  <si>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</si>
  <si>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</si>
  <si>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</si>
  <si>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</si>
  <si>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</si>
  <si>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</si>
  <si>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</si>
  <si>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</si>
  <si>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</si>
  <si>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</si>
  <si>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</si>
  <si>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</si>
  <si>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</si>
  <si>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</si>
  <si>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</si>
  <si>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</si>
  <si>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</si>
  <si>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</si>
  <si>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</si>
  <si>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</si>
  <si>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</si>
  <si>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</si>
  <si>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</si>
  <si>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</si>
  <si>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</si>
  <si>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</si>
  <si>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</si>
  <si>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</si>
  <si>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</si>
  <si>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</si>
  <si>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</si>
  <si>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</si>
  <si>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</si>
  <si>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</si>
  <si>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</si>
  <si>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</si>
  <si>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</si>
  <si>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</si>
  <si>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</si>
  <si>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</si>
  <si>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</si>
  <si>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</si>
  <si>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</si>
  <si>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</si>
  <si>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</si>
  <si>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</si>
  <si>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</si>
  <si>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</si>
  <si>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</si>
  <si>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</si>
  <si>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</si>
  <si>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</si>
  <si>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</si>
  <si>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</si>
  <si>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</si>
  <si>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</si>
  <si>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</si>
  <si>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</si>
  <si>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</si>
  <si>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</si>
  <si>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</si>
  <si>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</si>
  <si>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</si>
  <si>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</si>
  <si>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</si>
  <si>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</si>
  <si>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</si>
  <si>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</si>
  <si>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</si>
  <si>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</si>
  <si>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</si>
  <si>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</si>
  <si>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</si>
  <si>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</si>
  <si>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</si>
  <si>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</si>
  <si>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</si>
  <si>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</si>
  <si>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</si>
  <si>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</si>
  <si>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</si>
  <si>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</si>
  <si>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</si>
  <si>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</si>
  <si>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</si>
  <si>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</si>
  <si>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</si>
  <si>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</si>
  <si>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</si>
  <si>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</si>
  <si>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</si>
  <si>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</si>
  <si>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</si>
  <si>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</si>
  <si>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</si>
  <si>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</si>
  <si>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</si>
  <si>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</si>
  <si>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</si>
  <si>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</si>
  <si>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</si>
  <si>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</si>
  <si>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</si>
  <si>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</si>
  <si>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</si>
  <si>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</si>
  <si>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</si>
  <si>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</si>
  <si>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</si>
  <si>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</si>
  <si>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</si>
  <si>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</si>
  <si>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</si>
  <si>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</si>
  <si>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</si>
  <si>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</si>
  <si>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</si>
  <si>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</si>
  <si>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</si>
  <si>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</si>
  <si>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</si>
  <si>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</si>
  <si>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</si>
  <si>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</si>
  <si>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</si>
  <si>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</si>
  <si>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</si>
  <si>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</si>
  <si>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</si>
  <si>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</si>
  <si>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</si>
  <si>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</si>
  <si>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</si>
  <si>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</si>
  <si>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</si>
  <si>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</si>
  <si>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</si>
  <si>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</si>
  <si>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</si>
  <si>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</si>
  <si>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</si>
  <si>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</si>
  <si>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</si>
  <si>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</si>
  <si>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</si>
  <si>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</si>
  <si>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</si>
  <si>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</si>
  <si>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</si>
  <si>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</si>
  <si>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</si>
  <si>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</si>
  <si>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</si>
  <si>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</si>
  <si>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</si>
  <si>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</si>
  <si>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</si>
  <si>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</si>
  <si>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</si>
  <si>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</si>
  <si>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</si>
  <si>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</si>
  <si>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</si>
  <si>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</si>
  <si>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</si>
  <si>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</si>
  <si>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</si>
  <si>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</si>
  <si>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</si>
  <si>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</si>
  <si>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</si>
  <si>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</si>
  <si>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</si>
  <si>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</si>
  <si>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</si>
  <si>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</si>
  <si>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</si>
  <si>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</si>
  <si>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</si>
  <si>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</si>
  <si>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</si>
  <si>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</si>
  <si>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</si>
  <si>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</si>
  <si>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</si>
  <si>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</si>
  <si>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</si>
  <si>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</si>
  <si>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</si>
  <si>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</si>
  <si>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</si>
  <si>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</si>
  <si>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</si>
  <si>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</si>
  <si>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</si>
  <si>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</si>
  <si>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</si>
  <si>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</si>
  <si>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</si>
  <si>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</si>
  <si>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</si>
  <si>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</si>
  <si>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</si>
  <si>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</si>
  <si>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</si>
  <si>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</si>
  <si>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</si>
  <si>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</si>
  <si>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</si>
  <si>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</si>
  <si>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</si>
  <si>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</si>
  <si>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</si>
  <si>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</si>
  <si>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</si>
  <si>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</si>
  <si>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</si>
  <si>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</si>
  <si>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</si>
  <si>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</si>
  <si>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</si>
  <si>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</si>
  <si>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</si>
  <si>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</si>
  <si>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</si>
  <si>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</si>
  <si>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</si>
  <si>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</si>
  <si>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</si>
  <si>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</si>
  <si>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</si>
  <si>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</si>
  <si>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</si>
  <si>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</si>
  <si>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</si>
  <si>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</si>
  <si>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</si>
  <si>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</si>
  <si>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</si>
  <si>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</si>
  <si>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</si>
  <si>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</si>
  <si>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</si>
  <si>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</si>
  <si>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</si>
  <si>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</si>
  <si>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</si>
  <si>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</si>
  <si>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</si>
  <si>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</si>
  <si>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</si>
  <si>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</si>
  <si>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</si>
  <si>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</si>
  <si>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</si>
  <si>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</si>
  <si>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</si>
  <si>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</si>
  <si>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</si>
  <si>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</si>
  <si>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</si>
  <si>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</si>
  <si>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</si>
  <si>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</si>
  <si>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</si>
  <si>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</si>
  <si>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</si>
  <si>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</si>
  <si>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</si>
  <si>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</si>
  <si>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</si>
  <si>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</si>
  <si>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</si>
  <si>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</si>
  <si>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</si>
  <si>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</si>
  <si>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</si>
  <si>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</si>
  <si>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</si>
  <si>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</si>
  <si>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</si>
  <si>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</si>
  <si>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</si>
  <si>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</si>
  <si>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</si>
  <si>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</si>
  <si>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</si>
  <si>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</si>
  <si>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</si>
  <si>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</si>
  <si>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</si>
  <si>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</si>
  <si>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</si>
  <si>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</si>
  <si>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</si>
  <si>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</si>
  <si>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</si>
  <si>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</si>
  <si>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</si>
  <si>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</si>
  <si>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</si>
  <si>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</si>
  <si>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</si>
  <si>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</si>
  <si>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</si>
  <si>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</si>
  <si>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</si>
  <si>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</si>
  <si>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</si>
  <si>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</si>
  <si>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</si>
  <si>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</si>
  <si>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</si>
  <si>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</si>
  <si>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</si>
  <si>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</si>
  <si>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</si>
  <si>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</si>
  <si>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71047</t>
  </si>
  <si>
    <t>OPGLABBEEK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</si>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</sst>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94921.090070635284</c:v>
                </c:pt>
                <c:pt idx="1">
                  <c:v>46447.878478265404</c:v>
                </c:pt>
                <c:pt idx="2">
                  <c:v>723.99800000000005</c:v>
                </c:pt>
                <c:pt idx="3">
                  <c:v>1554.2399354546751</c:v>
                </c:pt>
                <c:pt idx="4">
                  <c:v>31188.007886397838</c:v>
                </c:pt>
                <c:pt idx="5">
                  <c:v>50088.473750110847</c:v>
                </c:pt>
                <c:pt idx="6">
                  <c:v>1155.5556323048343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94921.090070635284</c:v>
                </c:pt>
                <c:pt idx="1">
                  <c:v>46447.878478265404</c:v>
                </c:pt>
                <c:pt idx="2">
                  <c:v>723.99800000000005</c:v>
                </c:pt>
                <c:pt idx="3">
                  <c:v>1554.2399354546751</c:v>
                </c:pt>
                <c:pt idx="4">
                  <c:v>31188.007886397838</c:v>
                </c:pt>
                <c:pt idx="5">
                  <c:v>50088.473750110847</c:v>
                </c:pt>
                <c:pt idx="6">
                  <c:v>1155.5556323048343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18312.29778818243</c:v>
                </c:pt>
                <c:pt idx="2">
                  <c:v>8824.7912300998978</c:v>
                </c:pt>
                <c:pt idx="3">
                  <c:v>121.09014285177449</c:v>
                </c:pt>
                <c:pt idx="4">
                  <c:v>388.5362372297198</c:v>
                </c:pt>
                <c:pt idx="5">
                  <c:v>5700.2673317017479</c:v>
                </c:pt>
                <c:pt idx="6">
                  <c:v>12518.765943664022</c:v>
                </c:pt>
                <c:pt idx="7">
                  <c:v>291.95178148072551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18312.29778818243</c:v>
                </c:pt>
                <c:pt idx="2">
                  <c:v>8824.7912300998978</c:v>
                </c:pt>
                <c:pt idx="3">
                  <c:v>121.09014285177449</c:v>
                </c:pt>
                <c:pt idx="4">
                  <c:v>388.5362372297198</c:v>
                </c:pt>
                <c:pt idx="5">
                  <c:v>5700.2673317017479</c:v>
                </c:pt>
                <c:pt idx="6">
                  <c:v>12518.765943664022</c:v>
                </c:pt>
                <c:pt idx="7">
                  <c:v>291.95178148072551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0.16725204054676185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0.16725204054676185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4003</v>
      </c>
      <c r="C9" s="342">
        <v>4149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514.63</v>
      </c>
    </row>
    <row r="15" spans="1:6">
      <c r="A15" s="348" t="s">
        <v>184</v>
      </c>
      <c r="B15" s="334">
        <v>3</v>
      </c>
    </row>
    <row r="16" spans="1:6">
      <c r="A16" s="348" t="s">
        <v>6</v>
      </c>
      <c r="B16" s="334">
        <v>238</v>
      </c>
    </row>
    <row r="17" spans="1:6">
      <c r="A17" s="348" t="s">
        <v>7</v>
      </c>
      <c r="B17" s="334">
        <v>12</v>
      </c>
    </row>
    <row r="18" spans="1:6">
      <c r="A18" s="348" t="s">
        <v>8</v>
      </c>
      <c r="B18" s="334">
        <v>105</v>
      </c>
    </row>
    <row r="19" spans="1:6">
      <c r="A19" s="348" t="s">
        <v>9</v>
      </c>
      <c r="B19" s="334">
        <v>114</v>
      </c>
    </row>
    <row r="20" spans="1:6">
      <c r="A20" s="348" t="s">
        <v>10</v>
      </c>
      <c r="B20" s="334">
        <v>97</v>
      </c>
    </row>
    <row r="21" spans="1:6">
      <c r="A21" s="348" t="s">
        <v>11</v>
      </c>
      <c r="B21" s="334">
        <v>203</v>
      </c>
    </row>
    <row r="22" spans="1:6">
      <c r="A22" s="348" t="s">
        <v>12</v>
      </c>
      <c r="B22" s="334">
        <v>518</v>
      </c>
    </row>
    <row r="23" spans="1:6">
      <c r="A23" s="348" t="s">
        <v>13</v>
      </c>
      <c r="B23" s="334">
        <v>12</v>
      </c>
    </row>
    <row r="24" spans="1:6">
      <c r="A24" s="348" t="s">
        <v>14</v>
      </c>
      <c r="B24" s="334">
        <v>1</v>
      </c>
    </row>
    <row r="25" spans="1:6">
      <c r="A25" s="348" t="s">
        <v>15</v>
      </c>
      <c r="B25" s="334">
        <v>68</v>
      </c>
    </row>
    <row r="26" spans="1:6">
      <c r="A26" s="348" t="s">
        <v>16</v>
      </c>
      <c r="B26" s="334">
        <v>0</v>
      </c>
    </row>
    <row r="27" spans="1:6">
      <c r="A27" s="348" t="s">
        <v>17</v>
      </c>
      <c r="B27" s="334">
        <v>0</v>
      </c>
    </row>
    <row r="28" spans="1:6" s="356" customFormat="1">
      <c r="A28" s="355" t="s">
        <v>18</v>
      </c>
      <c r="B28" s="355">
        <v>24568</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10079</v>
      </c>
      <c r="E38" s="334">
        <v>3</v>
      </c>
      <c r="F38" s="334">
        <v>2798</v>
      </c>
    </row>
    <row r="39" spans="1:6">
      <c r="A39" s="348" t="s">
        <v>30</v>
      </c>
      <c r="B39" s="348" t="s">
        <v>31</v>
      </c>
      <c r="C39" s="334">
        <v>1663</v>
      </c>
      <c r="D39" s="334">
        <v>29955138.510000002</v>
      </c>
      <c r="E39" s="334">
        <v>3941</v>
      </c>
      <c r="F39" s="334">
        <v>13366976.199999999</v>
      </c>
    </row>
    <row r="40" spans="1:6">
      <c r="A40" s="348" t="s">
        <v>30</v>
      </c>
      <c r="B40" s="348" t="s">
        <v>29</v>
      </c>
      <c r="C40" s="334">
        <v>0</v>
      </c>
      <c r="D40" s="334">
        <v>0</v>
      </c>
      <c r="E40" s="334">
        <v>0</v>
      </c>
      <c r="F40" s="334">
        <v>0</v>
      </c>
    </row>
    <row r="41" spans="1:6">
      <c r="A41" s="348" t="s">
        <v>32</v>
      </c>
      <c r="B41" s="348" t="s">
        <v>33</v>
      </c>
      <c r="C41" s="334">
        <v>55</v>
      </c>
      <c r="D41" s="334">
        <v>2585256</v>
      </c>
      <c r="E41" s="334">
        <v>99</v>
      </c>
      <c r="F41" s="334">
        <v>2778392.1869999999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29</v>
      </c>
      <c r="D44" s="334">
        <v>3659403</v>
      </c>
      <c r="E44" s="334">
        <v>45</v>
      </c>
      <c r="F44" s="334">
        <v>2935013.182</v>
      </c>
    </row>
    <row r="45" spans="1:6">
      <c r="A45" s="348" t="s">
        <v>32</v>
      </c>
      <c r="B45" s="348" t="s">
        <v>37</v>
      </c>
      <c r="C45" s="334">
        <v>3</v>
      </c>
      <c r="D45" s="334">
        <v>4091478.071</v>
      </c>
      <c r="E45" s="334">
        <v>4</v>
      </c>
      <c r="F45" s="334">
        <v>6057817.3260000004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295325</v>
      </c>
      <c r="E48" s="334">
        <v>3</v>
      </c>
      <c r="F48" s="334">
        <v>616322</v>
      </c>
    </row>
    <row r="49" spans="1:6">
      <c r="A49" s="348" t="s">
        <v>32</v>
      </c>
      <c r="B49" s="348" t="s">
        <v>40</v>
      </c>
      <c r="C49" s="334">
        <v>3</v>
      </c>
      <c r="D49" s="334">
        <v>687177</v>
      </c>
      <c r="E49" s="334">
        <v>3</v>
      </c>
      <c r="F49" s="334">
        <v>236096.821</v>
      </c>
    </row>
    <row r="50" spans="1:6">
      <c r="A50" s="348" t="s">
        <v>32</v>
      </c>
      <c r="B50" s="348" t="s">
        <v>41</v>
      </c>
      <c r="C50" s="334">
        <v>0</v>
      </c>
      <c r="D50" s="334">
        <v>0</v>
      </c>
      <c r="E50" s="334">
        <v>3</v>
      </c>
      <c r="F50" s="334">
        <v>105273</v>
      </c>
    </row>
    <row r="51" spans="1:6">
      <c r="A51" s="348" t="s">
        <v>42</v>
      </c>
      <c r="B51" s="348" t="s">
        <v>43</v>
      </c>
      <c r="C51" s="334">
        <v>0</v>
      </c>
      <c r="D51" s="334">
        <v>0</v>
      </c>
      <c r="E51" s="334">
        <v>19</v>
      </c>
      <c r="F51" s="334">
        <v>288181</v>
      </c>
    </row>
    <row r="52" spans="1:6">
      <c r="A52" s="348" t="s">
        <v>42</v>
      </c>
      <c r="B52" s="348" t="s">
        <v>29</v>
      </c>
      <c r="C52" s="334">
        <v>2</v>
      </c>
      <c r="D52" s="334">
        <v>16952</v>
      </c>
      <c r="E52" s="334">
        <v>0</v>
      </c>
      <c r="F52" s="334">
        <v>0</v>
      </c>
    </row>
    <row r="53" spans="1:6">
      <c r="A53" s="348" t="s">
        <v>44</v>
      </c>
      <c r="B53" s="348" t="s">
        <v>45</v>
      </c>
      <c r="C53" s="334">
        <v>27</v>
      </c>
      <c r="D53" s="334">
        <v>1022634.6</v>
      </c>
      <c r="E53" s="334">
        <v>64</v>
      </c>
      <c r="F53" s="334">
        <v>408442.25</v>
      </c>
    </row>
    <row r="54" spans="1:6">
      <c r="A54" s="348" t="s">
        <v>46</v>
      </c>
      <c r="B54" s="348" t="s">
        <v>47</v>
      </c>
      <c r="C54" s="334">
        <v>0</v>
      </c>
      <c r="D54" s="334">
        <v>0</v>
      </c>
      <c r="E54" s="334">
        <v>3</v>
      </c>
      <c r="F54" s="334">
        <v>723998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1762578</v>
      </c>
      <c r="E57" s="334">
        <v>50</v>
      </c>
      <c r="F57" s="334">
        <v>691434.75800000003</v>
      </c>
    </row>
    <row r="58" spans="1:6">
      <c r="A58" s="348" t="s">
        <v>49</v>
      </c>
      <c r="B58" s="348" t="s">
        <v>51</v>
      </c>
      <c r="C58" s="334">
        <v>12</v>
      </c>
      <c r="D58" s="334">
        <v>1176773.821</v>
      </c>
      <c r="E58" s="334">
        <v>21</v>
      </c>
      <c r="F58" s="334">
        <v>555629</v>
      </c>
    </row>
    <row r="59" spans="1:6">
      <c r="A59" s="348" t="s">
        <v>49</v>
      </c>
      <c r="B59" s="348" t="s">
        <v>52</v>
      </c>
      <c r="C59" s="334">
        <v>75</v>
      </c>
      <c r="D59" s="334">
        <v>16352914.179</v>
      </c>
      <c r="E59" s="334">
        <v>154</v>
      </c>
      <c r="F59" s="334">
        <v>12071250.353</v>
      </c>
    </row>
    <row r="60" spans="1:6">
      <c r="A60" s="348" t="s">
        <v>49</v>
      </c>
      <c r="B60" s="348" t="s">
        <v>53</v>
      </c>
      <c r="C60" s="334">
        <v>21</v>
      </c>
      <c r="D60" s="334">
        <v>853249</v>
      </c>
      <c r="E60" s="334">
        <v>31</v>
      </c>
      <c r="F60" s="334">
        <v>1150309</v>
      </c>
    </row>
    <row r="61" spans="1:6">
      <c r="A61" s="348" t="s">
        <v>49</v>
      </c>
      <c r="B61" s="348" t="s">
        <v>54</v>
      </c>
      <c r="C61" s="334">
        <v>54</v>
      </c>
      <c r="D61" s="334">
        <v>4960878.9160000002</v>
      </c>
      <c r="E61" s="334">
        <v>106</v>
      </c>
      <c r="F61" s="334">
        <v>4689029.2249999996</v>
      </c>
    </row>
    <row r="62" spans="1:6">
      <c r="A62" s="348" t="s">
        <v>49</v>
      </c>
      <c r="B62" s="348" t="s">
        <v>55</v>
      </c>
      <c r="C62" s="334">
        <v>0</v>
      </c>
      <c r="D62" s="334">
        <v>0</v>
      </c>
      <c r="E62" s="334">
        <v>0</v>
      </c>
      <c r="F62" s="334">
        <v>0</v>
      </c>
    </row>
    <row r="63" spans="1:6">
      <c r="A63" s="348" t="s">
        <v>49</v>
      </c>
      <c r="B63" s="348" t="s">
        <v>29</v>
      </c>
      <c r="C63" s="334">
        <v>1</v>
      </c>
      <c r="D63" s="334">
        <v>100472</v>
      </c>
      <c r="E63" s="334">
        <v>1</v>
      </c>
      <c r="F63" s="334">
        <v>29381</v>
      </c>
    </row>
    <row r="64" spans="1:6">
      <c r="A64" s="348" t="s">
        <v>56</v>
      </c>
      <c r="B64" s="348" t="s">
        <v>57</v>
      </c>
      <c r="C64" s="334">
        <v>0</v>
      </c>
      <c r="D64" s="334">
        <v>0</v>
      </c>
      <c r="E64" s="334">
        <v>0</v>
      </c>
      <c r="F64" s="334">
        <v>0</v>
      </c>
    </row>
    <row r="65" spans="1:6">
      <c r="A65" s="348" t="s">
        <v>56</v>
      </c>
      <c r="B65" s="348" t="s">
        <v>29</v>
      </c>
      <c r="C65" s="334">
        <v>0</v>
      </c>
      <c r="D65" s="334">
        <v>0</v>
      </c>
      <c r="E65" s="334">
        <v>2</v>
      </c>
      <c r="F65" s="334">
        <v>75989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898883</v>
      </c>
      <c r="E68" s="334">
        <v>7</v>
      </c>
      <c r="F68" s="334">
        <v>666741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31082138</v>
      </c>
      <c r="E73" s="475">
        <v>31446840.141410761</v>
      </c>
    </row>
    <row r="74" spans="1:6">
      <c r="A74" s="348" t="s">
        <v>64</v>
      </c>
      <c r="B74" s="348" t="s">
        <v>657</v>
      </c>
      <c r="C74" s="1295" t="s">
        <v>659</v>
      </c>
      <c r="D74" s="475">
        <v>2420685</v>
      </c>
      <c r="E74" s="475">
        <v>2461746.0896361261</v>
      </c>
    </row>
    <row r="75" spans="1:6">
      <c r="A75" s="348" t="s">
        <v>65</v>
      </c>
      <c r="B75" s="348" t="s">
        <v>656</v>
      </c>
      <c r="C75" s="1295" t="s">
        <v>660</v>
      </c>
      <c r="D75" s="475">
        <v>25226880</v>
      </c>
      <c r="E75" s="475">
        <v>25468830.454037886</v>
      </c>
    </row>
    <row r="76" spans="1:6">
      <c r="A76" s="348" t="s">
        <v>65</v>
      </c>
      <c r="B76" s="348" t="s">
        <v>657</v>
      </c>
      <c r="C76" s="1295" t="s">
        <v>661</v>
      </c>
      <c r="D76" s="475">
        <v>585845</v>
      </c>
      <c r="E76" s="475">
        <v>589163.9138334482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313406</v>
      </c>
      <c r="C83" s="475">
        <v>320473.21724258107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4548.3926969384192</v>
      </c>
    </row>
    <row r="92" spans="1:6">
      <c r="A92" s="341" t="s">
        <v>69</v>
      </c>
      <c r="B92" s="342">
        <v>7921.642228653247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149</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51274.090153197896</v>
      </c>
      <c r="C3" s="43" t="s">
        <v>170</v>
      </c>
      <c r="D3" s="43"/>
      <c r="E3" s="154"/>
      <c r="F3" s="43"/>
      <c r="G3" s="43"/>
      <c r="H3" s="43"/>
      <c r="I3" s="43"/>
      <c r="J3" s="43"/>
      <c r="K3" s="96"/>
    </row>
    <row r="4" spans="1:11">
      <c r="A4" s="383" t="s">
        <v>171</v>
      </c>
      <c r="B4" s="49">
        <f>IF(ISERROR('SEAP template'!B78+'SEAP template'!C78),0,'SEAP template'!B78+'SEAP template'!C78)</f>
        <v>12470.034925591666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0.16725204054676185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723.99800000000005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0.16725204054676185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121.09014285177449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13366.976199999999</v>
      </c>
      <c r="C5" s="17">
        <f>IF(ISERROR('Eigen informatie GS &amp; warmtenet'!B57),0,'Eigen informatie GS &amp; warmtenet'!B57)</f>
        <v>0</v>
      </c>
      <c r="D5" s="30">
        <f>(SUM(HH_hh_gas_kWh,HH_rest_gas_kWh)/1000)*0.902</f>
        <v>27019.534936020002</v>
      </c>
      <c r="E5" s="17">
        <f>B46*B57</f>
        <v>931.02087445601614</v>
      </c>
      <c r="F5" s="17">
        <f>B51*B62</f>
        <v>36129.692836868664</v>
      </c>
      <c r="G5" s="18"/>
      <c r="H5" s="17"/>
      <c r="I5" s="17"/>
      <c r="J5" s="17">
        <f>B50*B61+C50*C61</f>
        <v>0</v>
      </c>
      <c r="K5" s="17"/>
      <c r="L5" s="17"/>
      <c r="M5" s="17"/>
      <c r="N5" s="17">
        <f>B48*B59+C48*C59</f>
        <v>12114.589193018859</v>
      </c>
      <c r="O5" s="17">
        <f>B69*B70*B71</f>
        <v>257.95</v>
      </c>
      <c r="P5" s="17">
        <f>B77*B78*B79/1000-B77*B78*B79/1000/B80</f>
        <v>552.93333333333339</v>
      </c>
    </row>
    <row r="6" spans="1:16">
      <c r="A6" s="16" t="s">
        <v>621</v>
      </c>
      <c r="B6" s="788">
        <f>kWh_PV_kleiner_dan_10kW</f>
        <v>4548.3926969384192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17915.368896938417</v>
      </c>
      <c r="C8" s="21">
        <f>C5</f>
        <v>0</v>
      </c>
      <c r="D8" s="21">
        <f>D5</f>
        <v>27019.534936020002</v>
      </c>
      <c r="E8" s="21">
        <f>E5</f>
        <v>931.02087445601614</v>
      </c>
      <c r="F8" s="21">
        <f>F5</f>
        <v>36129.692836868664</v>
      </c>
      <c r="G8" s="21"/>
      <c r="H8" s="21"/>
      <c r="I8" s="21"/>
      <c r="J8" s="21">
        <f>J5</f>
        <v>0</v>
      </c>
      <c r="K8" s="21"/>
      <c r="L8" s="21">
        <f>L5</f>
        <v>0</v>
      </c>
      <c r="M8" s="21">
        <f>M5</f>
        <v>0</v>
      </c>
      <c r="N8" s="21">
        <f>N5</f>
        <v>12114.589193018859</v>
      </c>
      <c r="O8" s="21">
        <f>O5</f>
        <v>257.95</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0.16725204054676185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2996.38200516094</v>
      </c>
      <c r="C12" s="23">
        <f ca="1">C10*C8</f>
        <v>0</v>
      </c>
      <c r="D12" s="23">
        <f>D8*D10</f>
        <v>5457.9460570760402</v>
      </c>
      <c r="E12" s="23">
        <f>E10*E8</f>
        <v>211.34173850151566</v>
      </c>
      <c r="F12" s="23">
        <f>F10*F8</f>
        <v>9646.6279874439333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4003</v>
      </c>
      <c r="C28" s="36"/>
      <c r="D28" s="228"/>
    </row>
    <row r="29" spans="1:7" s="15" customFormat="1">
      <c r="A29" s="230" t="s">
        <v>794</v>
      </c>
      <c r="B29" s="37">
        <f>SUM(HH_hh_gas_aantal,HH_rest_gas_aantal)</f>
        <v>1663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1663</v>
      </c>
      <c r="C32" s="167">
        <f>IF(ISERROR(B32/SUM($B$32,$B$34,$B$35,$B$36,$B$38,$B$39)*100),0,B32/SUM($B$32,$B$34,$B$35,$B$36,$B$38,$B$39)*100)</f>
        <v>41.847005535983897</v>
      </c>
      <c r="D32" s="233"/>
      <c r="G32" s="15"/>
    </row>
    <row r="33" spans="1:7">
      <c r="A33" s="171" t="s">
        <v>72</v>
      </c>
      <c r="B33" s="34" t="s">
        <v>111</v>
      </c>
      <c r="C33" s="167"/>
      <c r="D33" s="233"/>
      <c r="G33" s="15"/>
    </row>
    <row r="34" spans="1:7">
      <c r="A34" s="171" t="s">
        <v>73</v>
      </c>
      <c r="B34" s="33">
        <f>IF((($B$28-$B$32-$B$39-$B$77-$B$38)*C20/100)&lt;0,0,($B$28-$B$32-$B$39-$B$77-$B$38)*C20/100)</f>
        <v>43.971179039301312</v>
      </c>
      <c r="C34" s="167">
        <f>IF(ISERROR(B34/SUM($B$32,$B$34,$B$35,$B$36,$B$38,$B$39)*100),0,B34/SUM($B$32,$B$34,$B$35,$B$36,$B$38,$B$39)*100)</f>
        <v>1.1064715409990264</v>
      </c>
      <c r="D34" s="233"/>
      <c r="G34" s="15"/>
    </row>
    <row r="35" spans="1:7">
      <c r="A35" s="171" t="s">
        <v>74</v>
      </c>
      <c r="B35" s="33">
        <f>IF((($B$28-$B$32-$B$39-$B$77-$B$38)*C21/100)&lt;0,0,($B$28-$B$32-$B$39-$B$77-$B$38)*C21/100)</f>
        <v>703.53886462882099</v>
      </c>
      <c r="C35" s="167">
        <f>IF(ISERROR(B35/SUM($B$32,$B$34,$B$35,$B$36,$B$38,$B$39)*100),0,B35/SUM($B$32,$B$34,$B$35,$B$36,$B$38,$B$39)*100)</f>
        <v>17.703544655984423</v>
      </c>
      <c r="D35" s="233"/>
      <c r="G35" s="15"/>
    </row>
    <row r="36" spans="1:7">
      <c r="A36" s="171" t="s">
        <v>75</v>
      </c>
      <c r="B36" s="33">
        <f>IF((($B$28-$B$32-$B$39-$B$77-$B$38)*C22/100)&lt;0,0,($B$28-$B$32-$B$39-$B$77-$B$38)*C22/100)</f>
        <v>167.88995633187776</v>
      </c>
      <c r="C36" s="167">
        <f>IF(ISERROR(B36/SUM($B$32,$B$34,$B$35,$B$36,$B$38,$B$39)*100),0,B36/SUM($B$32,$B$34,$B$35,$B$36,$B$38,$B$39)*100)</f>
        <v>4.2247095201781013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1395.6</v>
      </c>
      <c r="C39" s="167">
        <f>IF(ISERROR(B39/SUM($B$32,$B$34,$B$35,$B$36,$B$38,$B$39)*100),0,B39/SUM($B$32,$B$34,$B$35,$B$36,$B$38,$B$39)*100)</f>
        <v>35.118268746854554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1663</v>
      </c>
      <c r="C44" s="34" t="s">
        <v>111</v>
      </c>
      <c r="D44" s="174"/>
    </row>
    <row r="45" spans="1:7">
      <c r="A45" s="171" t="s">
        <v>72</v>
      </c>
      <c r="B45" s="33" t="str">
        <f t="shared" si="0"/>
        <v>-</v>
      </c>
      <c r="C45" s="34" t="s">
        <v>111</v>
      </c>
      <c r="D45" s="174"/>
    </row>
    <row r="46" spans="1:7">
      <c r="A46" s="171" t="s">
        <v>73</v>
      </c>
      <c r="B46" s="33">
        <f t="shared" si="0"/>
        <v>43.971179039301312</v>
      </c>
      <c r="C46" s="34" t="s">
        <v>111</v>
      </c>
      <c r="D46" s="174"/>
    </row>
    <row r="47" spans="1:7">
      <c r="A47" s="171" t="s">
        <v>74</v>
      </c>
      <c r="B47" s="33">
        <f t="shared" si="0"/>
        <v>703.53886462882099</v>
      </c>
      <c r="C47" s="34" t="s">
        <v>111</v>
      </c>
      <c r="D47" s="174"/>
    </row>
    <row r="48" spans="1:7">
      <c r="A48" s="171" t="s">
        <v>75</v>
      </c>
      <c r="B48" s="33">
        <f t="shared" si="0"/>
        <v>167.88995633187776</v>
      </c>
      <c r="C48" s="33">
        <f>B48*10</f>
        <v>1678.8995633187776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1395.6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19187.033336</v>
      </c>
      <c r="C5" s="17">
        <f>IF(ISERROR('Eigen informatie GS &amp; warmtenet'!B58),0,'Eigen informatie GS &amp; warmtenet'!B58)</f>
        <v>0</v>
      </c>
      <c r="D5" s="30">
        <f>SUM(D6:D12)</f>
        <v>22736.593056232003</v>
      </c>
      <c r="E5" s="17">
        <f>SUM(E6:E12)</f>
        <v>455.54819041903079</v>
      </c>
      <c r="F5" s="17">
        <f>SUM(F6:F12)</f>
        <v>3443.8733254436352</v>
      </c>
      <c r="G5" s="18"/>
      <c r="H5" s="17"/>
      <c r="I5" s="17"/>
      <c r="J5" s="17">
        <f>SUM(J6:J12)</f>
        <v>1.5079485079740836E-2</v>
      </c>
      <c r="K5" s="17"/>
      <c r="L5" s="17"/>
      <c r="M5" s="17"/>
      <c r="N5" s="17">
        <f>SUM(N6:N12)</f>
        <v>620.1254906856451</v>
      </c>
      <c r="O5" s="17">
        <f>B38*B39*B40</f>
        <v>4.6900000000000004</v>
      </c>
      <c r="P5" s="17">
        <f>B46*B47*B48/1000-B46*B47*B48/1000/B49</f>
        <v>0</v>
      </c>
      <c r="R5" s="32"/>
    </row>
    <row r="6" spans="1:18">
      <c r="A6" s="32" t="s">
        <v>54</v>
      </c>
      <c r="B6" s="37">
        <f>B26</f>
        <v>4689.0292249999993</v>
      </c>
      <c r="C6" s="33"/>
      <c r="D6" s="37">
        <f>IF(ISERROR(TER_kantoor_gas_kWh/1000),0,TER_kantoor_gas_kWh/1000)*0.902</f>
        <v>4474.7127822320008</v>
      </c>
      <c r="E6" s="33">
        <f>$C$26*'E Balans VL '!I12/100/3.6*1000000</f>
        <v>2.9389275635612264E-2</v>
      </c>
      <c r="F6" s="33">
        <f>$C$26*('E Balans VL '!L12+'E Balans VL '!N12)/100/3.6*1000000</f>
        <v>704.63006854470427</v>
      </c>
      <c r="G6" s="34"/>
      <c r="H6" s="33"/>
      <c r="I6" s="33"/>
      <c r="J6" s="33">
        <f>$C$26*('E Balans VL '!D12+'E Balans VL '!E12)/100/3.6*1000000</f>
        <v>0</v>
      </c>
      <c r="K6" s="33"/>
      <c r="L6" s="33"/>
      <c r="M6" s="33"/>
      <c r="N6" s="33">
        <f>$C$26*'E Balans VL '!Y12/100/3.6*1000000</f>
        <v>4.4843612288330199</v>
      </c>
      <c r="O6" s="33"/>
      <c r="P6" s="33"/>
      <c r="R6" s="32"/>
    </row>
    <row r="7" spans="1:18">
      <c r="A7" s="32" t="s">
        <v>53</v>
      </c>
      <c r="B7" s="37">
        <f t="shared" ref="B7:B12" si="0">B27</f>
        <v>1150.309</v>
      </c>
      <c r="C7" s="33"/>
      <c r="D7" s="37">
        <f>IF(ISERROR(TER_horeca_gas_kWh/1000),0,TER_horeca_gas_kWh/1000)*0.902</f>
        <v>769.63059800000008</v>
      </c>
      <c r="E7" s="33">
        <f>$C$27*'E Balans VL '!I9/100/3.6*1000000</f>
        <v>16.472233275097615</v>
      </c>
      <c r="F7" s="33">
        <f>$C$27*('E Balans VL '!L9+'E Balans VL '!N9)/100/3.6*1000000</f>
        <v>145.66705805243936</v>
      </c>
      <c r="G7" s="34"/>
      <c r="H7" s="33"/>
      <c r="I7" s="33"/>
      <c r="J7" s="33">
        <f>$C$27*('E Balans VL '!D9+'E Balans VL '!E9)/100/3.6*1000000</f>
        <v>0</v>
      </c>
      <c r="K7" s="33"/>
      <c r="L7" s="33"/>
      <c r="M7" s="33"/>
      <c r="N7" s="33">
        <f>$C$27*'E Balans VL '!Y9/100/3.6*1000000</f>
        <v>0.33068847536362733</v>
      </c>
      <c r="O7" s="33"/>
      <c r="P7" s="33"/>
      <c r="R7" s="32"/>
    </row>
    <row r="8" spans="1:18">
      <c r="A8" s="6" t="s">
        <v>52</v>
      </c>
      <c r="B8" s="37">
        <f t="shared" si="0"/>
        <v>12071.250352999999</v>
      </c>
      <c r="C8" s="33"/>
      <c r="D8" s="37">
        <f>IF(ISERROR(TER_handel_gas_kWh/1000),0,TER_handel_gas_kWh/1000)*0.902</f>
        <v>14750.328589458</v>
      </c>
      <c r="E8" s="33">
        <f>$C$28*'E Balans VL '!I13/100/3.6*1000000</f>
        <v>437.82276174340626</v>
      </c>
      <c r="F8" s="33">
        <f>$C$28*('E Balans VL '!L13+'E Balans VL '!N13)/100/3.6*1000000</f>
        <v>2325.0450471687127</v>
      </c>
      <c r="G8" s="34"/>
      <c r="H8" s="33"/>
      <c r="I8" s="33"/>
      <c r="J8" s="33">
        <f>$C$28*('E Balans VL '!D13+'E Balans VL '!E13)/100/3.6*1000000</f>
        <v>0</v>
      </c>
      <c r="K8" s="33"/>
      <c r="L8" s="33"/>
      <c r="M8" s="33"/>
      <c r="N8" s="33">
        <f>$C$28*'E Balans VL '!Y13/100/3.6*1000000</f>
        <v>16.721459209739738</v>
      </c>
      <c r="O8" s="33"/>
      <c r="P8" s="33"/>
      <c r="R8" s="32"/>
    </row>
    <row r="9" spans="1:18">
      <c r="A9" s="32" t="s">
        <v>51</v>
      </c>
      <c r="B9" s="37">
        <f t="shared" si="0"/>
        <v>555.62900000000002</v>
      </c>
      <c r="C9" s="33"/>
      <c r="D9" s="37">
        <f>IF(ISERROR(TER_gezond_gas_kWh/1000),0,TER_gezond_gas_kWh/1000)*0.902</f>
        <v>1061.449986542</v>
      </c>
      <c r="E9" s="33">
        <f>$C$29*'E Balans VL '!I10/100/3.6*1000000</f>
        <v>3.4787861245299742E-2</v>
      </c>
      <c r="F9" s="33">
        <f>$C$29*('E Balans VL '!L10+'E Balans VL '!N10)/100/3.6*1000000</f>
        <v>82.540379679193236</v>
      </c>
      <c r="G9" s="34"/>
      <c r="H9" s="33"/>
      <c r="I9" s="33"/>
      <c r="J9" s="33">
        <f>$C$29*('E Balans VL '!D10+'E Balans VL '!E10)/100/3.6*1000000</f>
        <v>0</v>
      </c>
      <c r="K9" s="33"/>
      <c r="L9" s="33"/>
      <c r="M9" s="33"/>
      <c r="N9" s="33">
        <f>$C$29*'E Balans VL '!Y10/100/3.6*1000000</f>
        <v>8.5945229856155976</v>
      </c>
      <c r="O9" s="33"/>
      <c r="P9" s="33"/>
      <c r="R9" s="32"/>
    </row>
    <row r="10" spans="1:18">
      <c r="A10" s="32" t="s">
        <v>50</v>
      </c>
      <c r="B10" s="37">
        <f t="shared" si="0"/>
        <v>691.43475799999999</v>
      </c>
      <c r="C10" s="33"/>
      <c r="D10" s="37">
        <f>IF(ISERROR(TER_ander_gas_kWh/1000),0,TER_ander_gas_kWh/1000)*0.902</f>
        <v>1589.845356</v>
      </c>
      <c r="E10" s="33">
        <f>$C$30*'E Balans VL '!I14/100/3.6*1000000</f>
        <v>0.82416552383261721</v>
      </c>
      <c r="F10" s="33">
        <f>$C$30*('E Balans VL '!L14+'E Balans VL '!N14)/100/3.6*1000000</f>
        <v>180.91007146782067</v>
      </c>
      <c r="G10" s="34"/>
      <c r="H10" s="33"/>
      <c r="I10" s="33"/>
      <c r="J10" s="33">
        <f>$C$30*('E Balans VL '!D14+'E Balans VL '!E14)/100/3.6*1000000</f>
        <v>1.5008338246766697E-2</v>
      </c>
      <c r="K10" s="33"/>
      <c r="L10" s="33"/>
      <c r="M10" s="33"/>
      <c r="N10" s="33">
        <f>$C$30*'E Balans VL '!Y14/100/3.6*1000000</f>
        <v>587.14947732322605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29.381</v>
      </c>
      <c r="C12" s="33"/>
      <c r="D12" s="37">
        <f>IF(ISERROR(TER_rest_gas_kWh/1000),0,TER_rest_gas_kWh/1000)*0.902</f>
        <v>90.625743999999997</v>
      </c>
      <c r="E12" s="33">
        <f>$C$32*'E Balans VL '!I8/100/3.6*1000000</f>
        <v>0.36485273981341254</v>
      </c>
      <c r="F12" s="33">
        <f>$C$32*('E Balans VL '!L8+'E Balans VL '!N8)/100/3.6*1000000</f>
        <v>5.0807005307648536</v>
      </c>
      <c r="G12" s="34"/>
      <c r="H12" s="33"/>
      <c r="I12" s="33"/>
      <c r="J12" s="33">
        <f>$C$32*('E Balans VL '!D8+'E Balans VL '!E8)/100/3.6*1000000</f>
        <v>7.1146832974139262E-5</v>
      </c>
      <c r="K12" s="33"/>
      <c r="L12" s="33"/>
      <c r="M12" s="33"/>
      <c r="N12" s="33">
        <f>$C$32*'E Balans VL '!Y8/100/3.6*1000000</f>
        <v>2.8449814628670231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19187.033336</v>
      </c>
      <c r="C16" s="21">
        <f t="shared" ca="1" si="1"/>
        <v>0</v>
      </c>
      <c r="D16" s="21">
        <f t="shared" ca="1" si="1"/>
        <v>22736.593056232003</v>
      </c>
      <c r="E16" s="21">
        <f t="shared" si="1"/>
        <v>455.54819041903079</v>
      </c>
      <c r="F16" s="21">
        <f t="shared" ca="1" si="1"/>
        <v>3443.8733254436352</v>
      </c>
      <c r="G16" s="21">
        <f t="shared" si="1"/>
        <v>0</v>
      </c>
      <c r="H16" s="21">
        <f t="shared" si="1"/>
        <v>0</v>
      </c>
      <c r="I16" s="21">
        <f t="shared" si="1"/>
        <v>0</v>
      </c>
      <c r="J16" s="21">
        <f t="shared" si="1"/>
        <v>1.5079485079740836E-2</v>
      </c>
      <c r="K16" s="21">
        <f t="shared" si="1"/>
        <v>0</v>
      </c>
      <c r="L16" s="21">
        <f t="shared" ca="1" si="1"/>
        <v>0</v>
      </c>
      <c r="M16" s="21">
        <f t="shared" si="1"/>
        <v>0</v>
      </c>
      <c r="N16" s="21">
        <f t="shared" ca="1" si="1"/>
        <v>620.1254906856451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0.16725204054676185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3209.0704774847432</v>
      </c>
      <c r="C20" s="23">
        <f t="shared" ref="C20:P20" ca="1" si="2">C16*C18</f>
        <v>0</v>
      </c>
      <c r="D20" s="23">
        <f t="shared" ca="1" si="2"/>
        <v>4592.7917973588646</v>
      </c>
      <c r="E20" s="23">
        <f t="shared" si="2"/>
        <v>103.40943922512</v>
      </c>
      <c r="F20" s="23">
        <f t="shared" ca="1" si="2"/>
        <v>919.51417789345066</v>
      </c>
      <c r="G20" s="23">
        <f t="shared" si="2"/>
        <v>0</v>
      </c>
      <c r="H20" s="23">
        <f t="shared" si="2"/>
        <v>0</v>
      </c>
      <c r="I20" s="23">
        <f t="shared" si="2"/>
        <v>0</v>
      </c>
      <c r="J20" s="23">
        <f t="shared" si="2"/>
        <v>5.3381377182282553E-3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4689.0292249999993</v>
      </c>
      <c r="C26" s="39">
        <f>IF(ISERROR(B26*3.6/1000000/'E Balans VL '!Z12*100),0,B26*3.6/1000000/'E Balans VL '!Z12*100)</f>
        <v>9.9118649794208577E-2</v>
      </c>
      <c r="D26" s="237" t="s">
        <v>754</v>
      </c>
      <c r="F26" s="6"/>
    </row>
    <row r="27" spans="1:18">
      <c r="A27" s="231" t="s">
        <v>53</v>
      </c>
      <c r="B27" s="33">
        <f>IF(ISERROR(TER_horeca_ele_kWh/1000),0,TER_horeca_ele_kWh/1000)</f>
        <v>1150.309</v>
      </c>
      <c r="C27" s="39">
        <f>IF(ISERROR(B27*3.6/1000000/'E Balans VL '!Z9*100),0,B27*3.6/1000000/'E Balans VL '!Z9*100)</f>
        <v>9.0678429727947624E-2</v>
      </c>
      <c r="D27" s="237" t="s">
        <v>754</v>
      </c>
      <c r="F27" s="6"/>
    </row>
    <row r="28" spans="1:18">
      <c r="A28" s="171" t="s">
        <v>52</v>
      </c>
      <c r="B28" s="33">
        <f>IF(ISERROR(TER_handel_ele_kWh/1000),0,TER_handel_ele_kWh/1000)</f>
        <v>12071.250352999999</v>
      </c>
      <c r="C28" s="39">
        <f>IF(ISERROR(B28*3.6/1000000/'E Balans VL '!Z13*100),0,B28*3.6/1000000/'E Balans VL '!Z13*100)</f>
        <v>0.35035645856083397</v>
      </c>
      <c r="D28" s="237" t="s">
        <v>754</v>
      </c>
      <c r="F28" s="6"/>
    </row>
    <row r="29" spans="1:18">
      <c r="A29" s="231" t="s">
        <v>51</v>
      </c>
      <c r="B29" s="33">
        <f>IF(ISERROR(TER_gezond_ele_kWh/1000),0,TER_gezond_ele_kWh/1000)</f>
        <v>555.62900000000002</v>
      </c>
      <c r="C29" s="39">
        <f>IF(ISERROR(B29*3.6/1000000/'E Balans VL '!Z10*100),0,B29*3.6/1000000/'E Balans VL '!Z10*100)</f>
        <v>5.8516857369009592E-2</v>
      </c>
      <c r="D29" s="237" t="s">
        <v>754</v>
      </c>
      <c r="F29" s="6"/>
    </row>
    <row r="30" spans="1:18">
      <c r="A30" s="231" t="s">
        <v>50</v>
      </c>
      <c r="B30" s="33">
        <f>IF(ISERROR(TER_ander_ele_kWh/1000),0,TER_ander_ele_kWh/1000)</f>
        <v>691.43475799999999</v>
      </c>
      <c r="C30" s="39">
        <f>IF(ISERROR(B30*3.6/1000000/'E Balans VL '!Z14*100),0,B30*3.6/1000000/'E Balans VL '!Z14*100)</f>
        <v>5.1000377928962393E-2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29.381</v>
      </c>
      <c r="C32" s="39">
        <f>IF(ISERROR(B32*3.6/1000000/'E Balans VL '!Z8*100),0,B32*3.6/1000000/'E Balans VL '!Z8*100)</f>
        <v>2.4176663068688306E-4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12728.914516000001</v>
      </c>
      <c r="C5" s="17">
        <f>IF(ISERROR('Eigen informatie GS &amp; warmtenet'!B59),0,'Eigen informatie GS &amp; warmtenet'!B59)</f>
        <v>0</v>
      </c>
      <c r="D5" s="30">
        <f>SUM(D6:D15)</f>
        <v>10209.412442041999</v>
      </c>
      <c r="E5" s="17">
        <f>SUM(E6:E15)</f>
        <v>1049.7086101639063</v>
      </c>
      <c r="F5" s="17">
        <f>SUM(F6:F15)</f>
        <v>4743.2215657420875</v>
      </c>
      <c r="G5" s="18"/>
      <c r="H5" s="17"/>
      <c r="I5" s="17"/>
      <c r="J5" s="17">
        <f>SUM(J6:J15)</f>
        <v>12.161240402889787</v>
      </c>
      <c r="K5" s="17"/>
      <c r="L5" s="17"/>
      <c r="M5" s="17"/>
      <c r="N5" s="17">
        <f>SUM(N6:N15)</f>
        <v>2444.589512046949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2935.0131820000001</v>
      </c>
      <c r="C8" s="33"/>
      <c r="D8" s="37">
        <f>IF( ISERROR(IND_metaal_Gas_kWH/1000),0,IND_metaal_Gas_kWH/1000)*0.902</f>
        <v>3300.7815059999998</v>
      </c>
      <c r="E8" s="33">
        <f>C30*'E Balans VL '!I18/100/3.6*1000000</f>
        <v>26.984611545801105</v>
      </c>
      <c r="F8" s="33">
        <f>C30*'E Balans VL '!L18/100/3.6*1000000+C30*'E Balans VL '!N18/100/3.6*1000000</f>
        <v>275.20651999146116</v>
      </c>
      <c r="G8" s="34"/>
      <c r="H8" s="33"/>
      <c r="I8" s="33"/>
      <c r="J8" s="40">
        <f>C30*'E Balans VL '!D18/100/3.6*1000000+C30*'E Balans VL '!E18/100/3.6*1000000</f>
        <v>0</v>
      </c>
      <c r="K8" s="33"/>
      <c r="L8" s="33"/>
      <c r="M8" s="33"/>
      <c r="N8" s="33">
        <f>C30*'E Balans VL '!Y18/100/3.6*1000000</f>
        <v>41.87281335476505</v>
      </c>
      <c r="O8" s="33"/>
      <c r="P8" s="33"/>
      <c r="R8" s="32"/>
    </row>
    <row r="9" spans="1:18">
      <c r="A9" s="6" t="s">
        <v>33</v>
      </c>
      <c r="B9" s="37">
        <f t="shared" si="0"/>
        <v>2778.3921869999999</v>
      </c>
      <c r="C9" s="33"/>
      <c r="D9" s="37">
        <f>IF( ISERROR(IND_andere_gas_kWh/1000),0,IND_andere_gas_kWh/1000)*0.902</f>
        <v>2331.9009120000001</v>
      </c>
      <c r="E9" s="33">
        <f>C31*'E Balans VL '!I19/100/3.6*1000000</f>
        <v>812.1781251762302</v>
      </c>
      <c r="F9" s="33">
        <f>C31*'E Balans VL '!L19/100/3.6*1000000+C31*'E Balans VL '!N19/100/3.6*1000000</f>
        <v>2232.6484272189905</v>
      </c>
      <c r="G9" s="34"/>
      <c r="H9" s="33"/>
      <c r="I9" s="33"/>
      <c r="J9" s="40">
        <f>C31*'E Balans VL '!D19/100/3.6*1000000+C31*'E Balans VL '!E19/100/3.6*1000000</f>
        <v>0</v>
      </c>
      <c r="K9" s="33"/>
      <c r="L9" s="33"/>
      <c r="M9" s="33"/>
      <c r="N9" s="33">
        <f>C31*'E Balans VL '!Y19/100/3.6*1000000</f>
        <v>918.02386839255053</v>
      </c>
      <c r="O9" s="33"/>
      <c r="P9" s="33"/>
      <c r="R9" s="32"/>
    </row>
    <row r="10" spans="1:18">
      <c r="A10" s="6" t="s">
        <v>41</v>
      </c>
      <c r="B10" s="37">
        <f t="shared" si="0"/>
        <v>105.273</v>
      </c>
      <c r="C10" s="33"/>
      <c r="D10" s="37">
        <f>IF( ISERROR(IND_voed_gas_kWh/1000),0,IND_voed_gas_kWh/1000)*0.902</f>
        <v>0</v>
      </c>
      <c r="E10" s="33">
        <f>C32*'E Balans VL '!I20/100/3.6*1000000</f>
        <v>0.2227066637771975</v>
      </c>
      <c r="F10" s="33">
        <f>C32*'E Balans VL '!L20/100/3.6*1000000+C32*'E Balans VL '!N20/100/3.6*1000000</f>
        <v>6.6933648732161366</v>
      </c>
      <c r="G10" s="34"/>
      <c r="H10" s="33"/>
      <c r="I10" s="33"/>
      <c r="J10" s="40">
        <f>C32*'E Balans VL '!D20/100/3.6*1000000+C32*'E Balans VL '!E20/100/3.6*1000000</f>
        <v>0</v>
      </c>
      <c r="K10" s="33"/>
      <c r="L10" s="33"/>
      <c r="M10" s="33"/>
      <c r="N10" s="33">
        <f>C32*'E Balans VL '!Y20/100/3.6*1000000</f>
        <v>7.264875859348094</v>
      </c>
      <c r="O10" s="33"/>
      <c r="P10" s="33"/>
      <c r="R10" s="32"/>
    </row>
    <row r="11" spans="1:18">
      <c r="A11" s="6" t="s">
        <v>40</v>
      </c>
      <c r="B11" s="37">
        <f t="shared" si="0"/>
        <v>236.09682100000001</v>
      </c>
      <c r="C11" s="33"/>
      <c r="D11" s="37">
        <f>IF( ISERROR(IND_textiel_gas_kWh/1000),0,IND_textiel_gas_kWh/1000)*0.902</f>
        <v>619.83365400000002</v>
      </c>
      <c r="E11" s="33">
        <f>C33*'E Balans VL '!I21/100/3.6*1000000</f>
        <v>0.70118720291084402</v>
      </c>
      <c r="F11" s="33">
        <f>C33*'E Balans VL '!L21/100/3.6*1000000+C33*'E Balans VL '!N21/100/3.6*1000000</f>
        <v>23.852260750655674</v>
      </c>
      <c r="G11" s="34"/>
      <c r="H11" s="33"/>
      <c r="I11" s="33"/>
      <c r="J11" s="40">
        <f>C33*'E Balans VL '!D21/100/3.6*1000000+C33*'E Balans VL '!E21/100/3.6*1000000</f>
        <v>0</v>
      </c>
      <c r="K11" s="33"/>
      <c r="L11" s="33"/>
      <c r="M11" s="33"/>
      <c r="N11" s="33">
        <f>C33*'E Balans VL '!Y21/100/3.6*1000000</f>
        <v>13.021493146743412</v>
      </c>
      <c r="O11" s="33"/>
      <c r="P11" s="33"/>
      <c r="R11" s="32"/>
    </row>
    <row r="12" spans="1:18">
      <c r="A12" s="6" t="s">
        <v>37</v>
      </c>
      <c r="B12" s="37">
        <f t="shared" si="0"/>
        <v>6057.8173260000003</v>
      </c>
      <c r="C12" s="33"/>
      <c r="D12" s="37">
        <f>IF( ISERROR(IND_min_gas_kWh/1000),0,IND_min_gas_kWh/1000)*0.902</f>
        <v>3690.5132200420003</v>
      </c>
      <c r="E12" s="33">
        <f>C34*'E Balans VL '!I22/100/3.6*1000000</f>
        <v>175.59118022362446</v>
      </c>
      <c r="F12" s="33">
        <f>C34*'E Balans VL '!L22/100/3.6*1000000+C34*'E Balans VL '!N22/100/3.6*1000000</f>
        <v>2082.7460515402445</v>
      </c>
      <c r="G12" s="34"/>
      <c r="H12" s="33"/>
      <c r="I12" s="33"/>
      <c r="J12" s="40">
        <f>C34*'E Balans VL '!D22/100/3.6*1000000+C34*'E Balans VL '!E22/100/3.6*1000000</f>
        <v>9.9548193626395225</v>
      </c>
      <c r="K12" s="33"/>
      <c r="L12" s="33"/>
      <c r="M12" s="33"/>
      <c r="N12" s="33">
        <f>C34*'E Balans VL '!Y22/100/3.6*1000000</f>
        <v>1326.1557625380674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616.322</v>
      </c>
      <c r="C15" s="33"/>
      <c r="D15" s="37">
        <f>IF( ISERROR(IND_rest_gas_kWh/1000),0,IND_rest_gas_kWh/1000)*0.902</f>
        <v>266.38315</v>
      </c>
      <c r="E15" s="33">
        <f>C37*'E Balans VL '!I15/100/3.6*1000000</f>
        <v>34.030799351562266</v>
      </c>
      <c r="F15" s="33">
        <f>C37*'E Balans VL '!L15/100/3.6*1000000+C37*'E Balans VL '!N15/100/3.6*1000000</f>
        <v>122.07494136752004</v>
      </c>
      <c r="G15" s="34"/>
      <c r="H15" s="33"/>
      <c r="I15" s="33"/>
      <c r="J15" s="40">
        <f>C37*'E Balans VL '!D15/100/3.6*1000000+C37*'E Balans VL '!E15/100/3.6*1000000</f>
        <v>2.2064210402502642</v>
      </c>
      <c r="K15" s="33"/>
      <c r="L15" s="33"/>
      <c r="M15" s="33"/>
      <c r="N15" s="33">
        <f>C37*'E Balans VL '!Y15/100/3.6*1000000</f>
        <v>138.25069875547493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12728.914516000001</v>
      </c>
      <c r="C18" s="21">
        <f>C5+C16</f>
        <v>0</v>
      </c>
      <c r="D18" s="21">
        <f>MAX((D5+D16),0)</f>
        <v>10209.412442041999</v>
      </c>
      <c r="E18" s="21">
        <f>MAX((E5+E16),0)</f>
        <v>1049.7086101639063</v>
      </c>
      <c r="F18" s="21">
        <f>MAX((F5+F16),0)</f>
        <v>4743.2215657420875</v>
      </c>
      <c r="G18" s="21"/>
      <c r="H18" s="21"/>
      <c r="I18" s="21"/>
      <c r="J18" s="21">
        <f>MAX((J5+J16),0)</f>
        <v>12.161240402889787</v>
      </c>
      <c r="K18" s="21"/>
      <c r="L18" s="21">
        <f>MAX((L5+L16),0)</f>
        <v>0</v>
      </c>
      <c r="M18" s="21"/>
      <c r="N18" s="21">
        <f>MAX((N5+N16),0)</f>
        <v>2444.589512046949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0.16725204054676185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2128.9369267462976</v>
      </c>
      <c r="C22" s="23">
        <f ca="1">C18*C20</f>
        <v>0</v>
      </c>
      <c r="D22" s="23">
        <f>D18*D20</f>
        <v>2062.3013132924839</v>
      </c>
      <c r="E22" s="23">
        <f>E18*E20</f>
        <v>238.28385450720674</v>
      </c>
      <c r="F22" s="23">
        <f>F18*F20</f>
        <v>1266.4401580531373</v>
      </c>
      <c r="G22" s="23"/>
      <c r="H22" s="23"/>
      <c r="I22" s="23"/>
      <c r="J22" s="23">
        <f>J18*J20</f>
        <v>4.305079102622984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2935.0131820000001</v>
      </c>
      <c r="C30" s="39">
        <f>IF(ISERROR(B30*3.6/1000000/'E Balans VL '!Z18*100),0,B30*3.6/1000000/'E Balans VL '!Z18*100)</f>
        <v>0.16633472288996673</v>
      </c>
      <c r="D30" s="237" t="s">
        <v>754</v>
      </c>
    </row>
    <row r="31" spans="1:18">
      <c r="A31" s="6" t="s">
        <v>33</v>
      </c>
      <c r="B31" s="37">
        <f>IF( ISERROR(IND_ander_ele_kWh/1000),0,IND_ander_ele_kWh/1000)</f>
        <v>2778.3921869999999</v>
      </c>
      <c r="C31" s="39">
        <f>IF(ISERROR(B31*3.6/1000000/'E Balans VL '!Z19*100),0,B31*3.6/1000000/'E Balans VL '!Z19*100)</f>
        <v>0.12601630057860866</v>
      </c>
      <c r="D31" s="237" t="s">
        <v>754</v>
      </c>
    </row>
    <row r="32" spans="1:18">
      <c r="A32" s="171" t="s">
        <v>41</v>
      </c>
      <c r="B32" s="37">
        <f>IF( ISERROR(IND_voed_ele_kWh/1000),0,IND_voed_ele_kWh/1000)</f>
        <v>105.273</v>
      </c>
      <c r="C32" s="39">
        <f>IF(ISERROR(B32*3.6/1000000/'E Balans VL '!Z20*100),0,B32*3.6/1000000/'E Balans VL '!Z20*100)</f>
        <v>3.2565717890683564E-3</v>
      </c>
      <c r="D32" s="237" t="s">
        <v>754</v>
      </c>
    </row>
    <row r="33" spans="1:5">
      <c r="A33" s="171" t="s">
        <v>40</v>
      </c>
      <c r="B33" s="37">
        <f>IF( ISERROR(IND_textiel_ele_kWh/1000),0,IND_textiel_ele_kWh/1000)</f>
        <v>236.09682100000001</v>
      </c>
      <c r="C33" s="39">
        <f>IF(ISERROR(B33*3.6/1000000/'E Balans VL '!Z21*100),0,B33*3.6/1000000/'E Balans VL '!Z21*100)</f>
        <v>3.0784401108602335E-2</v>
      </c>
      <c r="D33" s="237" t="s">
        <v>754</v>
      </c>
    </row>
    <row r="34" spans="1:5">
      <c r="A34" s="171" t="s">
        <v>37</v>
      </c>
      <c r="B34" s="37">
        <f>IF( ISERROR(IND_min_ele_kWh/1000),0,IND_min_ele_kWh/1000)</f>
        <v>6057.8173260000003</v>
      </c>
      <c r="C34" s="39">
        <f>IF(ISERROR(B34*3.6/1000000/'E Balans VL '!Z22*100),0,B34*3.6/1000000/'E Balans VL '!Z22*100)</f>
        <v>1.0896123352235461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616.322</v>
      </c>
      <c r="C37" s="39">
        <f>IF(ISERROR(B37*3.6/1000000/'E Balans VL '!Z15*100),0,B37*3.6/1000000/'E Balans VL '!Z15*100)</f>
        <v>4.885108765402298E-3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288.18099999999998</v>
      </c>
      <c r="C5" s="17">
        <f>'Eigen informatie GS &amp; warmtenet'!B60</f>
        <v>0</v>
      </c>
      <c r="D5" s="30">
        <f>IF(ISERROR(SUM(LB_lb_gas_kWh,LB_rest_gas_kWh)/1000),0,SUM(LB_lb_gas_kWh,LB_rest_gas_kWh)/1000)*0.902</f>
        <v>15.290704000000002</v>
      </c>
      <c r="E5" s="17">
        <f>B17*'E Balans VL '!I25/3.6*1000000/100</f>
        <v>8.4705197963687393</v>
      </c>
      <c r="F5" s="17">
        <f>B17*('E Balans VL '!L25/3.6*1000000+'E Balans VL '!N25/3.6*1000000)/100</f>
        <v>1200.5464735161233</v>
      </c>
      <c r="G5" s="18"/>
      <c r="H5" s="17"/>
      <c r="I5" s="17"/>
      <c r="J5" s="17">
        <f>('E Balans VL '!D25+'E Balans VL '!E25)/3.6*1000000*landbouw!B17/100</f>
        <v>41.751238142182984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288.18099999999998</v>
      </c>
      <c r="C8" s="21">
        <f>C5+C6</f>
        <v>0</v>
      </c>
      <c r="D8" s="21">
        <f>MAX((D5+D6),0)</f>
        <v>15.290704000000002</v>
      </c>
      <c r="E8" s="21">
        <f>MAX((E5+E6),0)</f>
        <v>8.4705197963687393</v>
      </c>
      <c r="F8" s="21">
        <f>MAX((F5+F6),0)</f>
        <v>1200.5464735161233</v>
      </c>
      <c r="G8" s="21"/>
      <c r="H8" s="21"/>
      <c r="I8" s="21"/>
      <c r="J8" s="21">
        <f>MAX((J5+J6),0)</f>
        <v>41.751238142182984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0.16725204054676185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48.198860296806373</v>
      </c>
      <c r="C12" s="23">
        <f ca="1">C8*C10</f>
        <v>0</v>
      </c>
      <c r="D12" s="23">
        <f>D8*D10</f>
        <v>3.0887222080000005</v>
      </c>
      <c r="E12" s="23">
        <f>E8*E10</f>
        <v>1.9228079937757039</v>
      </c>
      <c r="F12" s="23">
        <f>F8*F10</f>
        <v>320.54590842880498</v>
      </c>
      <c r="G12" s="23"/>
      <c r="H12" s="23"/>
      <c r="I12" s="23"/>
      <c r="J12" s="23">
        <f>J8*J10</f>
        <v>14.779938302332775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4.089378804031403E-2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53.527837537130274</v>
      </c>
      <c r="C26" s="247">
        <f>B26*'GWP N2O_CH4'!B5</f>
        <v>1124.0845882797357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14.44925677023131</v>
      </c>
      <c r="C27" s="247">
        <f>B27*'GWP N2O_CH4'!B5</f>
        <v>303.43439217485752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0.57625786059177142</v>
      </c>
      <c r="C28" s="247">
        <f>B28*'GWP N2O_CH4'!B4</f>
        <v>178.63993678344914</v>
      </c>
      <c r="D28" s="50"/>
    </row>
    <row r="29" spans="1:4">
      <c r="A29" s="41" t="s">
        <v>277</v>
      </c>
      <c r="B29" s="247">
        <f>B34*'ha_N2O bodem landbouw'!B4</f>
        <v>3.3483064893424572</v>
      </c>
      <c r="C29" s="247">
        <f>B29*'GWP N2O_CH4'!B4</f>
        <v>1037.9750116961618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7.6407200209045994E-4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7.9747755334137922E-5</v>
      </c>
      <c r="C5" s="463" t="s">
        <v>211</v>
      </c>
      <c r="D5" s="448">
        <f>SUM(D6:D11)</f>
        <v>3.2257100105099632E-4</v>
      </c>
      <c r="E5" s="448">
        <f>SUM(E6:E11)</f>
        <v>4.214457081940769E-4</v>
      </c>
      <c r="F5" s="461" t="s">
        <v>211</v>
      </c>
      <c r="G5" s="448">
        <f>SUM(G6:G11)</f>
        <v>0.13448667462661318</v>
      </c>
      <c r="H5" s="448">
        <f>SUM(H6:H11)</f>
        <v>3.6086143691179698E-2</v>
      </c>
      <c r="I5" s="463" t="s">
        <v>211</v>
      </c>
      <c r="J5" s="463" t="s">
        <v>211</v>
      </c>
      <c r="K5" s="463" t="s">
        <v>211</v>
      </c>
      <c r="L5" s="463" t="s">
        <v>211</v>
      </c>
      <c r="M5" s="448">
        <f>SUM(M6:M11)</f>
        <v>8.9219227180269405E-3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4.4020137884235715E-5</v>
      </c>
      <c r="C6" s="449"/>
      <c r="D6" s="892">
        <f>vkm_2011_GW_PW*SUMIFS(TableVerdeelsleutelVkm[CNG],TableVerdeelsleutelVkm[Voertuigtype],"Lichte voertuigen")*SUMIFS(TableECFTransport[EnergieConsumptieFactor (PJ per km)],TableECFTransport[Index],CONCATENATE($A6,"_CNG_CNG"))</f>
        <v>1.3203514839171468E-4</v>
      </c>
      <c r="E6" s="892">
        <f>vkm_2011_GW_PW*SUMIFS(TableVerdeelsleutelVkm[LPG],TableVerdeelsleutelVkm[Voertuigtype],"Lichte voertuigen")*SUMIFS(TableECFTransport[EnergieConsumptieFactor (PJ per km)],TableECFTransport[Index],CONCATENATE($A6,"_LPG_LPG"))</f>
        <v>1.8037897861746565E-4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4.6637735169578975E-2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1.5017478862394915E-2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3.1677996553582631E-3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2.2715826865579644E-2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6.9233224406813596E-6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1.3274362831747686E-3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3.57276174499022E-5</v>
      </c>
      <c r="C8" s="449"/>
      <c r="D8" s="451">
        <f>vkm_2011_NGW_PW*SUMIFS(TableVerdeelsleutelVkm[CNG],TableVerdeelsleutelVkm[Voertuigtype],"Lichte voertuigen")*SUMIFS(TableECFTransport[EnergieConsumptieFactor (PJ per km)],TableECFTransport[Index],CONCATENATE($A8,"_CNG_CNG"))</f>
        <v>1.9053585265928162E-4</v>
      </c>
      <c r="E8" s="451">
        <f>vkm_2011_NGW_PW*SUMIFS(TableVerdeelsleutelVkm[LPG],TableVerdeelsleutelVkm[Voertuigtype],"Lichte voertuigen")*SUMIFS(TableECFTransport[EnergieConsumptieFactor (PJ per km)],TableECFTransport[Index],CONCATENATE($A8,"_LPG_LPG"))</f>
        <v>2.4106672957661124E-4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5.8083851893186003E-2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2.1059718906206271E-2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4.0147554790992846E-3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7.0492606982685453E-3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2.0226001378292545E-6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4.1193130039462555E-4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22.152154259482757</v>
      </c>
      <c r="C14" s="21"/>
      <c r="D14" s="21">
        <f t="shared" ref="D14:M14" si="0">((D5)*10^9/3600)+D12</f>
        <v>89.603055847498979</v>
      </c>
      <c r="E14" s="21">
        <f t="shared" si="0"/>
        <v>117.06825227613247</v>
      </c>
      <c r="F14" s="21"/>
      <c r="G14" s="21">
        <f t="shared" si="0"/>
        <v>37357.409618503661</v>
      </c>
      <c r="H14" s="21">
        <f t="shared" si="0"/>
        <v>10023.928803105473</v>
      </c>
      <c r="I14" s="21"/>
      <c r="J14" s="21"/>
      <c r="K14" s="21"/>
      <c r="L14" s="21"/>
      <c r="M14" s="21">
        <f t="shared" si="0"/>
        <v>2478.3118661185945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0.16725204054676185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3.7049930024051334</v>
      </c>
      <c r="C18" s="23"/>
      <c r="D18" s="23">
        <f t="shared" ref="D18:M18" si="1">D14*D16</f>
        <v>18.099817281194795</v>
      </c>
      <c r="E18" s="23">
        <f t="shared" si="1"/>
        <v>26.574493266682072</v>
      </c>
      <c r="F18" s="23"/>
      <c r="G18" s="23">
        <f t="shared" si="1"/>
        <v>9974.4283681404777</v>
      </c>
      <c r="H18" s="23">
        <f t="shared" si="1"/>
        <v>2495.958271973263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3.9364285143468607E-3</v>
      </c>
      <c r="H50" s="321">
        <f t="shared" si="2"/>
        <v>0</v>
      </c>
      <c r="I50" s="321">
        <f t="shared" si="2"/>
        <v>0</v>
      </c>
      <c r="J50" s="321">
        <f t="shared" si="2"/>
        <v>0</v>
      </c>
      <c r="K50" s="321">
        <f t="shared" si="2"/>
        <v>0</v>
      </c>
      <c r="L50" s="321">
        <f t="shared" si="2"/>
        <v>0</v>
      </c>
      <c r="M50" s="321">
        <f t="shared" si="2"/>
        <v>2.2357176195054272E-4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3.9364285143468607E-3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2.2357176195054272E-4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1093.4523650963501</v>
      </c>
      <c r="H54" s="21">
        <f t="shared" si="3"/>
        <v>0</v>
      </c>
      <c r="I54" s="21">
        <f t="shared" si="3"/>
        <v>0</v>
      </c>
      <c r="J54" s="21">
        <f t="shared" si="3"/>
        <v>0</v>
      </c>
      <c r="K54" s="21">
        <f t="shared" si="3"/>
        <v>0</v>
      </c>
      <c r="L54" s="21">
        <f t="shared" si="3"/>
        <v>0</v>
      </c>
      <c r="M54" s="21">
        <f t="shared" si="3"/>
        <v>62.103267208484084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0.16725204054676185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291.95178148072551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19911.031336</v>
      </c>
      <c r="D10" s="1013">
        <f ca="1">tertiair!C16</f>
        <v>0</v>
      </c>
      <c r="E10" s="1013">
        <f ca="1">tertiair!D16</f>
        <v>22736.593056232003</v>
      </c>
      <c r="F10" s="1013">
        <f>tertiair!E16</f>
        <v>455.54819041903079</v>
      </c>
      <c r="G10" s="1013">
        <f ca="1">tertiair!F16</f>
        <v>3443.8733254436352</v>
      </c>
      <c r="H10" s="1013">
        <f>tertiair!G16</f>
        <v>0</v>
      </c>
      <c r="I10" s="1013">
        <f>tertiair!H16</f>
        <v>0</v>
      </c>
      <c r="J10" s="1013">
        <f>tertiair!I16</f>
        <v>0</v>
      </c>
      <c r="K10" s="1013">
        <f>tertiair!J16</f>
        <v>1.5079485079740836E-2</v>
      </c>
      <c r="L10" s="1013">
        <f>tertiair!K16</f>
        <v>0</v>
      </c>
      <c r="M10" s="1013">
        <f ca="1">tertiair!L16</f>
        <v>0</v>
      </c>
      <c r="N10" s="1013">
        <f>tertiair!M16</f>
        <v>0</v>
      </c>
      <c r="O10" s="1013">
        <f ca="1">tertiair!N16</f>
        <v>620.1254906856451</v>
      </c>
      <c r="P10" s="1013">
        <f>tertiair!O16</f>
        <v>4.6900000000000004</v>
      </c>
      <c r="Q10" s="1014">
        <f>tertiair!P16</f>
        <v>0</v>
      </c>
      <c r="R10" s="700">
        <f ca="1">SUM(C10:Q10)</f>
        <v>47171.876478265396</v>
      </c>
      <c r="S10" s="67"/>
    </row>
    <row r="11" spans="1:19" s="473" customFormat="1">
      <c r="A11" s="809" t="s">
        <v>225</v>
      </c>
      <c r="B11" s="814"/>
      <c r="C11" s="1013">
        <f>huishoudens!B8</f>
        <v>17915.368896938417</v>
      </c>
      <c r="D11" s="1013">
        <f>huishoudens!C8</f>
        <v>0</v>
      </c>
      <c r="E11" s="1013">
        <f>huishoudens!D8</f>
        <v>27019.534936020002</v>
      </c>
      <c r="F11" s="1013">
        <f>huishoudens!E8</f>
        <v>931.02087445601614</v>
      </c>
      <c r="G11" s="1013">
        <f>huishoudens!F8</f>
        <v>36129.692836868664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12114.589193018859</v>
      </c>
      <c r="P11" s="1013">
        <f>huishoudens!O8</f>
        <v>257.95</v>
      </c>
      <c r="Q11" s="1014">
        <f>huishoudens!P8</f>
        <v>552.93333333333339</v>
      </c>
      <c r="R11" s="700">
        <f>SUM(C11:Q11)</f>
        <v>94921.090070635284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12728.914516000001</v>
      </c>
      <c r="D13" s="1013">
        <f>industrie!C18</f>
        <v>0</v>
      </c>
      <c r="E13" s="1013">
        <f>industrie!D18</f>
        <v>10209.412442041999</v>
      </c>
      <c r="F13" s="1013">
        <f>industrie!E18</f>
        <v>1049.7086101639063</v>
      </c>
      <c r="G13" s="1013">
        <f>industrie!F18</f>
        <v>4743.2215657420875</v>
      </c>
      <c r="H13" s="1013">
        <f>industrie!G18</f>
        <v>0</v>
      </c>
      <c r="I13" s="1013">
        <f>industrie!H18</f>
        <v>0</v>
      </c>
      <c r="J13" s="1013">
        <f>industrie!I18</f>
        <v>0</v>
      </c>
      <c r="K13" s="1013">
        <f>industrie!J18</f>
        <v>12.161240402889787</v>
      </c>
      <c r="L13" s="1013">
        <f>industrie!K18</f>
        <v>0</v>
      </c>
      <c r="M13" s="1013">
        <f>industrie!L18</f>
        <v>0</v>
      </c>
      <c r="N13" s="1013">
        <f>industrie!M18</f>
        <v>0</v>
      </c>
      <c r="O13" s="1013">
        <f>industrie!N18</f>
        <v>2444.589512046949</v>
      </c>
      <c r="P13" s="1013">
        <f>industrie!O18</f>
        <v>0</v>
      </c>
      <c r="Q13" s="1014">
        <f>industrie!P18</f>
        <v>0</v>
      </c>
      <c r="R13" s="700">
        <f>SUM(C13:Q13)</f>
        <v>31188.007886397838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50555.314748938414</v>
      </c>
      <c r="D16" s="732">
        <f t="shared" ref="D16:R16" ca="1" si="0">SUM(D9:D15)</f>
        <v>0</v>
      </c>
      <c r="E16" s="732">
        <f t="shared" ca="1" si="0"/>
        <v>59965.540434294002</v>
      </c>
      <c r="F16" s="732">
        <f t="shared" si="0"/>
        <v>2436.277675038953</v>
      </c>
      <c r="G16" s="732">
        <f t="shared" ca="1" si="0"/>
        <v>44316.787728054391</v>
      </c>
      <c r="H16" s="732">
        <f t="shared" si="0"/>
        <v>0</v>
      </c>
      <c r="I16" s="732">
        <f t="shared" si="0"/>
        <v>0</v>
      </c>
      <c r="J16" s="732">
        <f t="shared" si="0"/>
        <v>0</v>
      </c>
      <c r="K16" s="732">
        <f t="shared" si="0"/>
        <v>12.176319887969527</v>
      </c>
      <c r="L16" s="732">
        <f t="shared" si="0"/>
        <v>0</v>
      </c>
      <c r="M16" s="732">
        <f t="shared" ca="1" si="0"/>
        <v>0</v>
      </c>
      <c r="N16" s="732">
        <f t="shared" si="0"/>
        <v>0</v>
      </c>
      <c r="O16" s="732">
        <f t="shared" ca="1" si="0"/>
        <v>15179.304195751452</v>
      </c>
      <c r="P16" s="732">
        <f t="shared" si="0"/>
        <v>262.64</v>
      </c>
      <c r="Q16" s="732">
        <f t="shared" si="0"/>
        <v>552.93333333333339</v>
      </c>
      <c r="R16" s="732">
        <f t="shared" ca="1" si="0"/>
        <v>173280.9744352985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1093.4523650963501</v>
      </c>
      <c r="I19" s="1013">
        <f>transport!H54</f>
        <v>0</v>
      </c>
      <c r="J19" s="1013">
        <f>transport!I54</f>
        <v>0</v>
      </c>
      <c r="K19" s="1013">
        <f>transport!J54</f>
        <v>0</v>
      </c>
      <c r="L19" s="1013">
        <f>transport!K54</f>
        <v>0</v>
      </c>
      <c r="M19" s="1013">
        <f>transport!L54</f>
        <v>0</v>
      </c>
      <c r="N19" s="1013">
        <f>transport!M54</f>
        <v>62.103267208484084</v>
      </c>
      <c r="O19" s="1013">
        <f>transport!N54</f>
        <v>0</v>
      </c>
      <c r="P19" s="1013">
        <f>transport!O54</f>
        <v>0</v>
      </c>
      <c r="Q19" s="1014">
        <f>transport!P54</f>
        <v>0</v>
      </c>
      <c r="R19" s="700">
        <f>SUM(C19:Q19)</f>
        <v>1155.5556323048343</v>
      </c>
      <c r="S19" s="67"/>
    </row>
    <row r="20" spans="1:19" s="473" customFormat="1">
      <c r="A20" s="809" t="s">
        <v>307</v>
      </c>
      <c r="B20" s="814"/>
      <c r="C20" s="1013">
        <f>transport!B14</f>
        <v>22.152154259482757</v>
      </c>
      <c r="D20" s="1013">
        <f>transport!C14</f>
        <v>0</v>
      </c>
      <c r="E20" s="1013">
        <f>transport!D14</f>
        <v>89.603055847498979</v>
      </c>
      <c r="F20" s="1013">
        <f>transport!E14</f>
        <v>117.06825227613247</v>
      </c>
      <c r="G20" s="1013">
        <f>transport!F14</f>
        <v>0</v>
      </c>
      <c r="H20" s="1013">
        <f>transport!G14</f>
        <v>37357.409618503661</v>
      </c>
      <c r="I20" s="1013">
        <f>transport!H14</f>
        <v>10023.928803105473</v>
      </c>
      <c r="J20" s="1013">
        <f>transport!I14</f>
        <v>0</v>
      </c>
      <c r="K20" s="1013">
        <f>transport!J14</f>
        <v>0</v>
      </c>
      <c r="L20" s="1013">
        <f>transport!K14</f>
        <v>0</v>
      </c>
      <c r="M20" s="1013">
        <f>transport!L14</f>
        <v>0</v>
      </c>
      <c r="N20" s="1013">
        <f>transport!M14</f>
        <v>2478.3118661185945</v>
      </c>
      <c r="O20" s="1013">
        <f>transport!N14</f>
        <v>0</v>
      </c>
      <c r="P20" s="1013">
        <f>transport!O14</f>
        <v>0</v>
      </c>
      <c r="Q20" s="1014">
        <f>transport!P14</f>
        <v>0</v>
      </c>
      <c r="R20" s="700">
        <f>SUM(C20:Q20)</f>
        <v>50088.473750110847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22.152154259482757</v>
      </c>
      <c r="D22" s="812">
        <f t="shared" ref="D22:R22" si="1">SUM(D18:D21)</f>
        <v>0</v>
      </c>
      <c r="E22" s="812">
        <f t="shared" si="1"/>
        <v>89.603055847498979</v>
      </c>
      <c r="F22" s="812">
        <f t="shared" si="1"/>
        <v>117.06825227613247</v>
      </c>
      <c r="G22" s="812">
        <f t="shared" si="1"/>
        <v>0</v>
      </c>
      <c r="H22" s="812">
        <f t="shared" si="1"/>
        <v>38450.861983600014</v>
      </c>
      <c r="I22" s="812">
        <f t="shared" si="1"/>
        <v>10023.928803105473</v>
      </c>
      <c r="J22" s="812">
        <f t="shared" si="1"/>
        <v>0</v>
      </c>
      <c r="K22" s="812">
        <f t="shared" si="1"/>
        <v>0</v>
      </c>
      <c r="L22" s="812">
        <f t="shared" si="1"/>
        <v>0</v>
      </c>
      <c r="M22" s="812">
        <f t="shared" si="1"/>
        <v>0</v>
      </c>
      <c r="N22" s="812">
        <f t="shared" si="1"/>
        <v>2540.4151333270784</v>
      </c>
      <c r="O22" s="812">
        <f t="shared" si="1"/>
        <v>0</v>
      </c>
      <c r="P22" s="812">
        <f t="shared" si="1"/>
        <v>0</v>
      </c>
      <c r="Q22" s="812">
        <f t="shared" si="1"/>
        <v>0</v>
      </c>
      <c r="R22" s="812">
        <f t="shared" si="1"/>
        <v>51244.029382415683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288.18099999999998</v>
      </c>
      <c r="D24" s="1013">
        <f>+landbouw!C8</f>
        <v>0</v>
      </c>
      <c r="E24" s="1013">
        <f>+landbouw!D8</f>
        <v>15.290704000000002</v>
      </c>
      <c r="F24" s="1013">
        <f>+landbouw!E8</f>
        <v>8.4705197963687393</v>
      </c>
      <c r="G24" s="1013">
        <f>+landbouw!F8</f>
        <v>1200.5464735161233</v>
      </c>
      <c r="H24" s="1013">
        <f>+landbouw!G8</f>
        <v>0</v>
      </c>
      <c r="I24" s="1013">
        <f>+landbouw!H8</f>
        <v>0</v>
      </c>
      <c r="J24" s="1013">
        <f>+landbouw!I8</f>
        <v>0</v>
      </c>
      <c r="K24" s="1013">
        <f>+landbouw!J8</f>
        <v>41.751238142182984</v>
      </c>
      <c r="L24" s="1013">
        <f>+landbouw!K8</f>
        <v>0</v>
      </c>
      <c r="M24" s="1013">
        <f>+landbouw!L8</f>
        <v>0</v>
      </c>
      <c r="N24" s="1013">
        <f>+landbouw!M8</f>
        <v>0</v>
      </c>
      <c r="O24" s="1013">
        <f>+landbouw!N8</f>
        <v>0</v>
      </c>
      <c r="P24" s="1013">
        <f>+landbouw!O8</f>
        <v>0</v>
      </c>
      <c r="Q24" s="1014">
        <f>+landbouw!P8</f>
        <v>0</v>
      </c>
      <c r="R24" s="700">
        <f>SUM(C24:Q24)</f>
        <v>1554.2399354546751</v>
      </c>
      <c r="S24" s="67"/>
    </row>
    <row r="25" spans="1:19" s="473" customFormat="1" ht="15" thickBot="1">
      <c r="A25" s="831" t="s">
        <v>836</v>
      </c>
      <c r="B25" s="1016"/>
      <c r="C25" s="1017">
        <f>IF(Onbekend_ele_kWh="---",0,Onbekend_ele_kWh)/1000+IF(REST_rest_ele_kWh="---",0,REST_rest_ele_kWh)/1000</f>
        <v>408.44225</v>
      </c>
      <c r="D25" s="1017"/>
      <c r="E25" s="1017">
        <f>IF(onbekend_gas_kWh="---",0,onbekend_gas_kWh)/1000+IF(REST_rest_gas_kWh="---",0,REST_rest_gas_kWh)/1000</f>
        <v>1022.6346</v>
      </c>
      <c r="F25" s="1017"/>
      <c r="G25" s="1017"/>
      <c r="H25" s="1017"/>
      <c r="I25" s="1017"/>
      <c r="J25" s="1017"/>
      <c r="K25" s="1017"/>
      <c r="L25" s="1017"/>
      <c r="M25" s="1017"/>
      <c r="N25" s="1017"/>
      <c r="O25" s="1017"/>
      <c r="P25" s="1017"/>
      <c r="Q25" s="1018"/>
      <c r="R25" s="700">
        <f>SUM(C25:Q25)</f>
        <v>1431.0768499999999</v>
      </c>
      <c r="S25" s="67"/>
    </row>
    <row r="26" spans="1:19" s="473" customFormat="1" ht="15.75" thickBot="1">
      <c r="A26" s="705" t="s">
        <v>837</v>
      </c>
      <c r="B26" s="817"/>
      <c r="C26" s="812">
        <f>SUM(C24:C25)</f>
        <v>696.62324999999998</v>
      </c>
      <c r="D26" s="812">
        <f t="shared" ref="D26:R26" si="2">SUM(D24:D25)</f>
        <v>0</v>
      </c>
      <c r="E26" s="812">
        <f t="shared" si="2"/>
        <v>1037.9253039999999</v>
      </c>
      <c r="F26" s="812">
        <f t="shared" si="2"/>
        <v>8.4705197963687393</v>
      </c>
      <c r="G26" s="812">
        <f t="shared" si="2"/>
        <v>1200.5464735161233</v>
      </c>
      <c r="H26" s="812">
        <f t="shared" si="2"/>
        <v>0</v>
      </c>
      <c r="I26" s="812">
        <f t="shared" si="2"/>
        <v>0</v>
      </c>
      <c r="J26" s="812">
        <f t="shared" si="2"/>
        <v>0</v>
      </c>
      <c r="K26" s="812">
        <f t="shared" si="2"/>
        <v>41.751238142182984</v>
      </c>
      <c r="L26" s="812">
        <f t="shared" si="2"/>
        <v>0</v>
      </c>
      <c r="M26" s="812">
        <f t="shared" si="2"/>
        <v>0</v>
      </c>
      <c r="N26" s="812">
        <f t="shared" si="2"/>
        <v>0</v>
      </c>
      <c r="O26" s="812">
        <f t="shared" si="2"/>
        <v>0</v>
      </c>
      <c r="P26" s="812">
        <f t="shared" si="2"/>
        <v>0</v>
      </c>
      <c r="Q26" s="812">
        <f t="shared" si="2"/>
        <v>0</v>
      </c>
      <c r="R26" s="812">
        <f t="shared" si="2"/>
        <v>2985.316785454675</v>
      </c>
      <c r="S26" s="67"/>
    </row>
    <row r="27" spans="1:19" s="473" customFormat="1" ht="17.25" thickTop="1" thickBot="1">
      <c r="A27" s="706" t="s">
        <v>116</v>
      </c>
      <c r="B27" s="805"/>
      <c r="C27" s="707">
        <f ca="1">C22+C16+C26</f>
        <v>51274.090153197896</v>
      </c>
      <c r="D27" s="707">
        <f t="shared" ref="D27:R27" ca="1" si="3">D22+D16+D26</f>
        <v>0</v>
      </c>
      <c r="E27" s="707">
        <f t="shared" ca="1" si="3"/>
        <v>61093.068794141494</v>
      </c>
      <c r="F27" s="707">
        <f t="shared" si="3"/>
        <v>2561.8164471114542</v>
      </c>
      <c r="G27" s="707">
        <f t="shared" ca="1" si="3"/>
        <v>45517.334201570513</v>
      </c>
      <c r="H27" s="707">
        <f t="shared" si="3"/>
        <v>38450.861983600014</v>
      </c>
      <c r="I27" s="707">
        <f t="shared" si="3"/>
        <v>10023.928803105473</v>
      </c>
      <c r="J27" s="707">
        <f t="shared" si="3"/>
        <v>0</v>
      </c>
      <c r="K27" s="707">
        <f t="shared" si="3"/>
        <v>53.927558030152511</v>
      </c>
      <c r="L27" s="707">
        <f t="shared" si="3"/>
        <v>0</v>
      </c>
      <c r="M27" s="707">
        <f t="shared" ca="1" si="3"/>
        <v>0</v>
      </c>
      <c r="N27" s="707">
        <f t="shared" si="3"/>
        <v>2540.4151333270784</v>
      </c>
      <c r="O27" s="707">
        <f t="shared" ca="1" si="3"/>
        <v>15179.304195751452</v>
      </c>
      <c r="P27" s="707">
        <f t="shared" si="3"/>
        <v>262.64</v>
      </c>
      <c r="Q27" s="707">
        <f t="shared" si="3"/>
        <v>552.93333333333339</v>
      </c>
      <c r="R27" s="707">
        <f t="shared" ca="1" si="3"/>
        <v>227510.32060316883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3330.1606203365177</v>
      </c>
      <c r="D40" s="1013">
        <f ca="1">tertiair!C20</f>
        <v>0</v>
      </c>
      <c r="E40" s="1013">
        <f ca="1">tertiair!D20</f>
        <v>4592.7917973588646</v>
      </c>
      <c r="F40" s="1013">
        <f>tertiair!E20</f>
        <v>103.40943922512</v>
      </c>
      <c r="G40" s="1013">
        <f ca="1">tertiair!F20</f>
        <v>919.51417789345066</v>
      </c>
      <c r="H40" s="1013">
        <f>tertiair!G20</f>
        <v>0</v>
      </c>
      <c r="I40" s="1013">
        <f>tertiair!H20</f>
        <v>0</v>
      </c>
      <c r="J40" s="1013">
        <f>tertiair!I20</f>
        <v>0</v>
      </c>
      <c r="K40" s="1013">
        <f>tertiair!J20</f>
        <v>5.3381377182282553E-3</v>
      </c>
      <c r="L40" s="1013">
        <f>tertiair!K20</f>
        <v>0</v>
      </c>
      <c r="M40" s="1013">
        <f ca="1">tertiair!L20</f>
        <v>0</v>
      </c>
      <c r="N40" s="1013">
        <f>tertiair!M20</f>
        <v>0</v>
      </c>
      <c r="O40" s="1013">
        <f ca="1">tertiair!N20</f>
        <v>0</v>
      </c>
      <c r="P40" s="1013">
        <f>tertiair!O20</f>
        <v>0</v>
      </c>
      <c r="Q40" s="774">
        <f>tertiair!P20</f>
        <v>0</v>
      </c>
      <c r="R40" s="850">
        <f t="shared" ca="1" si="4"/>
        <v>8945.8813729516714</v>
      </c>
    </row>
    <row r="41" spans="1:18">
      <c r="A41" s="822" t="s">
        <v>225</v>
      </c>
      <c r="B41" s="829"/>
      <c r="C41" s="1013">
        <f ca="1">huishoudens!B12</f>
        <v>2996.38200516094</v>
      </c>
      <c r="D41" s="1013">
        <f ca="1">huishoudens!C12</f>
        <v>0</v>
      </c>
      <c r="E41" s="1013">
        <f>huishoudens!D12</f>
        <v>5457.9460570760402</v>
      </c>
      <c r="F41" s="1013">
        <f>huishoudens!E12</f>
        <v>211.34173850151566</v>
      </c>
      <c r="G41" s="1013">
        <f>huishoudens!F12</f>
        <v>9646.6279874439333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18312.29778818243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2128.9369267462976</v>
      </c>
      <c r="D43" s="1013">
        <f ca="1">industrie!C22</f>
        <v>0</v>
      </c>
      <c r="E43" s="1013">
        <f>industrie!D22</f>
        <v>2062.3013132924839</v>
      </c>
      <c r="F43" s="1013">
        <f>industrie!E22</f>
        <v>238.28385450720674</v>
      </c>
      <c r="G43" s="1013">
        <f>industrie!F22</f>
        <v>1266.4401580531373</v>
      </c>
      <c r="H43" s="1013">
        <f>industrie!G22</f>
        <v>0</v>
      </c>
      <c r="I43" s="1013">
        <f>industrie!H22</f>
        <v>0</v>
      </c>
      <c r="J43" s="1013">
        <f>industrie!I22</f>
        <v>0</v>
      </c>
      <c r="K43" s="1013">
        <f>industrie!J22</f>
        <v>4.305079102622984</v>
      </c>
      <c r="L43" s="1013">
        <f>industrie!K22</f>
        <v>0</v>
      </c>
      <c r="M43" s="1013">
        <f>industrie!L22</f>
        <v>0</v>
      </c>
      <c r="N43" s="1013">
        <f>industrie!M22</f>
        <v>0</v>
      </c>
      <c r="O43" s="1013">
        <f>industrie!N22</f>
        <v>0</v>
      </c>
      <c r="P43" s="1013">
        <f>industrie!O22</f>
        <v>0</v>
      </c>
      <c r="Q43" s="774">
        <f>industrie!P22</f>
        <v>0</v>
      </c>
      <c r="R43" s="849">
        <f t="shared" ca="1" si="4"/>
        <v>5700.2673317017479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8455.4795522437544</v>
      </c>
      <c r="D46" s="732">
        <f t="shared" ref="D46:Q46" ca="1" si="5">SUM(D39:D45)</f>
        <v>0</v>
      </c>
      <c r="E46" s="732">
        <f t="shared" ca="1" si="5"/>
        <v>12113.039167727389</v>
      </c>
      <c r="F46" s="732">
        <f t="shared" si="5"/>
        <v>553.03503223384246</v>
      </c>
      <c r="G46" s="732">
        <f t="shared" ca="1" si="5"/>
        <v>11832.582323390521</v>
      </c>
      <c r="H46" s="732">
        <f t="shared" si="5"/>
        <v>0</v>
      </c>
      <c r="I46" s="732">
        <f t="shared" si="5"/>
        <v>0</v>
      </c>
      <c r="J46" s="732">
        <f t="shared" si="5"/>
        <v>0</v>
      </c>
      <c r="K46" s="732">
        <f t="shared" si="5"/>
        <v>4.310417240341212</v>
      </c>
      <c r="L46" s="732">
        <f t="shared" si="5"/>
        <v>0</v>
      </c>
      <c r="M46" s="732">
        <f t="shared" ca="1" si="5"/>
        <v>0</v>
      </c>
      <c r="N46" s="732">
        <f t="shared" si="5"/>
        <v>0</v>
      </c>
      <c r="O46" s="732">
        <f t="shared" ca="1" si="5"/>
        <v>0</v>
      </c>
      <c r="P46" s="732">
        <f t="shared" si="5"/>
        <v>0</v>
      </c>
      <c r="Q46" s="732">
        <f t="shared" si="5"/>
        <v>0</v>
      </c>
      <c r="R46" s="732">
        <f ca="1">SUM(R39:R45)</f>
        <v>32958.44649283585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291.95178148072551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291.95178148072551</v>
      </c>
    </row>
    <row r="50" spans="1:18">
      <c r="A50" s="825" t="s">
        <v>307</v>
      </c>
      <c r="B50" s="835"/>
      <c r="C50" s="703">
        <f ca="1">transport!B18</f>
        <v>3.7049930024051334</v>
      </c>
      <c r="D50" s="703">
        <f>transport!C18</f>
        <v>0</v>
      </c>
      <c r="E50" s="703">
        <f>transport!D18</f>
        <v>18.099817281194795</v>
      </c>
      <c r="F50" s="703">
        <f>transport!E18</f>
        <v>26.574493266682072</v>
      </c>
      <c r="G50" s="703">
        <f>transport!F18</f>
        <v>0</v>
      </c>
      <c r="H50" s="703">
        <f>transport!G18</f>
        <v>9974.4283681404777</v>
      </c>
      <c r="I50" s="703">
        <f>transport!H18</f>
        <v>2495.958271973263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12518.765943664022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3.7049930024051334</v>
      </c>
      <c r="D52" s="732">
        <f t="shared" ref="D52:Q52" ca="1" si="6">SUM(D48:D51)</f>
        <v>0</v>
      </c>
      <c r="E52" s="732">
        <f t="shared" si="6"/>
        <v>18.099817281194795</v>
      </c>
      <c r="F52" s="732">
        <f t="shared" si="6"/>
        <v>26.574493266682072</v>
      </c>
      <c r="G52" s="732">
        <f t="shared" si="6"/>
        <v>0</v>
      </c>
      <c r="H52" s="732">
        <f t="shared" si="6"/>
        <v>10266.380149621204</v>
      </c>
      <c r="I52" s="732">
        <f t="shared" si="6"/>
        <v>2495.958271973263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12810.717725144748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48.198860296806373</v>
      </c>
      <c r="D54" s="703">
        <f ca="1">+landbouw!C12</f>
        <v>0</v>
      </c>
      <c r="E54" s="703">
        <f>+landbouw!D12</f>
        <v>3.0887222080000005</v>
      </c>
      <c r="F54" s="703">
        <f>+landbouw!E12</f>
        <v>1.9228079937757039</v>
      </c>
      <c r="G54" s="703">
        <f>+landbouw!F12</f>
        <v>320.54590842880498</v>
      </c>
      <c r="H54" s="703">
        <f>+landbouw!G12</f>
        <v>0</v>
      </c>
      <c r="I54" s="703">
        <f>+landbouw!H12</f>
        <v>0</v>
      </c>
      <c r="J54" s="703">
        <f>+landbouw!I12</f>
        <v>0</v>
      </c>
      <c r="K54" s="703">
        <f>+landbouw!J12</f>
        <v>14.779938302332775</v>
      </c>
      <c r="L54" s="703">
        <f>+landbouw!K12</f>
        <v>0</v>
      </c>
      <c r="M54" s="703">
        <f>+landbouw!L12</f>
        <v>0</v>
      </c>
      <c r="N54" s="703">
        <f>+landbouw!M12</f>
        <v>0</v>
      </c>
      <c r="O54" s="703">
        <f>+landbouw!N12</f>
        <v>0</v>
      </c>
      <c r="P54" s="703">
        <f>+landbouw!O12</f>
        <v>0</v>
      </c>
      <c r="Q54" s="704">
        <f>+landbouw!P12</f>
        <v>0</v>
      </c>
      <c r="R54" s="731">
        <f ca="1">SUM(C54:Q54)</f>
        <v>388.5362372297198</v>
      </c>
    </row>
    <row r="55" spans="1:18" ht="15" thickBot="1">
      <c r="A55" s="825" t="s">
        <v>836</v>
      </c>
      <c r="B55" s="835"/>
      <c r="C55" s="703">
        <f ca="1">C25*'EF ele_warmte'!B12</f>
        <v>68.312799758010641</v>
      </c>
      <c r="D55" s="703"/>
      <c r="E55" s="703">
        <f>E25*EF_CO2_aardgas</f>
        <v>206.5721892</v>
      </c>
      <c r="F55" s="703"/>
      <c r="G55" s="703"/>
      <c r="H55" s="703"/>
      <c r="I55" s="703"/>
      <c r="J55" s="703"/>
      <c r="K55" s="703"/>
      <c r="L55" s="703"/>
      <c r="M55" s="703"/>
      <c r="N55" s="703"/>
      <c r="O55" s="703"/>
      <c r="P55" s="703"/>
      <c r="Q55" s="704"/>
      <c r="R55" s="731">
        <f ca="1">SUM(C55:Q55)</f>
        <v>274.88498895801064</v>
      </c>
    </row>
    <row r="56" spans="1:18" ht="15.75" thickBot="1">
      <c r="A56" s="823" t="s">
        <v>837</v>
      </c>
      <c r="B56" s="836"/>
      <c r="C56" s="732">
        <f ca="1">SUM(C54:C55)</f>
        <v>116.51166005481701</v>
      </c>
      <c r="D56" s="732">
        <f t="shared" ref="D56:Q56" ca="1" si="7">SUM(D54:D55)</f>
        <v>0</v>
      </c>
      <c r="E56" s="732">
        <f t="shared" si="7"/>
        <v>209.660911408</v>
      </c>
      <c r="F56" s="732">
        <f t="shared" si="7"/>
        <v>1.9228079937757039</v>
      </c>
      <c r="G56" s="732">
        <f t="shared" si="7"/>
        <v>320.54590842880498</v>
      </c>
      <c r="H56" s="732">
        <f t="shared" si="7"/>
        <v>0</v>
      </c>
      <c r="I56" s="732">
        <f t="shared" si="7"/>
        <v>0</v>
      </c>
      <c r="J56" s="732">
        <f t="shared" si="7"/>
        <v>0</v>
      </c>
      <c r="K56" s="732">
        <f t="shared" si="7"/>
        <v>14.779938302332775</v>
      </c>
      <c r="L56" s="732">
        <f t="shared" si="7"/>
        <v>0</v>
      </c>
      <c r="M56" s="732">
        <f t="shared" si="7"/>
        <v>0</v>
      </c>
      <c r="N56" s="732">
        <f t="shared" si="7"/>
        <v>0</v>
      </c>
      <c r="O56" s="732">
        <f t="shared" si="7"/>
        <v>0</v>
      </c>
      <c r="P56" s="732">
        <f t="shared" si="7"/>
        <v>0</v>
      </c>
      <c r="Q56" s="733">
        <f t="shared" si="7"/>
        <v>0</v>
      </c>
      <c r="R56" s="734">
        <f ca="1">SUM(R54:R55)</f>
        <v>663.42122618773044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8575.6962053009775</v>
      </c>
      <c r="D61" s="740">
        <f t="shared" ref="D61:Q61" ca="1" si="8">D46+D52+D56</f>
        <v>0</v>
      </c>
      <c r="E61" s="740">
        <f t="shared" ca="1" si="8"/>
        <v>12340.799896416584</v>
      </c>
      <c r="F61" s="740">
        <f t="shared" si="8"/>
        <v>581.53233349430025</v>
      </c>
      <c r="G61" s="740">
        <f t="shared" ca="1" si="8"/>
        <v>12153.128231819326</v>
      </c>
      <c r="H61" s="740">
        <f t="shared" si="8"/>
        <v>10266.380149621204</v>
      </c>
      <c r="I61" s="740">
        <f t="shared" si="8"/>
        <v>2495.958271973263</v>
      </c>
      <c r="J61" s="740">
        <f t="shared" si="8"/>
        <v>0</v>
      </c>
      <c r="K61" s="740">
        <f t="shared" si="8"/>
        <v>19.090355542673986</v>
      </c>
      <c r="L61" s="740">
        <f t="shared" si="8"/>
        <v>0</v>
      </c>
      <c r="M61" s="740">
        <f t="shared" ca="1" si="8"/>
        <v>0</v>
      </c>
      <c r="N61" s="740">
        <f t="shared" si="8"/>
        <v>0</v>
      </c>
      <c r="O61" s="740">
        <f t="shared" ca="1" si="8"/>
        <v>0</v>
      </c>
      <c r="P61" s="740">
        <f t="shared" si="8"/>
        <v>0</v>
      </c>
      <c r="Q61" s="740">
        <f t="shared" si="8"/>
        <v>0</v>
      </c>
      <c r="R61" s="740">
        <f ca="1">R46+R52+R56</f>
        <v>46432.585444168333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0.16725204054676185</v>
      </c>
      <c r="D63" s="781">
        <f t="shared" ca="1" si="9"/>
        <v>0</v>
      </c>
      <c r="E63" s="1024">
        <f t="shared" ca="1" si="9"/>
        <v>0.20200000000000004</v>
      </c>
      <c r="F63" s="781">
        <f t="shared" si="9"/>
        <v>0.22700000000000006</v>
      </c>
      <c r="G63" s="781">
        <f t="shared" ca="1" si="9"/>
        <v>0.26699999999999996</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12470.034925591666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12470.034925591666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12470.034925591666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12470.034925591666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17915.368896938417</v>
      </c>
      <c r="C4" s="477">
        <f>huishoudens!C8</f>
        <v>0</v>
      </c>
      <c r="D4" s="477">
        <f>huishoudens!D8</f>
        <v>27019.534936020002</v>
      </c>
      <c r="E4" s="477">
        <f>huishoudens!E8</f>
        <v>931.02087445601614</v>
      </c>
      <c r="F4" s="477">
        <f>huishoudens!F8</f>
        <v>36129.692836868664</v>
      </c>
      <c r="G4" s="477">
        <f>huishoudens!G8</f>
        <v>0</v>
      </c>
      <c r="H4" s="477">
        <f>huishoudens!H8</f>
        <v>0</v>
      </c>
      <c r="I4" s="477">
        <f>huishoudens!I8</f>
        <v>0</v>
      </c>
      <c r="J4" s="477">
        <f>huishoudens!J8</f>
        <v>0</v>
      </c>
      <c r="K4" s="477">
        <f>huishoudens!K8</f>
        <v>0</v>
      </c>
      <c r="L4" s="477">
        <f>huishoudens!L8</f>
        <v>0</v>
      </c>
      <c r="M4" s="477">
        <f>huishoudens!M8</f>
        <v>0</v>
      </c>
      <c r="N4" s="477">
        <f>huishoudens!N8</f>
        <v>12114.589193018859</v>
      </c>
      <c r="O4" s="477">
        <f>huishoudens!O8</f>
        <v>257.95</v>
      </c>
      <c r="P4" s="478">
        <f>huishoudens!P8</f>
        <v>552.93333333333339</v>
      </c>
      <c r="Q4" s="479">
        <f>SUM(B4:P4)</f>
        <v>94921.090070635284</v>
      </c>
    </row>
    <row r="5" spans="1:17">
      <c r="A5" s="476" t="s">
        <v>156</v>
      </c>
      <c r="B5" s="477">
        <f ca="1">tertiair!B16</f>
        <v>19187.033336</v>
      </c>
      <c r="C5" s="477">
        <f ca="1">tertiair!C16</f>
        <v>0</v>
      </c>
      <c r="D5" s="477">
        <f ca="1">tertiair!D16</f>
        <v>22736.593056232003</v>
      </c>
      <c r="E5" s="477">
        <f>tertiair!E16</f>
        <v>455.54819041903079</v>
      </c>
      <c r="F5" s="477">
        <f ca="1">tertiair!F16</f>
        <v>3443.8733254436352</v>
      </c>
      <c r="G5" s="477">
        <f>tertiair!G16</f>
        <v>0</v>
      </c>
      <c r="H5" s="477">
        <f>tertiair!H16</f>
        <v>0</v>
      </c>
      <c r="I5" s="477">
        <f>tertiair!I16</f>
        <v>0</v>
      </c>
      <c r="J5" s="477">
        <f>tertiair!J16</f>
        <v>1.5079485079740836E-2</v>
      </c>
      <c r="K5" s="477">
        <f>tertiair!K16</f>
        <v>0</v>
      </c>
      <c r="L5" s="477">
        <f ca="1">tertiair!L16</f>
        <v>0</v>
      </c>
      <c r="M5" s="477">
        <f>tertiair!M16</f>
        <v>0</v>
      </c>
      <c r="N5" s="477">
        <f ca="1">tertiair!N16</f>
        <v>620.1254906856451</v>
      </c>
      <c r="O5" s="477">
        <f>tertiair!O16</f>
        <v>4.6900000000000004</v>
      </c>
      <c r="P5" s="478">
        <f>tertiair!P16</f>
        <v>0</v>
      </c>
      <c r="Q5" s="476">
        <f t="shared" ref="Q5:Q14" ca="1" si="0">SUM(B5:P5)</f>
        <v>46447.878478265404</v>
      </c>
    </row>
    <row r="6" spans="1:17">
      <c r="A6" s="476" t="s">
        <v>194</v>
      </c>
      <c r="B6" s="477">
        <f>'openbare verlichting'!B8</f>
        <v>723.99800000000005</v>
      </c>
      <c r="C6" s="477"/>
      <c r="D6" s="477"/>
      <c r="E6" s="477"/>
      <c r="F6" s="477"/>
      <c r="G6" s="477"/>
      <c r="H6" s="477"/>
      <c r="I6" s="477"/>
      <c r="J6" s="477"/>
      <c r="K6" s="477"/>
      <c r="L6" s="477"/>
      <c r="M6" s="477"/>
      <c r="N6" s="477"/>
      <c r="O6" s="477"/>
      <c r="P6" s="478"/>
      <c r="Q6" s="476">
        <f t="shared" si="0"/>
        <v>723.99800000000005</v>
      </c>
    </row>
    <row r="7" spans="1:17">
      <c r="A7" s="476" t="s">
        <v>112</v>
      </c>
      <c r="B7" s="477">
        <f>landbouw!B8</f>
        <v>288.18099999999998</v>
      </c>
      <c r="C7" s="477">
        <f>landbouw!C8</f>
        <v>0</v>
      </c>
      <c r="D7" s="477">
        <f>landbouw!D8</f>
        <v>15.290704000000002</v>
      </c>
      <c r="E7" s="477">
        <f>landbouw!E8</f>
        <v>8.4705197963687393</v>
      </c>
      <c r="F7" s="477">
        <f>landbouw!F8</f>
        <v>1200.5464735161233</v>
      </c>
      <c r="G7" s="477">
        <f>landbouw!G8</f>
        <v>0</v>
      </c>
      <c r="H7" s="477">
        <f>landbouw!H8</f>
        <v>0</v>
      </c>
      <c r="I7" s="477">
        <f>landbouw!I8</f>
        <v>0</v>
      </c>
      <c r="J7" s="477">
        <f>landbouw!J8</f>
        <v>41.751238142182984</v>
      </c>
      <c r="K7" s="477">
        <f>landbouw!K8</f>
        <v>0</v>
      </c>
      <c r="L7" s="477">
        <f>landbouw!L8</f>
        <v>0</v>
      </c>
      <c r="M7" s="477">
        <f>landbouw!M8</f>
        <v>0</v>
      </c>
      <c r="N7" s="477">
        <f>landbouw!N8</f>
        <v>0</v>
      </c>
      <c r="O7" s="477">
        <f>landbouw!O8</f>
        <v>0</v>
      </c>
      <c r="P7" s="478">
        <f>landbouw!P8</f>
        <v>0</v>
      </c>
      <c r="Q7" s="476">
        <f t="shared" si="0"/>
        <v>1554.2399354546751</v>
      </c>
    </row>
    <row r="8" spans="1:17">
      <c r="A8" s="476" t="s">
        <v>635</v>
      </c>
      <c r="B8" s="477">
        <f>industrie!B18</f>
        <v>12728.914516000001</v>
      </c>
      <c r="C8" s="477">
        <f>industrie!C18</f>
        <v>0</v>
      </c>
      <c r="D8" s="477">
        <f>industrie!D18</f>
        <v>10209.412442041999</v>
      </c>
      <c r="E8" s="477">
        <f>industrie!E18</f>
        <v>1049.7086101639063</v>
      </c>
      <c r="F8" s="477">
        <f>industrie!F18</f>
        <v>4743.2215657420875</v>
      </c>
      <c r="G8" s="477">
        <f>industrie!G18</f>
        <v>0</v>
      </c>
      <c r="H8" s="477">
        <f>industrie!H18</f>
        <v>0</v>
      </c>
      <c r="I8" s="477">
        <f>industrie!I18</f>
        <v>0</v>
      </c>
      <c r="J8" s="477">
        <f>industrie!J18</f>
        <v>12.161240402889787</v>
      </c>
      <c r="K8" s="477">
        <f>industrie!K18</f>
        <v>0</v>
      </c>
      <c r="L8" s="477">
        <f>industrie!L18</f>
        <v>0</v>
      </c>
      <c r="M8" s="477">
        <f>industrie!M18</f>
        <v>0</v>
      </c>
      <c r="N8" s="477">
        <f>industrie!N18</f>
        <v>2444.589512046949</v>
      </c>
      <c r="O8" s="477">
        <f>industrie!O18</f>
        <v>0</v>
      </c>
      <c r="P8" s="478">
        <f>industrie!P18</f>
        <v>0</v>
      </c>
      <c r="Q8" s="476">
        <f t="shared" si="0"/>
        <v>31188.007886397838</v>
      </c>
    </row>
    <row r="9" spans="1:17" s="482" customFormat="1">
      <c r="A9" s="480" t="s">
        <v>561</v>
      </c>
      <c r="B9" s="481">
        <f>transport!B14</f>
        <v>22.152154259482757</v>
      </c>
      <c r="C9" s="481">
        <f>transport!C14</f>
        <v>0</v>
      </c>
      <c r="D9" s="481">
        <f>transport!D14</f>
        <v>89.603055847498979</v>
      </c>
      <c r="E9" s="481">
        <f>transport!E14</f>
        <v>117.06825227613247</v>
      </c>
      <c r="F9" s="481">
        <f>transport!F14</f>
        <v>0</v>
      </c>
      <c r="G9" s="481">
        <f>transport!G14</f>
        <v>37357.409618503661</v>
      </c>
      <c r="H9" s="481">
        <f>transport!H14</f>
        <v>10023.928803105473</v>
      </c>
      <c r="I9" s="481">
        <f>transport!I14</f>
        <v>0</v>
      </c>
      <c r="J9" s="481">
        <f>transport!J14</f>
        <v>0</v>
      </c>
      <c r="K9" s="481">
        <f>transport!K14</f>
        <v>0</v>
      </c>
      <c r="L9" s="481">
        <f>transport!L14</f>
        <v>0</v>
      </c>
      <c r="M9" s="481">
        <f>transport!M14</f>
        <v>2478.3118661185945</v>
      </c>
      <c r="N9" s="481">
        <f>transport!N14</f>
        <v>0</v>
      </c>
      <c r="O9" s="481">
        <f>transport!O14</f>
        <v>0</v>
      </c>
      <c r="P9" s="481">
        <f>transport!P14</f>
        <v>0</v>
      </c>
      <c r="Q9" s="480">
        <f>SUM(B9:P9)</f>
        <v>50088.473750110847</v>
      </c>
    </row>
    <row r="10" spans="1:17">
      <c r="A10" s="476" t="s">
        <v>551</v>
      </c>
      <c r="B10" s="477">
        <f>transport!B54</f>
        <v>0</v>
      </c>
      <c r="C10" s="477">
        <f>transport!C54</f>
        <v>0</v>
      </c>
      <c r="D10" s="477">
        <f>transport!D54</f>
        <v>0</v>
      </c>
      <c r="E10" s="477">
        <f>transport!E54</f>
        <v>0</v>
      </c>
      <c r="F10" s="477">
        <f>transport!F54</f>
        <v>0</v>
      </c>
      <c r="G10" s="477">
        <f>transport!G54</f>
        <v>1093.4523650963501</v>
      </c>
      <c r="H10" s="477">
        <f>transport!H54</f>
        <v>0</v>
      </c>
      <c r="I10" s="477">
        <f>transport!I54</f>
        <v>0</v>
      </c>
      <c r="J10" s="477">
        <f>transport!J54</f>
        <v>0</v>
      </c>
      <c r="K10" s="477">
        <f>transport!K54</f>
        <v>0</v>
      </c>
      <c r="L10" s="477">
        <f>transport!L54</f>
        <v>0</v>
      </c>
      <c r="M10" s="477">
        <f>transport!M54</f>
        <v>62.103267208484084</v>
      </c>
      <c r="N10" s="477">
        <f>transport!N54</f>
        <v>0</v>
      </c>
      <c r="O10" s="477">
        <f>transport!O54</f>
        <v>0</v>
      </c>
      <c r="P10" s="478">
        <f>transport!P54</f>
        <v>0</v>
      </c>
      <c r="Q10" s="476">
        <f t="shared" si="0"/>
        <v>1155.5556323048343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408.44225</v>
      </c>
      <c r="C14" s="484"/>
      <c r="D14" s="484">
        <f>'SEAP template'!E25</f>
        <v>1022.6346</v>
      </c>
      <c r="E14" s="484"/>
      <c r="F14" s="484"/>
      <c r="G14" s="484"/>
      <c r="H14" s="484"/>
      <c r="I14" s="484"/>
      <c r="J14" s="484"/>
      <c r="K14" s="484"/>
      <c r="L14" s="484"/>
      <c r="M14" s="484"/>
      <c r="N14" s="484"/>
      <c r="O14" s="484"/>
      <c r="P14" s="485"/>
      <c r="Q14" s="476">
        <f t="shared" si="0"/>
        <v>1431.0768499999999</v>
      </c>
    </row>
    <row r="15" spans="1:17" s="486" customFormat="1">
      <c r="A15" s="1039" t="s">
        <v>555</v>
      </c>
      <c r="B15" s="987">
        <f ca="1">SUM(B4:B14)</f>
        <v>51274.090153197896</v>
      </c>
      <c r="C15" s="987">
        <f t="shared" ref="C15:Q15" ca="1" si="1">SUM(C4:C14)</f>
        <v>0</v>
      </c>
      <c r="D15" s="987">
        <f t="shared" ca="1" si="1"/>
        <v>61093.068794141494</v>
      </c>
      <c r="E15" s="987">
        <f t="shared" si="1"/>
        <v>2561.8164471114546</v>
      </c>
      <c r="F15" s="987">
        <f t="shared" ca="1" si="1"/>
        <v>45517.334201570513</v>
      </c>
      <c r="G15" s="987">
        <f t="shared" si="1"/>
        <v>38450.861983600014</v>
      </c>
      <c r="H15" s="987">
        <f t="shared" si="1"/>
        <v>10023.928803105473</v>
      </c>
      <c r="I15" s="987">
        <f t="shared" si="1"/>
        <v>0</v>
      </c>
      <c r="J15" s="987">
        <f t="shared" si="1"/>
        <v>53.927558030152511</v>
      </c>
      <c r="K15" s="987">
        <f t="shared" si="1"/>
        <v>0</v>
      </c>
      <c r="L15" s="987">
        <f t="shared" ca="1" si="1"/>
        <v>0</v>
      </c>
      <c r="M15" s="987">
        <f t="shared" si="1"/>
        <v>2540.4151333270784</v>
      </c>
      <c r="N15" s="987">
        <f t="shared" ca="1" si="1"/>
        <v>15179.304195751452</v>
      </c>
      <c r="O15" s="987">
        <f t="shared" si="1"/>
        <v>262.64</v>
      </c>
      <c r="P15" s="987">
        <f t="shared" si="1"/>
        <v>552.93333333333339</v>
      </c>
      <c r="Q15" s="987">
        <f t="shared" ca="1" si="1"/>
        <v>227510.32060316889</v>
      </c>
    </row>
    <row r="17" spans="1:17">
      <c r="A17" s="487" t="s">
        <v>556</v>
      </c>
      <c r="B17" s="786">
        <f ca="1">huishoudens!B10</f>
        <v>0.16725204054676185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2996.38200516094</v>
      </c>
      <c r="C22" s="477">
        <f t="shared" ref="C22:C32" ca="1" si="3">C4*$C$17</f>
        <v>0</v>
      </c>
      <c r="D22" s="477">
        <f t="shared" ref="D22:D32" si="4">D4*$D$17</f>
        <v>5457.9460570760402</v>
      </c>
      <c r="E22" s="477">
        <f t="shared" ref="E22:E32" si="5">E4*$E$17</f>
        <v>211.34173850151566</v>
      </c>
      <c r="F22" s="477">
        <f t="shared" ref="F22:F32" si="6">F4*$F$17</f>
        <v>9646.6279874439333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18312.29778818243</v>
      </c>
    </row>
    <row r="23" spans="1:17">
      <c r="A23" s="476" t="s">
        <v>156</v>
      </c>
      <c r="B23" s="477">
        <f t="shared" ca="1" si="2"/>
        <v>3209.0704774847432</v>
      </c>
      <c r="C23" s="477">
        <f t="shared" ca="1" si="3"/>
        <v>0</v>
      </c>
      <c r="D23" s="477">
        <f t="shared" ca="1" si="4"/>
        <v>4592.7917973588646</v>
      </c>
      <c r="E23" s="477">
        <f t="shared" si="5"/>
        <v>103.40943922512</v>
      </c>
      <c r="F23" s="477">
        <f t="shared" ca="1" si="6"/>
        <v>919.51417789345066</v>
      </c>
      <c r="G23" s="477">
        <f t="shared" si="7"/>
        <v>0</v>
      </c>
      <c r="H23" s="477">
        <f t="shared" si="8"/>
        <v>0</v>
      </c>
      <c r="I23" s="477">
        <f t="shared" si="9"/>
        <v>0</v>
      </c>
      <c r="J23" s="477">
        <f t="shared" si="10"/>
        <v>5.3381377182282553E-3</v>
      </c>
      <c r="K23" s="477">
        <f t="shared" si="11"/>
        <v>0</v>
      </c>
      <c r="L23" s="477">
        <f t="shared" ca="1" si="12"/>
        <v>0</v>
      </c>
      <c r="M23" s="477">
        <f t="shared" si="13"/>
        <v>0</v>
      </c>
      <c r="N23" s="477">
        <f t="shared" ca="1" si="14"/>
        <v>0</v>
      </c>
      <c r="O23" s="477">
        <f t="shared" si="15"/>
        <v>0</v>
      </c>
      <c r="P23" s="478">
        <f t="shared" si="16"/>
        <v>0</v>
      </c>
      <c r="Q23" s="476">
        <f t="shared" ref="Q23:Q32" ca="1" si="17">SUM(B23:P23)</f>
        <v>8824.7912300998978</v>
      </c>
    </row>
    <row r="24" spans="1:17">
      <c r="A24" s="476" t="s">
        <v>194</v>
      </c>
      <c r="B24" s="477">
        <f t="shared" ca="1" si="2"/>
        <v>121.09014285177449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121.09014285177449</v>
      </c>
    </row>
    <row r="25" spans="1:17">
      <c r="A25" s="476" t="s">
        <v>112</v>
      </c>
      <c r="B25" s="477">
        <f t="shared" ca="1" si="2"/>
        <v>48.198860296806373</v>
      </c>
      <c r="C25" s="477">
        <f t="shared" ca="1" si="3"/>
        <v>0</v>
      </c>
      <c r="D25" s="477">
        <f t="shared" si="4"/>
        <v>3.0887222080000005</v>
      </c>
      <c r="E25" s="477">
        <f t="shared" si="5"/>
        <v>1.9228079937757039</v>
      </c>
      <c r="F25" s="477">
        <f t="shared" si="6"/>
        <v>320.54590842880498</v>
      </c>
      <c r="G25" s="477">
        <f t="shared" si="7"/>
        <v>0</v>
      </c>
      <c r="H25" s="477">
        <f t="shared" si="8"/>
        <v>0</v>
      </c>
      <c r="I25" s="477">
        <f t="shared" si="9"/>
        <v>0</v>
      </c>
      <c r="J25" s="477">
        <f t="shared" si="10"/>
        <v>14.779938302332775</v>
      </c>
      <c r="K25" s="477">
        <f t="shared" si="11"/>
        <v>0</v>
      </c>
      <c r="L25" s="477">
        <f t="shared" si="12"/>
        <v>0</v>
      </c>
      <c r="M25" s="477">
        <f t="shared" si="13"/>
        <v>0</v>
      </c>
      <c r="N25" s="477">
        <f t="shared" si="14"/>
        <v>0</v>
      </c>
      <c r="O25" s="477">
        <f t="shared" si="15"/>
        <v>0</v>
      </c>
      <c r="P25" s="478">
        <f t="shared" si="16"/>
        <v>0</v>
      </c>
      <c r="Q25" s="476">
        <f t="shared" ca="1" si="17"/>
        <v>388.5362372297198</v>
      </c>
    </row>
    <row r="26" spans="1:17">
      <c r="A26" s="476" t="s">
        <v>635</v>
      </c>
      <c r="B26" s="477">
        <f t="shared" ca="1" si="2"/>
        <v>2128.9369267462976</v>
      </c>
      <c r="C26" s="477">
        <f t="shared" ca="1" si="3"/>
        <v>0</v>
      </c>
      <c r="D26" s="477">
        <f t="shared" si="4"/>
        <v>2062.3013132924839</v>
      </c>
      <c r="E26" s="477">
        <f t="shared" si="5"/>
        <v>238.28385450720674</v>
      </c>
      <c r="F26" s="477">
        <f t="shared" si="6"/>
        <v>1266.4401580531373</v>
      </c>
      <c r="G26" s="477">
        <f t="shared" si="7"/>
        <v>0</v>
      </c>
      <c r="H26" s="477">
        <f t="shared" si="8"/>
        <v>0</v>
      </c>
      <c r="I26" s="477">
        <f t="shared" si="9"/>
        <v>0</v>
      </c>
      <c r="J26" s="477">
        <f t="shared" si="10"/>
        <v>4.305079102622984</v>
      </c>
      <c r="K26" s="477">
        <f t="shared" si="11"/>
        <v>0</v>
      </c>
      <c r="L26" s="477">
        <f t="shared" si="12"/>
        <v>0</v>
      </c>
      <c r="M26" s="477">
        <f t="shared" si="13"/>
        <v>0</v>
      </c>
      <c r="N26" s="477">
        <f t="shared" si="14"/>
        <v>0</v>
      </c>
      <c r="O26" s="477">
        <f t="shared" si="15"/>
        <v>0</v>
      </c>
      <c r="P26" s="478">
        <f t="shared" si="16"/>
        <v>0</v>
      </c>
      <c r="Q26" s="476">
        <f t="shared" ca="1" si="17"/>
        <v>5700.2673317017479</v>
      </c>
    </row>
    <row r="27" spans="1:17" s="482" customFormat="1">
      <c r="A27" s="480" t="s">
        <v>561</v>
      </c>
      <c r="B27" s="780">
        <f t="shared" ca="1" si="2"/>
        <v>3.7049930024051334</v>
      </c>
      <c r="C27" s="481">
        <f t="shared" ca="1" si="3"/>
        <v>0</v>
      </c>
      <c r="D27" s="481">
        <f t="shared" si="4"/>
        <v>18.099817281194795</v>
      </c>
      <c r="E27" s="481">
        <f t="shared" si="5"/>
        <v>26.574493266682072</v>
      </c>
      <c r="F27" s="481">
        <f t="shared" si="6"/>
        <v>0</v>
      </c>
      <c r="G27" s="481">
        <f t="shared" si="7"/>
        <v>9974.4283681404777</v>
      </c>
      <c r="H27" s="481">
        <f t="shared" si="8"/>
        <v>2495.958271973263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12518.765943664022</v>
      </c>
    </row>
    <row r="28" spans="1:17">
      <c r="A28" s="476" t="s">
        <v>551</v>
      </c>
      <c r="B28" s="477">
        <f t="shared" ca="1" si="2"/>
        <v>0</v>
      </c>
      <c r="C28" s="477">
        <f t="shared" ca="1" si="3"/>
        <v>0</v>
      </c>
      <c r="D28" s="477">
        <f t="shared" si="4"/>
        <v>0</v>
      </c>
      <c r="E28" s="477">
        <f t="shared" si="5"/>
        <v>0</v>
      </c>
      <c r="F28" s="477">
        <f t="shared" si="6"/>
        <v>0</v>
      </c>
      <c r="G28" s="477">
        <f t="shared" si="7"/>
        <v>291.95178148072551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291.95178148072551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68.312799758010641</v>
      </c>
      <c r="C32" s="477">
        <f t="shared" ca="1" si="3"/>
        <v>0</v>
      </c>
      <c r="D32" s="477">
        <f t="shared" si="4"/>
        <v>206.5721892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274.88498895801064</v>
      </c>
    </row>
    <row r="33" spans="1:17" s="486" customFormat="1">
      <c r="A33" s="1039" t="s">
        <v>555</v>
      </c>
      <c r="B33" s="987">
        <f ca="1">SUM(B22:B32)</f>
        <v>8575.6962053009793</v>
      </c>
      <c r="C33" s="987">
        <f t="shared" ref="C33:Q33" ca="1" si="18">SUM(C22:C32)</f>
        <v>0</v>
      </c>
      <c r="D33" s="987">
        <f t="shared" ca="1" si="18"/>
        <v>12340.799896416584</v>
      </c>
      <c r="E33" s="987">
        <f t="shared" si="18"/>
        <v>581.53233349430025</v>
      </c>
      <c r="F33" s="987">
        <f t="shared" ca="1" si="18"/>
        <v>12153.128231819326</v>
      </c>
      <c r="G33" s="987">
        <f t="shared" si="18"/>
        <v>10266.380149621204</v>
      </c>
      <c r="H33" s="987">
        <f t="shared" si="18"/>
        <v>2495.958271973263</v>
      </c>
      <c r="I33" s="987">
        <f t="shared" si="18"/>
        <v>0</v>
      </c>
      <c r="J33" s="987">
        <f t="shared" si="18"/>
        <v>19.090355542673986</v>
      </c>
      <c r="K33" s="987">
        <f t="shared" si="18"/>
        <v>0</v>
      </c>
      <c r="L33" s="987">
        <f t="shared" ca="1" si="18"/>
        <v>0</v>
      </c>
      <c r="M33" s="987">
        <f t="shared" si="18"/>
        <v>0</v>
      </c>
      <c r="N33" s="987">
        <f t="shared" ca="1" si="18"/>
        <v>0</v>
      </c>
      <c r="O33" s="987">
        <f t="shared" si="18"/>
        <v>0</v>
      </c>
      <c r="P33" s="987">
        <f t="shared" si="18"/>
        <v>0</v>
      </c>
      <c r="Q33" s="987">
        <f t="shared" ca="1" si="18"/>
        <v>46432.585444168333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12470.034925591666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12470.034925591666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0.16725204054676185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0.16725204054676185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2019-08-12T08:35:17Z</dcterms:modified>
</cp:coreProperties>
</file>