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<sst xmlns="http://schemas.openxmlformats.org/spreadsheetml/2006/main" count="2392" uniqueCount="887">
  <si>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</si>
  <si>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</si>
  <si>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</si>
  <si>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</si>
  <si>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</si>
  <si>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</si>
  <si>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</si>
  <si>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</si>
  <si>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</si>
  <si>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</si>
  <si>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</si>
  <si>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</si>
  <si>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</si>
  <si>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</si>
  <si>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</si>
  <si>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</si>
  <si>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</si>
  <si>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</si>
  <si>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</si>
  <si>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</si>
  <si>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</si>
  <si>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</si>
  <si>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</si>
  <si>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</si>
  <si>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</si>
  <si>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</si>
  <si>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</si>
  <si>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</si>
  <si>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</si>
  <si>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</si>
  <si>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</si>
  <si>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</si>
  <si>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</si>
  <si>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</si>
  <si>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</si>
  <si>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</si>
  <si>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</si>
  <si>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</si>
  <si>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</si>
  <si>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</si>
  <si>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</si>
  <si>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</si>
  <si>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</si>
  <si>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</si>
  <si>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</si>
  <si>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</si>
  <si>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</si>
  <si>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</si>
  <si>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</si>
  <si>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</si>
  <si>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</si>
  <si>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</si>
  <si>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</si>
  <si>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</si>
  <si>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</si>
  <si>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</si>
  <si>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</si>
  <si>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</si>
  <si>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</si>
  <si>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</si>
  <si>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</si>
  <si>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</si>
  <si>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</si>
  <si>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</si>
  <si>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</si>
  <si>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</si>
  <si>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</si>
  <si>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</si>
  <si>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</si>
  <si>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</si>
  <si>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</si>
  <si>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</si>
  <si>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</si>
  <si>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</si>
  <si>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</si>
  <si>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</si>
  <si>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</si>
  <si>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</si>
  <si>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</si>
  <si>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</si>
  <si>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</si>
  <si>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</si>
  <si>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</si>
  <si>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</si>
  <si>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</si>
  <si>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</si>
  <si>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</si>
  <si>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</si>
  <si>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</si>
  <si>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</si>
  <si>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</si>
  <si>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</si>
  <si>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</si>
  <si>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</si>
  <si>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</si>
  <si>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</si>
  <si>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</si>
  <si>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</si>
  <si>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</si>
  <si>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</si>
  <si>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</si>
  <si>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</si>
  <si>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</si>
  <si>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</si>
  <si>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</si>
  <si>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</si>
  <si>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</si>
  <si>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</si>
  <si>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</si>
  <si>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</si>
  <si>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</si>
  <si>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</si>
  <si>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</si>
  <si>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</si>
  <si>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</si>
  <si>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</si>
  <si>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</si>
  <si>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</si>
  <si>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</si>
  <si>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</si>
  <si>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</si>
  <si>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</si>
  <si>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</si>
  <si>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</si>
  <si>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</si>
  <si>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</si>
  <si>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</si>
  <si>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</si>
  <si>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</si>
  <si>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</si>
  <si>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</si>
  <si>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</si>
  <si>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</si>
  <si>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</si>
  <si>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</si>
  <si>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</si>
  <si>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</si>
  <si>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</si>
  <si>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</si>
  <si>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</si>
  <si>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</si>
  <si>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</si>
  <si>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</si>
  <si>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</si>
  <si>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</si>
  <si>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</si>
  <si>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</si>
  <si>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</si>
  <si>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</si>
  <si>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</si>
  <si>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</si>
  <si>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</si>
  <si>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</si>
  <si>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</si>
  <si>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</si>
  <si>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</si>
  <si>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</si>
  <si>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</si>
  <si>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</si>
  <si>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</si>
  <si>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</si>
  <si>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</si>
  <si>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</si>
  <si>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</si>
  <si>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</si>
  <si>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</si>
  <si>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</si>
  <si>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</si>
  <si>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</si>
  <si>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</si>
  <si>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</si>
  <si>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</si>
  <si>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</si>
  <si>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</si>
  <si>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</si>
  <si>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</si>
  <si>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</si>
  <si>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</si>
  <si>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</si>
  <si>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</si>
  <si>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</si>
  <si>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</si>
  <si>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</si>
  <si>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</si>
  <si>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</si>
  <si>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</si>
  <si>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</si>
  <si>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</si>
  <si>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</si>
  <si>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</si>
  <si>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</si>
  <si>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</si>
  <si>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</si>
  <si>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</si>
  <si>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</si>
  <si>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</si>
  <si>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</si>
  <si>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</si>
  <si>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</si>
  <si>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</si>
  <si>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</si>
  <si>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</si>
  <si>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</si>
  <si>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</si>
  <si>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</si>
  <si>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</si>
  <si>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</si>
  <si>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</si>
  <si>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</si>
  <si>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</si>
  <si>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</si>
  <si>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</si>
  <si>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</si>
  <si>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</si>
  <si>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</si>
  <si>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</si>
  <si>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</si>
  <si>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</si>
  <si>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</si>
  <si>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</si>
  <si>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</si>
  <si>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</si>
  <si>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</si>
  <si>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</si>
  <si>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</si>
  <si>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</si>
  <si>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</si>
  <si>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</si>
  <si>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</si>
  <si>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</si>
  <si>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</si>
  <si>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</si>
  <si>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</si>
  <si>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</si>
  <si>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</si>
  <si>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</si>
  <si>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</si>
  <si>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</si>
  <si>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</si>
  <si>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</si>
  <si>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</si>
  <si>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</si>
  <si>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</si>
  <si>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</si>
  <si>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</si>
  <si>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</si>
  <si>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</si>
  <si>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</si>
  <si>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</si>
  <si>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</si>
  <si>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</si>
  <si>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</si>
  <si>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</si>
  <si>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</si>
  <si>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</si>
  <si>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</si>
  <si>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</si>
  <si>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</si>
  <si>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</si>
  <si>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</si>
  <si>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</si>
  <si>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</si>
  <si>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</si>
  <si>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</si>
  <si>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</si>
  <si>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</si>
  <si>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</si>
  <si>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</si>
  <si>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</si>
  <si>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</si>
  <si>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</si>
  <si>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</si>
  <si>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</si>
  <si>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</si>
  <si>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</si>
  <si>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</si>
  <si>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</si>
  <si>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</si>
  <si>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</si>
  <si>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</si>
  <si>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</si>
  <si>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</si>
  <si>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</si>
  <si>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</si>
  <si>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</si>
  <si>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</si>
  <si>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</si>
  <si>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</si>
  <si>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</si>
  <si>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</si>
  <si>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</si>
  <si>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</si>
  <si>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</si>
  <si>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</si>
  <si>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</si>
  <si>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</si>
  <si>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</si>
  <si>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</si>
  <si>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</si>
  <si>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</si>
  <si>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</si>
  <si>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</si>
  <si>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</si>
  <si>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</si>
  <si>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</si>
  <si>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</si>
  <si>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</si>
  <si>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</si>
  <si>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</si>
  <si>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</si>
  <si>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</si>
  <si>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</si>
  <si>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</si>
  <si>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</si>
  <si>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</si>
  <si>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</si>
  <si>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</si>
  <si>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</si>
  <si>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</si>
  <si>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</si>
  <si>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</si>
  <si>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</si>
  <si>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</si>
  <si>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</si>
  <si>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</si>
  <si>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</si>
  <si>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</si>
  <si>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</si>
  <si>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</si>
  <si>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</si>
  <si>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</si>
  <si>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</si>
  <si>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</si>
  <si>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</si>
  <si>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</si>
  <si>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</si>
  <si>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</si>
  <si>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</si>
  <si>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</si>
  <si>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</si>
  <si>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</si>
  <si>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</si>
  <si>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</si>
  <si>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</si>
  <si>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</si>
  <si>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</si>
  <si>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</si>
  <si>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</si>
  <si>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</si>
  <si>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</si>
  <si>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</si>
  <si>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</si>
  <si>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</si>
  <si>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</si>
  <si>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</si>
  <si>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</si>
  <si>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</si>
  <si>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</si>
  <si>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</si>
  <si>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</si>
  <si>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</si>
  <si>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</si>
  <si>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</si>
  <si>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</si>
  <si>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</si>
  <si>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</si>
  <si>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</si>
  <si>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</si>
  <si>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</si>
  <si>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</si>
  <si>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</si>
  <si>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</si>
  <si>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</si>
  <si>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</si>
  <si>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</si>
  <si>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</si>
  <si>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</si>
  <si>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</si>
  <si>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</si>
  <si>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</si>
  <si>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</si>
  <si>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</si>
  <si>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</si>
  <si>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</si>
  <si>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</si>
  <si>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</si>
  <si>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</si>
  <si>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</si>
  <si>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</si>
  <si>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</si>
  <si>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</si>
  <si>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</si>
  <si>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</si>
  <si>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</si>
  <si>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</si>
  <si>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</si>
  <si>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</si>
  <si>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</si>
  <si>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</si>
  <si>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</si>
  <si>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</si>
  <si>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</si>
  <si>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</si>
  <si>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</si>
  <si>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</si>
  <si>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</si>
  <si>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</si>
  <si>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</si>
  <si>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</si>
  <si>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</si>
  <si>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</si>
  <si>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</si>
  <si>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</si>
  <si>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</si>
  <si>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</si>
  <si>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</si>
  <si>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</si>
  <si>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</si>
  <si>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</si>
  <si>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</si>
  <si>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</si>
  <si>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</si>
  <si>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</si>
  <si>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</si>
  <si>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</si>
  <si>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</si>
  <si>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</si>
  <si>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</si>
  <si>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</si>
  <si>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</si>
  <si>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</si>
  <si>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</si>
  <si>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</si>
  <si>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</si>
  <si>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</si>
  <si>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</si>
  <si>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</si>
  <si>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</si>
  <si>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</si>
  <si>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</si>
  <si>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</si>
  <si>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</si>
  <si>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</si>
  <si>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</si>
  <si>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</si>
  <si>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</si>
  <si>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</si>
  <si>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</si>
  <si>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</si>
  <si>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</si>
  <si>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</si>
  <si>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</si>
  <si>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</si>
  <si>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</si>
  <si>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</si>
  <si>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</si>
  <si>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</si>
  <si>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</si>
  <si>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</si>
  <si>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</si>
  <si>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</si>
  <si>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</si>
  <si>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</si>
  <si>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</si>
  <si>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</si>
  <si>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</si>
  <si>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</si>
  <si>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</si>
  <si>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</si>
  <si>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</si>
  <si>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</si>
  <si>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</si>
  <si>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</si>
  <si>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</si>
  <si>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</si>
  <si>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</si>
  <si>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</si>
  <si>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</si>
  <si>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</si>
  <si>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</si>
  <si>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</si>
  <si>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</si>
  <si>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</si>
  <si>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</si>
  <si>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</si>
  <si>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</si>
  <si>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</si>
  <si>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</si>
  <si>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</si>
  <si>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</si>
  <si>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</si>
  <si>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</si>
  <si>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</si>
  <si>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</si>
  <si>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</si>
  <si>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</si>
  <si>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</si>
  <si>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</si>
  <si>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</si>
  <si>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</si>
  <si>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</si>
  <si>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</si>
  <si>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</si>
  <si>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</si>
  <si>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</si>
  <si>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</si>
  <si>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</si>
  <si>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</si>
  <si>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</si>
  <si>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</si>
  <si>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</si>
  <si>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</si>
  <si>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</si>
  <si>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</si>
  <si>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</si>
  <si>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</si>
  <si>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</si>
  <si>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</si>
  <si>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</si>
  <si>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</si>
  <si>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</si>
  <si>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</si>
  <si>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</si>
  <si>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</si>
  <si>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</si>
  <si>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</si>
  <si>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</si>
  <si>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</si>
  <si>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</si>
  <si>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</si>
  <si>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</si>
  <si>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</si>
  <si>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</si>
  <si>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</si>
  <si>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</si>
  <si>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</si>
  <si>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</si>
  <si>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</si>
  <si>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</si>
  <si>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</si>
  <si>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</si>
  <si>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</si>
  <si>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</si>
  <si>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</si>
  <si>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</si>
  <si>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</si>
  <si>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</si>
  <si>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</si>
  <si>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</si>
  <si>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</si>
  <si>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</si>
  <si>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</si>
  <si>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</si>
  <si>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</si>
  <si>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</si>
  <si>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</si>
  <si>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</si>
  <si>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</si>
  <si>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</si>
  <si>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</si>
  <si>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</si>
  <si>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</si>
  <si>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</si>
  <si>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</si>
  <si>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</si>
  <si>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</si>
  <si>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</si>
  <si>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</si>
  <si>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</si>
  <si>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</si>
  <si>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</si>
  <si>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</si>
  <si>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</si>
  <si>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</si>
  <si>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</si>
  <si>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</si>
  <si>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</si>
  <si>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</si>
  <si>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</si>
  <si>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</si>
  <si>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</si>
  <si>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</si>
  <si>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</si>
  <si>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</si>
  <si>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</si>
  <si>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</si>
  <si>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</si>
  <si>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</si>
  <si>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</si>
  <si>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</si>
  <si>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</si>
  <si>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</si>
  <si>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</si>
  <si>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</si>
  <si>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</si>
  <si>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</si>
  <si>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</si>
  <si>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</si>
  <si>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</si>
  <si>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</si>
  <si>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</si>
  <si>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</si>
  <si>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</si>
  <si>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</si>
  <si>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</si>
  <si>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</si>
  <si>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</si>
  <si>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</si>
  <si>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</si>
  <si>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</si>
  <si>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</si>
  <si>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</si>
  <si>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</si>
  <si>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</si>
  <si>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</si>
  <si>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</si>
  <si>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</si>
  <si>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</si>
  <si>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</si>
  <si>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</si>
  <si>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</si>
  <si>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</si>
  <si>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</si>
  <si>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</si>
  <si>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</si>
  <si>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</si>
  <si>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</si>
  <si>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</si>
  <si>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</si>
  <si>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</si>
  <si>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</si>
  <si>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</si>
  <si>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</si>
  <si>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</si>
  <si>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</si>
  <si>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</si>
  <si>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</si>
  <si>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</si>
  <si>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</si>
  <si>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</si>
  <si>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</si>
  <si>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</si>
  <si>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</si>
  <si>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</si>
  <si>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</si>
  <si>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</si>
  <si>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</si>
  <si>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</si>
  <si>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</si>
  <si>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</si>
  <si>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</si>
  <si>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</si>
  <si>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</si>
  <si>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</si>
  <si>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</si>
  <si>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</si>
  <si>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</si>
  <si>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</si>
  <si>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</si>
  <si>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</si>
  <si>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</si>
  <si>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</si>
  <si>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</si>
  <si>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</si>
  <si>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</si>
  <si>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</si>
  <si>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</si>
  <si>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</si>
  <si>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</si>
  <si>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</si>
  <si>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</si>
  <si>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</si>
  <si>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</si>
  <si>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</si>
  <si>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</si>
  <si>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</si>
  <si>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</si>
  <si>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</si>
  <si>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</si>
  <si>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</si>
  <si>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</si>
  <si>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</si>
  <si>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</si>
  <si>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</si>
  <si>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</si>
  <si>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</si>
  <si>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</si>
  <si>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</si>
  <si>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</si>
  <si>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</si>
  <si>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</si>
  <si>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</si>
  <si>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</si>
  <si>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</si>
  <si>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</si>
  <si>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</si>
  <si>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</si>
  <si>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</si>
  <si>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</si>
  <si>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</si>
  <si>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</si>
  <si>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</si>
  <si>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</si>
  <si>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</si>
  <si>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</si>
  <si>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</si>
  <si>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</si>
  <si>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</si>
  <si>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</si>
  <si>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</si>
  <si>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</si>
  <si>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</si>
  <si>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</si>
  <si>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</si>
  <si>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</si>
  <si>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</si>
  <si>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</si>
  <si>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</si>
  <si>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</si>
  <si>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</si>
  <si>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</si>
  <si>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</si>
  <si>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</si>
  <si>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</si>
  <si>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</si>
  <si>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</si>
  <si>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</si>
  <si>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</si>
  <si>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</si>
  <si>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</si>
  <si>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</si>
  <si>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</si>
  <si>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</si>
  <si>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</si>
  <si>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</si>
  <si>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</si>
  <si>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</si>
  <si>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</si>
  <si>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</si>
  <si>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</si>
  <si>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</si>
  <si>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</si>
  <si>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</si>
  <si>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</si>
  <si>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</si>
  <si>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</si>
  <si>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</si>
  <si>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</si>
  <si>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</si>
  <si>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</si>
  <si>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</si>
  <si>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</si>
  <si>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</si>
  <si>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</si>
  <si>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</si>
  <si>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</si>
  <si>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</si>
  <si>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</si>
  <si>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</si>
  <si>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</si>
  <si>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</si>
  <si>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</si>
  <si>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</si>
  <si>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</si>
  <si>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</si>
  <si>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</si>
  <si>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</si>
  <si>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</si>
  <si>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</si>
  <si>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</si>
  <si>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</si>
  <si>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</si>
  <si>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</si>
  <si>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</si>
  <si>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</si>
  <si>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</si>
  <si>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</si>
  <si>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</si>
  <si>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</si>
  <si>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</si>
  <si>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</si>
  <si>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</si>
  <si>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</si>
  <si>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</si>
  <si>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</si>
  <si>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</si>
  <si>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</si>
  <si>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</si>
  <si>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</si>
  <si>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</si>
  <si>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</si>
  <si>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</si>
  <si>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</si>
  <si>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</si>
  <si>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</si>
  <si>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</si>
  <si>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</si>
  <si>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</si>
  <si>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</si>
  <si>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</si>
  <si>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</si>
  <si>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</si>
  <si>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</si>
  <si>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</si>
  <si>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</si>
  <si>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</si>
  <si>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</si>
  <si>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</si>
  <si>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</si>
  <si>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</si>
  <si>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</si>
  <si>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</si>
  <si>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</si>
  <si>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</si>
  <si>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</si>
  <si>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</si>
  <si>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</si>
  <si>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</si>
  <si>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</si>
  <si>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</si>
  <si>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</si>
  <si>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</si>
  <si>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</si>
  <si>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</si>
  <si>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</si>
  <si>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</si>
  <si>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</si>
  <si>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</si>
  <si>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</si>
  <si>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</si>
  <si>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</si>
  <si>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</si>
  <si>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</si>
  <si>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</si>
  <si>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</si>
  <si>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</si>
  <si>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</si>
  <si>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</si>
  <si>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</si>
  <si>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</si>
  <si>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</si>
  <si>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</si>
  <si>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</si>
  <si>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</si>
  <si>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</si>
  <si>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</si>
  <si>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</si>
  <si>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</si>
  <si>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</si>
  <si>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</si>
  <si>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</si>
  <si>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</si>
  <si>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</si>
  <si>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</si>
  <si>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</si>
  <si>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</si>
  <si>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</si>
  <si>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</si>
  <si>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</si>
  <si>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</si>
  <si>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</si>
  <si>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</si>
  <si>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</si>
  <si>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</si>
  <si>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</si>
  <si>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</si>
  <si>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</si>
  <si>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</si>
  <si>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</si>
  <si>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</si>
  <si>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</si>
  <si>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</si>
  <si>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</si>
  <si>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71024</t>
  </si>
  <si>
    <t>HERK-DE-STAD</t>
  </si>
  <si>
    <t>Eandis (januari 2018); Infrax (juni 2018)</t>
  </si>
  <si>
    <t>MOW (september 2017)</t>
  </si>
  <si>
    <t>referentietaak LNE (2017); Jaarverslag De Lijn (2016)</t>
  </si>
  <si>
    <t>VEA (april 2018)</t>
  </si>
  <si>
    <t>VEA (januari 2017)</t>
  </si>
  <si>
    <t>VEA (juni 2018)</t>
  </si>
  <si>
    <t>Bio-energie Herk</t>
  </si>
  <si>
    <t>Herkkantstraat 47 , 3540 Herk-de-Stad</t>
  </si>
  <si>
    <t>WKK-0307 Bio-Energie Herk</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</si>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</sst>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114820.91702509094</c:v>
                </c:pt>
                <c:pt idx="1">
                  <c:v>25147.88415544204</c:v>
                </c:pt>
                <c:pt idx="2">
                  <c:v>920.11699999999996</c:v>
                </c:pt>
                <c:pt idx="3">
                  <c:v>24817.231443292058</c:v>
                </c:pt>
                <c:pt idx="4">
                  <c:v>9567.0153943676905</c:v>
                </c:pt>
                <c:pt idx="5">
                  <c:v>91530.216426746978</c:v>
                </c:pt>
                <c:pt idx="6">
                  <c:v>1087.4034900116985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92768"/>
        <c:axId val="75794304"/>
      </c:barChart>
      <c:catAx>
        <c:axId val="75792768"/>
        <c:scaling>
          <c:orientation val="minMax"/>
        </c:scaling>
        <c:axPos val="b"/>
        <c:numFmt formatCode="General" sourceLinked="0"/>
        <c:tickLblPos val="nextTo"/>
        <c:crossAx val="75794304"/>
        <c:crosses val="autoZero"/>
        <c:auto val="1"/>
        <c:lblAlgn val="ctr"/>
        <c:lblOffset val="100"/>
      </c:catAx>
      <c:valAx>
        <c:axId val="75794304"/>
        <c:scaling>
          <c:orientation val="minMax"/>
        </c:scaling>
        <c:axPos val="l"/>
        <c:majorGridlines>
          <c:spPr>
            <a:ln>
              <a:noFill/>
            </a:ln>
          </c:spPr>
        </c:majorGridlines>
        <c:numFmt formatCode="#,##0" sourceLinked="1"/>
        <c:tickLblPos val="nextTo"/>
        <c:crossAx val="757927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114820.91702509094</c:v>
                </c:pt>
                <c:pt idx="1">
                  <c:v>25147.88415544204</c:v>
                </c:pt>
                <c:pt idx="2">
                  <c:v>920.11699999999996</c:v>
                </c:pt>
                <c:pt idx="3">
                  <c:v>24817.231443292058</c:v>
                </c:pt>
                <c:pt idx="4">
                  <c:v>9567.0153943676905</c:v>
                </c:pt>
                <c:pt idx="5">
                  <c:v>91530.216426746978</c:v>
                </c:pt>
                <c:pt idx="6">
                  <c:v>1087.4034900116985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22280.313833199896</c:v>
                </c:pt>
                <c:pt idx="2">
                  <c:v>4539.758061987417</c:v>
                </c:pt>
                <c:pt idx="3">
                  <c:v>148.00304725144082</c:v>
                </c:pt>
                <c:pt idx="4">
                  <c:v>4470.5900033565977</c:v>
                </c:pt>
                <c:pt idx="5">
                  <c:v>1641.9403193929163</c:v>
                </c:pt>
                <c:pt idx="6">
                  <c:v>22905.949631789023</c:v>
                </c:pt>
                <c:pt idx="7">
                  <c:v>274.73310433705336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73984"/>
        <c:axId val="156479872"/>
      </c:barChart>
      <c:catAx>
        <c:axId val="156473984"/>
        <c:scaling>
          <c:orientation val="minMax"/>
        </c:scaling>
        <c:axPos val="b"/>
        <c:numFmt formatCode="General" sourceLinked="0"/>
        <c:tickLblPos val="nextTo"/>
        <c:crossAx val="156479872"/>
        <c:crosses val="autoZero"/>
        <c:auto val="1"/>
        <c:lblAlgn val="ctr"/>
        <c:lblOffset val="100"/>
      </c:catAx>
      <c:valAx>
        <c:axId val="156479872"/>
        <c:scaling>
          <c:orientation val="minMax"/>
        </c:scaling>
        <c:axPos val="l"/>
        <c:majorGridlines>
          <c:spPr>
            <a:ln>
              <a:noFill/>
            </a:ln>
          </c:spPr>
        </c:majorGridlines>
        <c:numFmt formatCode="#,##0" sourceLinked="1"/>
        <c:tickLblPos val="nextTo"/>
        <c:crossAx val="15647398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22280.313833199896</c:v>
                </c:pt>
                <c:pt idx="2">
                  <c:v>4539.758061987417</c:v>
                </c:pt>
                <c:pt idx="3">
                  <c:v>148.00304725144082</c:v>
                </c:pt>
                <c:pt idx="4">
                  <c:v>4470.5900033565977</c:v>
                </c:pt>
                <c:pt idx="5">
                  <c:v>1641.9403193929163</c:v>
                </c:pt>
                <c:pt idx="6">
                  <c:v>22905.949631789023</c:v>
                </c:pt>
                <c:pt idx="7">
                  <c:v>274.73310433705336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71024</v>
      </c>
      <c r="B6" s="415"/>
      <c r="C6" s="416"/>
    </row>
    <row r="7" spans="1:7" s="413" customFormat="1" ht="15.75" customHeight="1">
      <c r="A7" s="417" t="str">
        <f>txtMunicipality</f>
        <v>HERK-DE-STAD</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0.16085242121538981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0.16085242121538981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5156</v>
      </c>
      <c r="C9" s="342">
        <v>5229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2302.25</v>
      </c>
    </row>
    <row r="15" spans="1:6">
      <c r="A15" s="348" t="s">
        <v>184</v>
      </c>
      <c r="B15" s="334">
        <v>657</v>
      </c>
    </row>
    <row r="16" spans="1:6">
      <c r="A16" s="348" t="s">
        <v>6</v>
      </c>
      <c r="B16" s="334">
        <v>301</v>
      </c>
    </row>
    <row r="17" spans="1:6">
      <c r="A17" s="348" t="s">
        <v>7</v>
      </c>
      <c r="B17" s="334">
        <v>600</v>
      </c>
    </row>
    <row r="18" spans="1:6">
      <c r="A18" s="348" t="s">
        <v>8</v>
      </c>
      <c r="B18" s="334">
        <v>626</v>
      </c>
    </row>
    <row r="19" spans="1:6">
      <c r="A19" s="348" t="s">
        <v>9</v>
      </c>
      <c r="B19" s="334">
        <v>480</v>
      </c>
    </row>
    <row r="20" spans="1:6">
      <c r="A20" s="348" t="s">
        <v>10</v>
      </c>
      <c r="B20" s="334">
        <v>326</v>
      </c>
    </row>
    <row r="21" spans="1:6">
      <c r="A21" s="348" t="s">
        <v>11</v>
      </c>
      <c r="B21" s="334">
        <v>245</v>
      </c>
    </row>
    <row r="22" spans="1:6">
      <c r="A22" s="348" t="s">
        <v>12</v>
      </c>
      <c r="B22" s="334">
        <v>3018</v>
      </c>
    </row>
    <row r="23" spans="1:6">
      <c r="A23" s="348" t="s">
        <v>13</v>
      </c>
      <c r="B23" s="334">
        <v>0</v>
      </c>
    </row>
    <row r="24" spans="1:6">
      <c r="A24" s="348" t="s">
        <v>14</v>
      </c>
      <c r="B24" s="334">
        <v>0</v>
      </c>
    </row>
    <row r="25" spans="1:6">
      <c r="A25" s="348" t="s">
        <v>15</v>
      </c>
      <c r="B25" s="334">
        <v>7</v>
      </c>
    </row>
    <row r="26" spans="1:6">
      <c r="A26" s="348" t="s">
        <v>16</v>
      </c>
      <c r="B26" s="334">
        <v>562</v>
      </c>
    </row>
    <row r="27" spans="1:6">
      <c r="A27" s="348" t="s">
        <v>17</v>
      </c>
      <c r="B27" s="334">
        <v>0</v>
      </c>
    </row>
    <row r="28" spans="1:6" s="356" customFormat="1">
      <c r="A28" s="355" t="s">
        <v>18</v>
      </c>
      <c r="B28" s="355">
        <v>73834</v>
      </c>
    </row>
    <row r="29" spans="1:6">
      <c r="A29" s="355" t="s">
        <v>744</v>
      </c>
      <c r="B29" s="355">
        <v>81</v>
      </c>
      <c r="C29" s="356"/>
      <c r="D29" s="356"/>
      <c r="E29" s="356"/>
      <c r="F29" s="356"/>
    </row>
    <row r="30" spans="1:6">
      <c r="A30" s="341" t="s">
        <v>745</v>
      </c>
      <c r="B30" s="341">
        <v>18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595963</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2310</v>
      </c>
      <c r="D39" s="334">
        <v>35673843.25</v>
      </c>
      <c r="E39" s="334">
        <v>5021</v>
      </c>
      <c r="F39" s="334">
        <v>17362265.5</v>
      </c>
    </row>
    <row r="40" spans="1:6">
      <c r="A40" s="348" t="s">
        <v>30</v>
      </c>
      <c r="B40" s="348" t="s">
        <v>29</v>
      </c>
      <c r="C40" s="334">
        <v>0</v>
      </c>
      <c r="D40" s="334">
        <v>0</v>
      </c>
      <c r="E40" s="334">
        <v>0</v>
      </c>
      <c r="F40" s="334">
        <v>0</v>
      </c>
    </row>
    <row r="41" spans="1:6">
      <c r="A41" s="348" t="s">
        <v>32</v>
      </c>
      <c r="B41" s="348" t="s">
        <v>33</v>
      </c>
      <c r="C41" s="334">
        <v>65</v>
      </c>
      <c r="D41" s="334">
        <v>883544</v>
      </c>
      <c r="E41" s="334">
        <v>140</v>
      </c>
      <c r="F41" s="334">
        <v>1392639.1710000001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280485</v>
      </c>
      <c r="E44" s="334">
        <v>26</v>
      </c>
      <c r="F44" s="334">
        <v>957529.73600000003</v>
      </c>
    </row>
    <row r="45" spans="1:6">
      <c r="A45" s="348" t="s">
        <v>32</v>
      </c>
      <c r="B45" s="348" t="s">
        <v>37</v>
      </c>
      <c r="C45" s="334">
        <v>0</v>
      </c>
      <c r="D45" s="334">
        <v>0</v>
      </c>
      <c r="E45" s="334">
        <v>8</v>
      </c>
      <c r="F45" s="334">
        <v>794238</v>
      </c>
    </row>
    <row r="46" spans="1:6">
      <c r="A46" s="348" t="s">
        <v>32</v>
      </c>
      <c r="B46" s="348" t="s">
        <v>38</v>
      </c>
      <c r="C46" s="334">
        <v>0</v>
      </c>
      <c r="D46" s="334">
        <v>0</v>
      </c>
      <c r="E46" s="334">
        <v>0</v>
      </c>
      <c r="F46" s="334">
        <v>0</v>
      </c>
    </row>
    <row r="47" spans="1:6">
      <c r="A47" s="348" t="s">
        <v>32</v>
      </c>
      <c r="B47" s="348" t="s">
        <v>39</v>
      </c>
      <c r="C47" s="334">
        <v>4</v>
      </c>
      <c r="D47" s="334">
        <v>99349</v>
      </c>
      <c r="E47" s="334">
        <v>8</v>
      </c>
      <c r="F47" s="334">
        <v>64635</v>
      </c>
    </row>
    <row r="48" spans="1:6">
      <c r="A48" s="348" t="s">
        <v>32</v>
      </c>
      <c r="B48" s="348" t="s">
        <v>29</v>
      </c>
      <c r="C48" s="334">
        <v>6</v>
      </c>
      <c r="D48" s="334">
        <v>110283.6</v>
      </c>
      <c r="E48" s="334">
        <v>2</v>
      </c>
      <c r="F48" s="334">
        <v>32340.55</v>
      </c>
    </row>
    <row r="49" spans="1:6">
      <c r="A49" s="348" t="s">
        <v>32</v>
      </c>
      <c r="B49" s="348" t="s">
        <v>40</v>
      </c>
      <c r="C49" s="334">
        <v>0</v>
      </c>
      <c r="D49" s="334">
        <v>0</v>
      </c>
      <c r="E49" s="334">
        <v>3</v>
      </c>
      <c r="F49" s="334">
        <v>20193</v>
      </c>
    </row>
    <row r="50" spans="1:6">
      <c r="A50" s="348" t="s">
        <v>32</v>
      </c>
      <c r="B50" s="348" t="s">
        <v>41</v>
      </c>
      <c r="C50" s="334">
        <v>3</v>
      </c>
      <c r="D50" s="334">
        <v>210393</v>
      </c>
      <c r="E50" s="334">
        <v>9</v>
      </c>
      <c r="F50" s="334">
        <v>1849322</v>
      </c>
    </row>
    <row r="51" spans="1:6">
      <c r="A51" s="348" t="s">
        <v>42</v>
      </c>
      <c r="B51" s="348" t="s">
        <v>43</v>
      </c>
      <c r="C51" s="334">
        <v>14</v>
      </c>
      <c r="D51" s="334">
        <v>2651208.3679999998</v>
      </c>
      <c r="E51" s="334">
        <v>101</v>
      </c>
      <c r="F51" s="334">
        <v>2995621.4219999998</v>
      </c>
    </row>
    <row r="52" spans="1:6">
      <c r="A52" s="348" t="s">
        <v>42</v>
      </c>
      <c r="B52" s="348" t="s">
        <v>29</v>
      </c>
      <c r="C52" s="334">
        <v>0</v>
      </c>
      <c r="D52" s="334">
        <v>0</v>
      </c>
      <c r="E52" s="334">
        <v>0</v>
      </c>
      <c r="F52" s="334">
        <v>0</v>
      </c>
    </row>
    <row r="53" spans="1:6">
      <c r="A53" s="348" t="s">
        <v>44</v>
      </c>
      <c r="B53" s="348" t="s">
        <v>45</v>
      </c>
      <c r="C53" s="334">
        <v>52</v>
      </c>
      <c r="D53" s="334">
        <v>1961616.2</v>
      </c>
      <c r="E53" s="334">
        <v>103</v>
      </c>
      <c r="F53" s="334">
        <v>420682.45</v>
      </c>
    </row>
    <row r="54" spans="1:6">
      <c r="A54" s="348" t="s">
        <v>46</v>
      </c>
      <c r="B54" s="348" t="s">
        <v>47</v>
      </c>
      <c r="C54" s="334">
        <v>0</v>
      </c>
      <c r="D54" s="334">
        <v>0</v>
      </c>
      <c r="E54" s="334">
        <v>3</v>
      </c>
      <c r="F54" s="334">
        <v>920117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391088.6</v>
      </c>
      <c r="E57" s="334">
        <v>58</v>
      </c>
      <c r="F57" s="334">
        <v>975658.50300000003</v>
      </c>
    </row>
    <row r="58" spans="1:6">
      <c r="A58" s="348" t="s">
        <v>49</v>
      </c>
      <c r="B58" s="348" t="s">
        <v>51</v>
      </c>
      <c r="C58" s="334">
        <v>23</v>
      </c>
      <c r="D58" s="334">
        <v>1582227.32</v>
      </c>
      <c r="E58" s="334">
        <v>36</v>
      </c>
      <c r="F58" s="334">
        <v>1227598</v>
      </c>
    </row>
    <row r="59" spans="1:6">
      <c r="A59" s="348" t="s">
        <v>49</v>
      </c>
      <c r="B59" s="348" t="s">
        <v>52</v>
      </c>
      <c r="C59" s="334">
        <v>74</v>
      </c>
      <c r="D59" s="334">
        <v>2302075.6970000002</v>
      </c>
      <c r="E59" s="334">
        <v>181</v>
      </c>
      <c r="F59" s="334">
        <v>5347213.0480000004</v>
      </c>
    </row>
    <row r="60" spans="1:6">
      <c r="A60" s="348" t="s">
        <v>49</v>
      </c>
      <c r="B60" s="348" t="s">
        <v>53</v>
      </c>
      <c r="C60" s="334">
        <v>36</v>
      </c>
      <c r="D60" s="334">
        <v>3455593.753</v>
      </c>
      <c r="E60" s="334">
        <v>63</v>
      </c>
      <c r="F60" s="334">
        <v>1910371.4469999999</v>
      </c>
    </row>
    <row r="61" spans="1:6">
      <c r="A61" s="348" t="s">
        <v>49</v>
      </c>
      <c r="B61" s="348" t="s">
        <v>54</v>
      </c>
      <c r="C61" s="334">
        <v>81</v>
      </c>
      <c r="D61" s="334">
        <v>2182918.4</v>
      </c>
      <c r="E61" s="334">
        <v>214</v>
      </c>
      <c r="F61" s="334">
        <v>2641258.5989999999</v>
      </c>
    </row>
    <row r="62" spans="1:6">
      <c r="A62" s="348" t="s">
        <v>49</v>
      </c>
      <c r="B62" s="348" t="s">
        <v>55</v>
      </c>
      <c r="C62" s="334">
        <v>4</v>
      </c>
      <c r="D62" s="334">
        <v>850971</v>
      </c>
      <c r="E62" s="334">
        <v>8</v>
      </c>
      <c r="F62" s="334">
        <v>88928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54615</v>
      </c>
      <c r="E65" s="334">
        <v>0</v>
      </c>
      <c r="F65" s="334">
        <v>0</v>
      </c>
    </row>
    <row r="66" spans="1:6">
      <c r="A66" s="348" t="s">
        <v>56</v>
      </c>
      <c r="B66" s="348" t="s">
        <v>58</v>
      </c>
      <c r="C66" s="334">
        <v>0</v>
      </c>
      <c r="D66" s="334">
        <v>0</v>
      </c>
      <c r="E66" s="334">
        <v>9</v>
      </c>
      <c r="F66" s="334">
        <v>289088</v>
      </c>
    </row>
    <row r="67" spans="1:6">
      <c r="A67" s="355" t="s">
        <v>56</v>
      </c>
      <c r="B67" s="355" t="s">
        <v>59</v>
      </c>
      <c r="C67" s="334">
        <v>0</v>
      </c>
      <c r="D67" s="334">
        <v>0</v>
      </c>
      <c r="E67" s="334">
        <v>0</v>
      </c>
      <c r="F67" s="334">
        <v>0</v>
      </c>
    </row>
    <row r="68" spans="1:6">
      <c r="A68" s="341" t="s">
        <v>56</v>
      </c>
      <c r="B68" s="341" t="s">
        <v>60</v>
      </c>
      <c r="C68" s="334">
        <v>0</v>
      </c>
      <c r="D68" s="334">
        <v>0</v>
      </c>
      <c r="E68" s="334">
        <v>6</v>
      </c>
      <c r="F68" s="334">
        <v>24400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73554597</v>
      </c>
      <c r="E73" s="475">
        <v>95900412.44961448</v>
      </c>
    </row>
    <row r="74" spans="1:6">
      <c r="A74" s="348" t="s">
        <v>64</v>
      </c>
      <c r="B74" s="348" t="s">
        <v>657</v>
      </c>
      <c r="C74" s="1295" t="s">
        <v>659</v>
      </c>
      <c r="D74" s="475">
        <v>8124888</v>
      </c>
      <c r="E74" s="475">
        <v>9735977.8653685488</v>
      </c>
    </row>
    <row r="75" spans="1:6">
      <c r="A75" s="348" t="s">
        <v>65</v>
      </c>
      <c r="B75" s="348" t="s">
        <v>656</v>
      </c>
      <c r="C75" s="1295" t="s">
        <v>660</v>
      </c>
      <c r="D75" s="475">
        <v>25222796</v>
      </c>
      <c r="E75" s="475">
        <v>33647978.84314312</v>
      </c>
    </row>
    <row r="76" spans="1:6">
      <c r="A76" s="348" t="s">
        <v>65</v>
      </c>
      <c r="B76" s="348" t="s">
        <v>657</v>
      </c>
      <c r="C76" s="1295" t="s">
        <v>661</v>
      </c>
      <c r="D76" s="475">
        <v>857912</v>
      </c>
      <c r="E76" s="475">
        <v>1042018.637706507</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294922</v>
      </c>
      <c r="C83" s="475">
        <v>301572.61100344546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4392.5093336480695</v>
      </c>
    </row>
    <row r="92" spans="1:6">
      <c r="A92" s="341" t="s">
        <v>69</v>
      </c>
      <c r="B92" s="342">
        <v>2927.981370602422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593</v>
      </c>
    </row>
    <row r="98" spans="1:6">
      <c r="A98" s="348" t="s">
        <v>72</v>
      </c>
      <c r="B98" s="334">
        <v>3</v>
      </c>
    </row>
    <row r="99" spans="1:6">
      <c r="A99" s="348" t="s">
        <v>73</v>
      </c>
      <c r="B99" s="334">
        <v>14</v>
      </c>
    </row>
    <row r="100" spans="1:6">
      <c r="A100" s="348" t="s">
        <v>74</v>
      </c>
      <c r="B100" s="334">
        <v>235</v>
      </c>
    </row>
    <row r="101" spans="1:6">
      <c r="A101" s="348" t="s">
        <v>75</v>
      </c>
      <c r="B101" s="334">
        <v>54</v>
      </c>
    </row>
    <row r="102" spans="1:6">
      <c r="A102" s="348" t="s">
        <v>76</v>
      </c>
      <c r="B102" s="334">
        <v>46</v>
      </c>
    </row>
    <row r="103" spans="1:6">
      <c r="A103" s="348" t="s">
        <v>77</v>
      </c>
      <c r="B103" s="334">
        <v>114</v>
      </c>
    </row>
    <row r="104" spans="1:6">
      <c r="A104" s="348" t="s">
        <v>78</v>
      </c>
      <c r="B104" s="334">
        <v>3288</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18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157</v>
      </c>
    </row>
    <row r="130" spans="1:6">
      <c r="A130" s="348" t="s">
        <v>295</v>
      </c>
      <c r="B130" s="334">
        <v>3</v>
      </c>
    </row>
    <row r="131" spans="1:6">
      <c r="A131" s="348" t="s">
        <v>296</v>
      </c>
      <c r="B131" s="334">
        <v>2</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43431.98011335027</v>
      </c>
      <c r="C3" s="43" t="s">
        <v>170</v>
      </c>
      <c r="D3" s="43"/>
      <c r="E3" s="154"/>
      <c r="F3" s="43"/>
      <c r="G3" s="43"/>
      <c r="H3" s="43"/>
      <c r="I3" s="43"/>
      <c r="J3" s="43"/>
      <c r="K3" s="96"/>
    </row>
    <row r="4" spans="1:11">
      <c r="A4" s="383" t="s">
        <v>171</v>
      </c>
      <c r="B4" s="49">
        <f>IF(ISERROR('SEAP template'!B78+'SEAP template'!C78),0,'SEAP template'!B78+'SEAP template'!C78)</f>
        <v>11820.490704250491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0.16085242121538981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6428.5714285714284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920.11699999999996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920.11699999999996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0.16085242121538981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148.00304725144082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17362.265500000001</v>
      </c>
      <c r="C5" s="17">
        <f>IF(ISERROR('Eigen informatie GS &amp; warmtenet'!B57),0,'Eigen informatie GS &amp; warmtenet'!B57)</f>
        <v>0</v>
      </c>
      <c r="D5" s="30">
        <f>(SUM(HH_hh_gas_kWh,HH_rest_gas_kWh)/1000)*0.902</f>
        <v>32177.8066115</v>
      </c>
      <c r="E5" s="17">
        <f>B46*B57</f>
        <v>1036.3243125284428</v>
      </c>
      <c r="F5" s="17">
        <f>B51*B62</f>
        <v>45115.517130131149</v>
      </c>
      <c r="G5" s="18"/>
      <c r="H5" s="17"/>
      <c r="I5" s="17"/>
      <c r="J5" s="17">
        <f>B50*B61+C50*C61</f>
        <v>0</v>
      </c>
      <c r="K5" s="17"/>
      <c r="L5" s="17"/>
      <c r="M5" s="17"/>
      <c r="N5" s="17">
        <f>B48*B59+C48*C59</f>
        <v>13622.414137283287</v>
      </c>
      <c r="O5" s="17">
        <f>B69*B70*B71</f>
        <v>275.1466666666667</v>
      </c>
      <c r="P5" s="17">
        <f>B77*B78*B79/1000-B77*B78*B79/1000/B80</f>
        <v>838.93333333333339</v>
      </c>
    </row>
    <row r="6" spans="1:16">
      <c r="A6" s="16" t="s">
        <v>621</v>
      </c>
      <c r="B6" s="788">
        <f>kWh_PV_kleiner_dan_10kW</f>
        <v>4392.5093336480695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21754.774833648073</v>
      </c>
      <c r="C8" s="21">
        <f>C5</f>
        <v>0</v>
      </c>
      <c r="D8" s="21">
        <f>D5</f>
        <v>32177.8066115</v>
      </c>
      <c r="E8" s="21">
        <f>E5</f>
        <v>1036.3243125284428</v>
      </c>
      <c r="F8" s="21">
        <f>F5</f>
        <v>45115.517130131149</v>
      </c>
      <c r="G8" s="21"/>
      <c r="H8" s="21"/>
      <c r="I8" s="21"/>
      <c r="J8" s="21">
        <f>J5</f>
        <v>0</v>
      </c>
      <c r="K8" s="21"/>
      <c r="L8" s="21">
        <f>L5</f>
        <v>0</v>
      </c>
      <c r="M8" s="21">
        <f>M5</f>
        <v>0</v>
      </c>
      <c r="N8" s="21">
        <f>N5</f>
        <v>13622.414137283287</v>
      </c>
      <c r="O8" s="21">
        <f>O5</f>
        <v>275.1466666666667</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0.16085242121538981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3499.3082049879217</v>
      </c>
      <c r="C12" s="23">
        <f ca="1">C10*C8</f>
        <v>0</v>
      </c>
      <c r="D12" s="23">
        <f>D8*D10</f>
        <v>6499.9169355230006</v>
      </c>
      <c r="E12" s="23">
        <f>E10*E8</f>
        <v>235.24561894395652</v>
      </c>
      <c r="F12" s="23">
        <f>F10*F8</f>
        <v>12045.843073745018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593</v>
      </c>
      <c r="C18" s="166" t="s">
        <v>111</v>
      </c>
      <c r="D18" s="228"/>
      <c r="E18" s="15"/>
    </row>
    <row r="19" spans="1:7">
      <c r="A19" s="171" t="s">
        <v>72</v>
      </c>
      <c r="B19" s="37">
        <f>aantalw2001_ander</f>
        <v>3</v>
      </c>
      <c r="C19" s="166" t="s">
        <v>111</v>
      </c>
      <c r="D19" s="229"/>
      <c r="E19" s="15"/>
    </row>
    <row r="20" spans="1:7">
      <c r="A20" s="171" t="s">
        <v>73</v>
      </c>
      <c r="B20" s="37">
        <f>aantalw2001_propaan</f>
        <v>14</v>
      </c>
      <c r="C20" s="167">
        <f>IF(ISERROR(B20/SUM($B$20,$B$21,$B$22)*100),0,B20/SUM($B$20,$B$21,$B$22)*100)</f>
        <v>4.6204620462046204</v>
      </c>
      <c r="D20" s="229"/>
      <c r="E20" s="15"/>
    </row>
    <row r="21" spans="1:7">
      <c r="A21" s="171" t="s">
        <v>74</v>
      </c>
      <c r="B21" s="37">
        <f>aantalw2001_elektriciteit</f>
        <v>235</v>
      </c>
      <c r="C21" s="167">
        <f>IF(ISERROR(B21/SUM($B$20,$B$21,$B$22)*100),0,B21/SUM($B$20,$B$21,$B$22)*100)</f>
        <v>77.557755775577547</v>
      </c>
      <c r="D21" s="229"/>
      <c r="E21" s="15"/>
    </row>
    <row r="22" spans="1:7">
      <c r="A22" s="171" t="s">
        <v>75</v>
      </c>
      <c r="B22" s="37">
        <f>aantalw2001_hout</f>
        <v>54</v>
      </c>
      <c r="C22" s="167">
        <f>IF(ISERROR(B22/SUM($B$20,$B$21,$B$22)*100),0,B22/SUM($B$20,$B$21,$B$22)*100)</f>
        <v>17.82178217821782</v>
      </c>
      <c r="D22" s="229"/>
      <c r="E22" s="15"/>
    </row>
    <row r="23" spans="1:7">
      <c r="A23" s="171" t="s">
        <v>76</v>
      </c>
      <c r="B23" s="37">
        <f>aantalw2001_niet_gespec</f>
        <v>46</v>
      </c>
      <c r="C23" s="166" t="s">
        <v>111</v>
      </c>
      <c r="D23" s="228"/>
      <c r="E23" s="15"/>
    </row>
    <row r="24" spans="1:7">
      <c r="A24" s="171" t="s">
        <v>77</v>
      </c>
      <c r="B24" s="37">
        <f>aantalw2001_steenkool</f>
        <v>114</v>
      </c>
      <c r="C24" s="166" t="s">
        <v>111</v>
      </c>
      <c r="D24" s="229"/>
      <c r="E24" s="15"/>
    </row>
    <row r="25" spans="1:7">
      <c r="A25" s="171" t="s">
        <v>78</v>
      </c>
      <c r="B25" s="37">
        <f>aantalw2001_stookolie</f>
        <v>3288</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5156</v>
      </c>
      <c r="C28" s="36"/>
      <c r="D28" s="228"/>
    </row>
    <row r="29" spans="1:7" s="15" customFormat="1">
      <c r="A29" s="230" t="s">
        <v>794</v>
      </c>
      <c r="B29" s="37">
        <f>SUM(HH_hh_gas_aantal,HH_rest_gas_aantal)</f>
        <v>2310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2310</v>
      </c>
      <c r="C32" s="167">
        <f>IF(ISERROR(B32/SUM($B$32,$B$34,$B$35,$B$36,$B$38,$B$39)*100),0,B32/SUM($B$32,$B$34,$B$35,$B$36,$B$38,$B$39)*100)</f>
        <v>45.187793427230048</v>
      </c>
      <c r="D32" s="233"/>
      <c r="G32" s="15"/>
    </row>
    <row r="33" spans="1:7">
      <c r="A33" s="171" t="s">
        <v>72</v>
      </c>
      <c r="B33" s="34" t="s">
        <v>111</v>
      </c>
      <c r="C33" s="167"/>
      <c r="D33" s="233"/>
      <c r="G33" s="15"/>
    </row>
    <row r="34" spans="1:7">
      <c r="A34" s="171" t="s">
        <v>73</v>
      </c>
      <c r="B34" s="33">
        <f>IF((($B$28-$B$32-$B$39-$B$77-$B$38)*C20/100)&lt;0,0,($B$28-$B$32-$B$39-$B$77-$B$38)*C20/100)</f>
        <v>48.944554455445541</v>
      </c>
      <c r="C34" s="167">
        <f>IF(ISERROR(B34/SUM($B$32,$B$34,$B$35,$B$36,$B$38,$B$39)*100),0,B34/SUM($B$32,$B$34,$B$35,$B$36,$B$38,$B$39)*100)</f>
        <v>0.95744433598289391</v>
      </c>
      <c r="D34" s="233"/>
      <c r="G34" s="15"/>
    </row>
    <row r="35" spans="1:7">
      <c r="A35" s="171" t="s">
        <v>74</v>
      </c>
      <c r="B35" s="33">
        <f>IF((($B$28-$B$32-$B$39-$B$77-$B$38)*C21/100)&lt;0,0,($B$28-$B$32-$B$39-$B$77-$B$38)*C21/100)</f>
        <v>821.56930693069296</v>
      </c>
      <c r="C35" s="167">
        <f>IF(ISERROR(B35/SUM($B$32,$B$34,$B$35,$B$36,$B$38,$B$39)*100),0,B35/SUM($B$32,$B$34,$B$35,$B$36,$B$38,$B$39)*100)</f>
        <v>16.071387068284292</v>
      </c>
      <c r="D35" s="233"/>
      <c r="G35" s="15"/>
    </row>
    <row r="36" spans="1:7">
      <c r="A36" s="171" t="s">
        <v>75</v>
      </c>
      <c r="B36" s="33">
        <f>IF((($B$28-$B$32-$B$39-$B$77-$B$38)*C22/100)&lt;0,0,($B$28-$B$32-$B$39-$B$77-$B$38)*C22/100)</f>
        <v>188.78613861386137</v>
      </c>
      <c r="C36" s="167">
        <f>IF(ISERROR(B36/SUM($B$32,$B$34,$B$35,$B$36,$B$38,$B$39)*100),0,B36/SUM($B$32,$B$34,$B$35,$B$36,$B$38,$B$39)*100)</f>
        <v>3.6929995816483054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1742.7</v>
      </c>
      <c r="C39" s="167">
        <f>IF(ISERROR(B39/SUM($B$32,$B$34,$B$35,$B$36,$B$38,$B$39)*100),0,B39/SUM($B$32,$B$34,$B$35,$B$36,$B$38,$B$39)*100)</f>
        <v>34.090375586854464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2310</v>
      </c>
      <c r="C44" s="34" t="s">
        <v>111</v>
      </c>
      <c r="D44" s="174"/>
    </row>
    <row r="45" spans="1:7">
      <c r="A45" s="171" t="s">
        <v>72</v>
      </c>
      <c r="B45" s="33" t="str">
        <f t="shared" si="0"/>
        <v>-</v>
      </c>
      <c r="C45" s="34" t="s">
        <v>111</v>
      </c>
      <c r="D45" s="174"/>
    </row>
    <row r="46" spans="1:7">
      <c r="A46" s="171" t="s">
        <v>73</v>
      </c>
      <c r="B46" s="33">
        <f t="shared" si="0"/>
        <v>48.944554455445541</v>
      </c>
      <c r="C46" s="34" t="s">
        <v>111</v>
      </c>
      <c r="D46" s="174"/>
    </row>
    <row r="47" spans="1:7">
      <c r="A47" s="171" t="s">
        <v>74</v>
      </c>
      <c r="B47" s="33">
        <f t="shared" si="0"/>
        <v>821.56930693069296</v>
      </c>
      <c r="C47" s="34" t="s">
        <v>111</v>
      </c>
      <c r="D47" s="174"/>
    </row>
    <row r="48" spans="1:7">
      <c r="A48" s="171" t="s">
        <v>75</v>
      </c>
      <c r="B48" s="33">
        <f t="shared" si="0"/>
        <v>188.78613861386137</v>
      </c>
      <c r="C48" s="33">
        <f>B48*10</f>
        <v>1887.8613861386136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1742.7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12191.027597</v>
      </c>
      <c r="C5" s="17">
        <f>IF(ISERROR('Eigen informatie GS &amp; warmtenet'!B58),0,'Eigen informatie GS &amp; warmtenet'!B58)</f>
        <v>0</v>
      </c>
      <c r="D5" s="30">
        <f>SUM(D6:D12)</f>
        <v>9709.9170425400007</v>
      </c>
      <c r="E5" s="17">
        <f>SUM(E6:E12)</f>
        <v>223.89710342092911</v>
      </c>
      <c r="F5" s="17">
        <f>SUM(F6:F12)</f>
        <v>2121.9714379147763</v>
      </c>
      <c r="G5" s="18"/>
      <c r="H5" s="17"/>
      <c r="I5" s="17"/>
      <c r="J5" s="17">
        <f>SUM(J6:J12)</f>
        <v>2.1177721624399511E-2</v>
      </c>
      <c r="K5" s="17"/>
      <c r="L5" s="17"/>
      <c r="M5" s="17"/>
      <c r="N5" s="17">
        <f>SUM(N6:N12)</f>
        <v>858.22646351137598</v>
      </c>
      <c r="O5" s="17">
        <f>B38*B39*B40</f>
        <v>4.6900000000000004</v>
      </c>
      <c r="P5" s="17">
        <f>B46*B47*B48/1000-B46*B47*B48/1000/B49</f>
        <v>38.133333333333333</v>
      </c>
      <c r="R5" s="32"/>
    </row>
    <row r="6" spans="1:18">
      <c r="A6" s="32" t="s">
        <v>54</v>
      </c>
      <c r="B6" s="37">
        <f>B26</f>
        <v>2641.2585989999998</v>
      </c>
      <c r="C6" s="33"/>
      <c r="D6" s="37">
        <f>IF(ISERROR(TER_kantoor_gas_kWh/1000),0,TER_kantoor_gas_kWh/1000)*0.902</f>
        <v>1968.9923968000001</v>
      </c>
      <c r="E6" s="33">
        <f>$C$26*'E Balans VL '!I12/100/3.6*1000000</f>
        <v>1.6554530429684428E-2</v>
      </c>
      <c r="F6" s="33">
        <f>$C$26*('E Balans VL '!L12+'E Balans VL '!N12)/100/3.6*1000000</f>
        <v>396.90736362549751</v>
      </c>
      <c r="G6" s="34"/>
      <c r="H6" s="33"/>
      <c r="I6" s="33"/>
      <c r="J6" s="33">
        <f>$C$26*('E Balans VL '!D12+'E Balans VL '!E12)/100/3.6*1000000</f>
        <v>0</v>
      </c>
      <c r="K6" s="33"/>
      <c r="L6" s="33"/>
      <c r="M6" s="33"/>
      <c r="N6" s="33">
        <f>$C$26*'E Balans VL '!Y12/100/3.6*1000000</f>
        <v>2.5259722403793332</v>
      </c>
      <c r="O6" s="33"/>
      <c r="P6" s="33"/>
      <c r="R6" s="32"/>
    </row>
    <row r="7" spans="1:18">
      <c r="A7" s="32" t="s">
        <v>53</v>
      </c>
      <c r="B7" s="37">
        <f t="shared" ref="B7:B12" si="0">B27</f>
        <v>1910.371447</v>
      </c>
      <c r="C7" s="33"/>
      <c r="D7" s="37">
        <f>IF(ISERROR(TER_horeca_gas_kWh/1000),0,TER_horeca_gas_kWh/1000)*0.902</f>
        <v>3116.9455652060001</v>
      </c>
      <c r="E7" s="33">
        <f>$C$27*'E Balans VL '!I9/100/3.6*1000000</f>
        <v>27.356200913902065</v>
      </c>
      <c r="F7" s="33">
        <f>$C$27*('E Balans VL '!L9+'E Balans VL '!N9)/100/3.6*1000000</f>
        <v>241.91603166790105</v>
      </c>
      <c r="G7" s="34"/>
      <c r="H7" s="33"/>
      <c r="I7" s="33"/>
      <c r="J7" s="33">
        <f>$C$27*('E Balans VL '!D9+'E Balans VL '!E9)/100/3.6*1000000</f>
        <v>0</v>
      </c>
      <c r="K7" s="33"/>
      <c r="L7" s="33"/>
      <c r="M7" s="33"/>
      <c r="N7" s="33">
        <f>$C$27*'E Balans VL '!Y9/100/3.6*1000000</f>
        <v>0.54918967093766669</v>
      </c>
      <c r="O7" s="33"/>
      <c r="P7" s="33"/>
      <c r="R7" s="32"/>
    </row>
    <row r="8" spans="1:18">
      <c r="A8" s="6" t="s">
        <v>52</v>
      </c>
      <c r="B8" s="37">
        <f t="shared" si="0"/>
        <v>5347.2130480000005</v>
      </c>
      <c r="C8" s="33"/>
      <c r="D8" s="37">
        <f>IF(ISERROR(TER_handel_gas_kWh/1000),0,TER_handel_gas_kWh/1000)*0.902</f>
        <v>2076.4722786940001</v>
      </c>
      <c r="E8" s="33">
        <f>$C$28*'E Balans VL '!I13/100/3.6*1000000</f>
        <v>193.94275786218859</v>
      </c>
      <c r="F8" s="33">
        <f>$C$28*('E Balans VL '!L13+'E Balans VL '!N13)/100/3.6*1000000</f>
        <v>1029.9273770192774</v>
      </c>
      <c r="G8" s="34"/>
      <c r="H8" s="33"/>
      <c r="I8" s="33"/>
      <c r="J8" s="33">
        <f>$C$28*('E Balans VL '!D13+'E Balans VL '!E13)/100/3.6*1000000</f>
        <v>0</v>
      </c>
      <c r="K8" s="33"/>
      <c r="L8" s="33"/>
      <c r="M8" s="33"/>
      <c r="N8" s="33">
        <f>$C$28*'E Balans VL '!Y13/100/3.6*1000000</f>
        <v>7.4071204103308759</v>
      </c>
      <c r="O8" s="33"/>
      <c r="P8" s="33"/>
      <c r="R8" s="32"/>
    </row>
    <row r="9" spans="1:18">
      <c r="A9" s="32" t="s">
        <v>51</v>
      </c>
      <c r="B9" s="37">
        <f t="shared" si="0"/>
        <v>1227.598</v>
      </c>
      <c r="C9" s="33"/>
      <c r="D9" s="37">
        <f>IF(ISERROR(TER_gezond_gas_kWh/1000),0,TER_gezond_gas_kWh/1000)*0.902</f>
        <v>1427.16904264</v>
      </c>
      <c r="E9" s="33">
        <f>$C$29*'E Balans VL '!I10/100/3.6*1000000</f>
        <v>7.6859755140583866E-2</v>
      </c>
      <c r="F9" s="33">
        <f>$C$29*('E Balans VL '!L10+'E Balans VL '!N10)/100/3.6*1000000</f>
        <v>182.36342057995216</v>
      </c>
      <c r="G9" s="34"/>
      <c r="H9" s="33"/>
      <c r="I9" s="33"/>
      <c r="J9" s="33">
        <f>$C$29*('E Balans VL '!D10+'E Balans VL '!E10)/100/3.6*1000000</f>
        <v>0</v>
      </c>
      <c r="K9" s="33"/>
      <c r="L9" s="33"/>
      <c r="M9" s="33"/>
      <c r="N9" s="33">
        <f>$C$29*'E Balans VL '!Y10/100/3.6*1000000</f>
        <v>18.988604317081609</v>
      </c>
      <c r="O9" s="33"/>
      <c r="P9" s="33"/>
      <c r="R9" s="32"/>
    </row>
    <row r="10" spans="1:18">
      <c r="A10" s="32" t="s">
        <v>50</v>
      </c>
      <c r="B10" s="37">
        <f t="shared" si="0"/>
        <v>975.658503</v>
      </c>
      <c r="C10" s="33"/>
      <c r="D10" s="37">
        <f>IF(ISERROR(TER_ander_gas_kWh/1000),0,TER_ander_gas_kWh/1000)*0.902</f>
        <v>352.76191719999997</v>
      </c>
      <c r="E10" s="33">
        <f>$C$30*'E Balans VL '!I14/100/3.6*1000000</f>
        <v>1.1629500714321082</v>
      </c>
      <c r="F10" s="33">
        <f>$C$30*('E Balans VL '!L14+'E Balans VL '!N14)/100/3.6*1000000</f>
        <v>255.27563875508406</v>
      </c>
      <c r="G10" s="34"/>
      <c r="H10" s="33"/>
      <c r="I10" s="33"/>
      <c r="J10" s="33">
        <f>$C$30*('E Balans VL '!D14+'E Balans VL '!E14)/100/3.6*1000000</f>
        <v>2.1177721624399511E-2</v>
      </c>
      <c r="K10" s="33"/>
      <c r="L10" s="33"/>
      <c r="M10" s="33"/>
      <c r="N10" s="33">
        <f>$C$30*'E Balans VL '!Y14/100/3.6*1000000</f>
        <v>828.50532672008251</v>
      </c>
      <c r="O10" s="33"/>
      <c r="P10" s="33"/>
      <c r="R10" s="32"/>
    </row>
    <row r="11" spans="1:18">
      <c r="A11" s="32" t="s">
        <v>55</v>
      </c>
      <c r="B11" s="37">
        <f t="shared" si="0"/>
        <v>88.927999999999997</v>
      </c>
      <c r="C11" s="33"/>
      <c r="D11" s="37">
        <f>IF(ISERROR(TER_onderwijs_gas_kWh/1000),0,TER_onderwijs_gas_kWh/1000)*0.902</f>
        <v>767.57584200000008</v>
      </c>
      <c r="E11" s="33">
        <f>$C$31*'E Balans VL '!I11/100/3.6*1000000</f>
        <v>1.3417802878360974</v>
      </c>
      <c r="F11" s="33">
        <f>$C$31*('E Balans VL '!L11+'E Balans VL '!N11)/100/3.6*1000000</f>
        <v>15.581606267064368</v>
      </c>
      <c r="G11" s="34"/>
      <c r="H11" s="33"/>
      <c r="I11" s="33"/>
      <c r="J11" s="33">
        <f>$C$31*('E Balans VL '!D11+'E Balans VL '!E11)/100/3.6*1000000</f>
        <v>0</v>
      </c>
      <c r="K11" s="33"/>
      <c r="L11" s="33"/>
      <c r="M11" s="33"/>
      <c r="N11" s="33">
        <f>$C$31*'E Balans VL '!Y11/100/3.6*1000000</f>
        <v>0.25025015256401489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12191.027597</v>
      </c>
      <c r="C16" s="21">
        <f t="shared" ca="1" si="1"/>
        <v>0</v>
      </c>
      <c r="D16" s="21">
        <f t="shared" ca="1" si="1"/>
        <v>9709.9170425400007</v>
      </c>
      <c r="E16" s="21">
        <f t="shared" si="1"/>
        <v>223.89710342092911</v>
      </c>
      <c r="F16" s="21">
        <f t="shared" ca="1" si="1"/>
        <v>2121.9714379147763</v>
      </c>
      <c r="G16" s="21">
        <f t="shared" si="1"/>
        <v>0</v>
      </c>
      <c r="H16" s="21">
        <f t="shared" si="1"/>
        <v>0</v>
      </c>
      <c r="I16" s="21">
        <f t="shared" si="1"/>
        <v>0</v>
      </c>
      <c r="J16" s="21">
        <f t="shared" si="1"/>
        <v>2.1177721624399511E-2</v>
      </c>
      <c r="K16" s="21">
        <f t="shared" si="1"/>
        <v>0</v>
      </c>
      <c r="L16" s="21">
        <f t="shared" ca="1" si="1"/>
        <v>0</v>
      </c>
      <c r="M16" s="21">
        <f t="shared" si="1"/>
        <v>0</v>
      </c>
      <c r="N16" s="21">
        <f t="shared" ca="1" si="1"/>
        <v>858.22646351137598</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0.16085242121538981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1960.9563060810856</v>
      </c>
      <c r="C20" s="23">
        <f t="shared" ref="C20:P20" ca="1" si="2">C16*C18</f>
        <v>0</v>
      </c>
      <c r="D20" s="23">
        <f t="shared" ca="1" si="2"/>
        <v>1961.4032425930802</v>
      </c>
      <c r="E20" s="23">
        <f t="shared" si="2"/>
        <v>50.824642476550913</v>
      </c>
      <c r="F20" s="23">
        <f t="shared" ca="1" si="2"/>
        <v>566.56637392324535</v>
      </c>
      <c r="G20" s="23">
        <f t="shared" si="2"/>
        <v>0</v>
      </c>
      <c r="H20" s="23">
        <f t="shared" si="2"/>
        <v>0</v>
      </c>
      <c r="I20" s="23">
        <f t="shared" si="2"/>
        <v>0</v>
      </c>
      <c r="J20" s="23">
        <f t="shared" si="2"/>
        <v>7.496913455037427E-3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2641.2585989999998</v>
      </c>
      <c r="C26" s="39">
        <f>IF(ISERROR(B26*3.6/1000000/'E Balans VL '!Z12*100),0,B26*3.6/1000000/'E Balans VL '!Z12*100)</f>
        <v>5.5832022691268898E-2</v>
      </c>
      <c r="D26" s="237" t="s">
        <v>754</v>
      </c>
      <c r="F26" s="6"/>
    </row>
    <row r="27" spans="1:18">
      <c r="A27" s="231" t="s">
        <v>53</v>
      </c>
      <c r="B27" s="33">
        <f>IF(ISERROR(TER_horeca_ele_kWh/1000),0,TER_horeca_ele_kWh/1000)</f>
        <v>1910.371447</v>
      </c>
      <c r="C27" s="39">
        <f>IF(ISERROR(B27*3.6/1000000/'E Balans VL '!Z9*100),0,B27*3.6/1000000/'E Balans VL '!Z9*100)</f>
        <v>0.15059386913522116</v>
      </c>
      <c r="D27" s="237" t="s">
        <v>754</v>
      </c>
      <c r="F27" s="6"/>
    </row>
    <row r="28" spans="1:18">
      <c r="A28" s="171" t="s">
        <v>52</v>
      </c>
      <c r="B28" s="33">
        <f>IF(ISERROR(TER_handel_ele_kWh/1000),0,TER_handel_ele_kWh/1000)</f>
        <v>5347.2130480000005</v>
      </c>
      <c r="C28" s="39">
        <f>IF(ISERROR(B28*3.6/1000000/'E Balans VL '!Z13*100),0,B28*3.6/1000000/'E Balans VL '!Z13*100)</f>
        <v>0.15519772781466418</v>
      </c>
      <c r="D28" s="237" t="s">
        <v>754</v>
      </c>
      <c r="F28" s="6"/>
    </row>
    <row r="29" spans="1:18">
      <c r="A29" s="231" t="s">
        <v>51</v>
      </c>
      <c r="B29" s="33">
        <f>IF(ISERROR(TER_gezond_ele_kWh/1000),0,TER_gezond_ele_kWh/1000)</f>
        <v>1227.598</v>
      </c>
      <c r="C29" s="39">
        <f>IF(ISERROR(B29*3.6/1000000/'E Balans VL '!Z10*100),0,B29*3.6/1000000/'E Balans VL '!Z10*100)</f>
        <v>0.12928622709124513</v>
      </c>
      <c r="D29" s="237" t="s">
        <v>754</v>
      </c>
      <c r="F29" s="6"/>
    </row>
    <row r="30" spans="1:18">
      <c r="A30" s="231" t="s">
        <v>50</v>
      </c>
      <c r="B30" s="33">
        <f>IF(ISERROR(TER_ander_ele_kWh/1000),0,TER_ander_ele_kWh/1000)</f>
        <v>975.658503</v>
      </c>
      <c r="C30" s="39">
        <f>IF(ISERROR(B30*3.6/1000000/'E Balans VL '!Z14*100),0,B30*3.6/1000000/'E Balans VL '!Z14*100)</f>
        <v>7.1964783093252729E-2</v>
      </c>
      <c r="D30" s="237" t="s">
        <v>754</v>
      </c>
      <c r="F30" s="6"/>
    </row>
    <row r="31" spans="1:18">
      <c r="A31" s="231" t="s">
        <v>55</v>
      </c>
      <c r="B31" s="33">
        <f>IF(ISERROR(TER_onderwijs_ele_kWh/1000),0,TER_onderwijs_ele_kWh/1000)</f>
        <v>88.927999999999997</v>
      </c>
      <c r="C31" s="39">
        <f>IF(ISERROR(B31*3.6/1000000/'E Balans VL '!Z11*100),0,B31*3.6/1000000/'E Balans VL '!Z11*100)</f>
        <v>2.2084988032842697E-2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5110.8974570000009</v>
      </c>
      <c r="C5" s="17">
        <f>IF(ISERROR('Eigen informatie GS &amp; warmtenet'!B59),0,'Eigen informatie GS &amp; warmtenet'!B59)</f>
        <v>0</v>
      </c>
      <c r="D5" s="30">
        <f>SUM(D6:D15)</f>
        <v>1428.8172492000001</v>
      </c>
      <c r="E5" s="17">
        <f>SUM(E6:E15)</f>
        <v>444.77044854279387</v>
      </c>
      <c r="F5" s="17">
        <f>SUM(F6:F15)</f>
        <v>1609.5489038791875</v>
      </c>
      <c r="G5" s="18"/>
      <c r="H5" s="17"/>
      <c r="I5" s="17"/>
      <c r="J5" s="17">
        <f>SUM(J6:J15)</f>
        <v>1.4309473376557269</v>
      </c>
      <c r="K5" s="17"/>
      <c r="L5" s="17"/>
      <c r="M5" s="17"/>
      <c r="N5" s="17">
        <f>SUM(N6:N15)</f>
        <v>971.5503884080515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957.52973600000007</v>
      </c>
      <c r="C8" s="33"/>
      <c r="D8" s="37">
        <f>IF( ISERROR(IND_metaal_Gas_kWH/1000),0,IND_metaal_Gas_kWH/1000)*0.902</f>
        <v>252.99747000000002</v>
      </c>
      <c r="E8" s="33">
        <f>C30*'E Balans VL '!I18/100/3.6*1000000</f>
        <v>8.8035611315061839</v>
      </c>
      <c r="F8" s="33">
        <f>C30*'E Balans VL '!L18/100/3.6*1000000+C30*'E Balans VL '!N18/100/3.6*1000000</f>
        <v>89.784409844910371</v>
      </c>
      <c r="G8" s="34"/>
      <c r="H8" s="33"/>
      <c r="I8" s="33"/>
      <c r="J8" s="40">
        <f>C30*'E Balans VL '!D18/100/3.6*1000000+C30*'E Balans VL '!E18/100/3.6*1000000</f>
        <v>0</v>
      </c>
      <c r="K8" s="33"/>
      <c r="L8" s="33"/>
      <c r="M8" s="33"/>
      <c r="N8" s="33">
        <f>C30*'E Balans VL '!Y18/100/3.6*1000000</f>
        <v>13.660744068564613</v>
      </c>
      <c r="O8" s="33"/>
      <c r="P8" s="33"/>
      <c r="R8" s="32"/>
    </row>
    <row r="9" spans="1:18">
      <c r="A9" s="6" t="s">
        <v>33</v>
      </c>
      <c r="B9" s="37">
        <f t="shared" si="0"/>
        <v>1392.639171</v>
      </c>
      <c r="C9" s="33"/>
      <c r="D9" s="37">
        <f>IF( ISERROR(IND_andere_gas_kWh/1000),0,IND_andere_gas_kWh/1000)*0.902</f>
        <v>796.95668799999999</v>
      </c>
      <c r="E9" s="33">
        <f>C31*'E Balans VL '!I19/100/3.6*1000000</f>
        <v>407.09554117017797</v>
      </c>
      <c r="F9" s="33">
        <f>C31*'E Balans VL '!L19/100/3.6*1000000+C31*'E Balans VL '!N19/100/3.6*1000000</f>
        <v>1119.090986997765</v>
      </c>
      <c r="G9" s="34"/>
      <c r="H9" s="33"/>
      <c r="I9" s="33"/>
      <c r="J9" s="40">
        <f>C31*'E Balans VL '!D19/100/3.6*1000000+C31*'E Balans VL '!E19/100/3.6*1000000</f>
        <v>0</v>
      </c>
      <c r="K9" s="33"/>
      <c r="L9" s="33"/>
      <c r="M9" s="33"/>
      <c r="N9" s="33">
        <f>C31*'E Balans VL '!Y19/100/3.6*1000000</f>
        <v>460.14958040062129</v>
      </c>
      <c r="O9" s="33"/>
      <c r="P9" s="33"/>
      <c r="R9" s="32"/>
    </row>
    <row r="10" spans="1:18">
      <c r="A10" s="6" t="s">
        <v>41</v>
      </c>
      <c r="B10" s="37">
        <f t="shared" si="0"/>
        <v>1849.3219999999999</v>
      </c>
      <c r="C10" s="33"/>
      <c r="D10" s="37">
        <f>IF( ISERROR(IND_voed_gas_kWh/1000),0,IND_voed_gas_kWh/1000)*0.902</f>
        <v>189.774486</v>
      </c>
      <c r="E10" s="33">
        <f>C32*'E Balans VL '!I20/100/3.6*1000000</f>
        <v>3.912269365077222</v>
      </c>
      <c r="F10" s="33">
        <f>C32*'E Balans VL '!L20/100/3.6*1000000+C32*'E Balans VL '!N20/100/3.6*1000000</f>
        <v>117.58178178702815</v>
      </c>
      <c r="G10" s="34"/>
      <c r="H10" s="33"/>
      <c r="I10" s="33"/>
      <c r="J10" s="40">
        <f>C32*'E Balans VL '!D20/100/3.6*1000000+C32*'E Balans VL '!E20/100/3.6*1000000</f>
        <v>0</v>
      </c>
      <c r="K10" s="33"/>
      <c r="L10" s="33"/>
      <c r="M10" s="33"/>
      <c r="N10" s="33">
        <f>C32*'E Balans VL '!Y20/100/3.6*1000000</f>
        <v>127.62146755541627</v>
      </c>
      <c r="O10" s="33"/>
      <c r="P10" s="33"/>
      <c r="R10" s="32"/>
    </row>
    <row r="11" spans="1:18">
      <c r="A11" s="6" t="s">
        <v>40</v>
      </c>
      <c r="B11" s="37">
        <f t="shared" si="0"/>
        <v>20.193000000000001</v>
      </c>
      <c r="C11" s="33"/>
      <c r="D11" s="37">
        <f>IF( ISERROR(IND_textiel_gas_kWh/1000),0,IND_textiel_gas_kWh/1000)*0.902</f>
        <v>0</v>
      </c>
      <c r="E11" s="33">
        <f>C33*'E Balans VL '!I21/100/3.6*1000000</f>
        <v>5.9971469028711206E-2</v>
      </c>
      <c r="F11" s="33">
        <f>C33*'E Balans VL '!L21/100/3.6*1000000+C33*'E Balans VL '!N21/100/3.6*1000000</f>
        <v>2.0400473809767652</v>
      </c>
      <c r="G11" s="34"/>
      <c r="H11" s="33"/>
      <c r="I11" s="33"/>
      <c r="J11" s="40">
        <f>C33*'E Balans VL '!D21/100/3.6*1000000+C33*'E Balans VL '!E21/100/3.6*1000000</f>
        <v>0</v>
      </c>
      <c r="K11" s="33"/>
      <c r="L11" s="33"/>
      <c r="M11" s="33"/>
      <c r="N11" s="33">
        <f>C33*'E Balans VL '!Y21/100/3.6*1000000</f>
        <v>1.113708393016396</v>
      </c>
      <c r="O11" s="33"/>
      <c r="P11" s="33"/>
      <c r="R11" s="32"/>
    </row>
    <row r="12" spans="1:18">
      <c r="A12" s="6" t="s">
        <v>37</v>
      </c>
      <c r="B12" s="37">
        <f t="shared" si="0"/>
        <v>794.23800000000006</v>
      </c>
      <c r="C12" s="33"/>
      <c r="D12" s="37">
        <f>IF( ISERROR(IND_min_gas_kWh/1000),0,IND_min_gas_kWh/1000)*0.902</f>
        <v>0</v>
      </c>
      <c r="E12" s="33">
        <f>C34*'E Balans VL '!I22/100/3.6*1000000</f>
        <v>23.021689214675899</v>
      </c>
      <c r="F12" s="33">
        <f>C34*'E Balans VL '!L22/100/3.6*1000000+C34*'E Balans VL '!N22/100/3.6*1000000</f>
        <v>273.06799948942864</v>
      </c>
      <c r="G12" s="34"/>
      <c r="H12" s="33"/>
      <c r="I12" s="33"/>
      <c r="J12" s="40">
        <f>C34*'E Balans VL '!D22/100/3.6*1000000+C34*'E Balans VL '!E22/100/3.6*1000000</f>
        <v>1.3051723740512289</v>
      </c>
      <c r="K12" s="33"/>
      <c r="L12" s="33"/>
      <c r="M12" s="33"/>
      <c r="N12" s="33">
        <f>C34*'E Balans VL '!Y22/100/3.6*1000000</f>
        <v>173.87175014440331</v>
      </c>
      <c r="O12" s="33"/>
      <c r="P12" s="33"/>
      <c r="R12" s="32"/>
    </row>
    <row r="13" spans="1:18">
      <c r="A13" s="6" t="s">
        <v>39</v>
      </c>
      <c r="B13" s="37">
        <f t="shared" si="0"/>
        <v>64.635000000000005</v>
      </c>
      <c r="C13" s="33"/>
      <c r="D13" s="37">
        <f>IF( ISERROR(IND_papier_gas_kWh/1000),0,IND_papier_gas_kWh/1000)*0.902</f>
        <v>89.612798000000012</v>
      </c>
      <c r="E13" s="33">
        <f>C35*'E Balans VL '!I23/100/3.6*1000000</f>
        <v>9.1702283090251663E-2</v>
      </c>
      <c r="F13" s="33">
        <f>C35*'E Balans VL '!L23/100/3.6*1000000+C35*'E Balans VL '!N23/100/3.6*1000000</f>
        <v>1.5779833932700715</v>
      </c>
      <c r="G13" s="34"/>
      <c r="H13" s="33"/>
      <c r="I13" s="33"/>
      <c r="J13" s="40">
        <f>C35*'E Balans VL '!D23/100/3.6*1000000+C35*'E Balans VL '!E23/100/3.6*1000000</f>
        <v>9.9964095803586981E-3</v>
      </c>
      <c r="K13" s="33"/>
      <c r="L13" s="33"/>
      <c r="M13" s="33"/>
      <c r="N13" s="33">
        <f>C35*'E Balans VL '!Y23/100/3.6*1000000</f>
        <v>187.87864484458498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32.34055</v>
      </c>
      <c r="C15" s="33"/>
      <c r="D15" s="37">
        <f>IF( ISERROR(IND_rest_gas_kWh/1000),0,IND_rest_gas_kWh/1000)*0.902</f>
        <v>99.475807200000006</v>
      </c>
      <c r="E15" s="33">
        <f>C37*'E Balans VL '!I15/100/3.6*1000000</f>
        <v>1.7857139092376504</v>
      </c>
      <c r="F15" s="33">
        <f>C37*'E Balans VL '!L15/100/3.6*1000000+C37*'E Balans VL '!N15/100/3.6*1000000</f>
        <v>6.4056949858083119</v>
      </c>
      <c r="G15" s="34"/>
      <c r="H15" s="33"/>
      <c r="I15" s="33"/>
      <c r="J15" s="40">
        <f>C37*'E Balans VL '!D15/100/3.6*1000000+C37*'E Balans VL '!E15/100/3.6*1000000</f>
        <v>0.11577855402413949</v>
      </c>
      <c r="K15" s="33"/>
      <c r="L15" s="33"/>
      <c r="M15" s="33"/>
      <c r="N15" s="33">
        <f>C37*'E Balans VL '!Y15/100/3.6*1000000</f>
        <v>7.2544930014446596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5110.8974570000009</v>
      </c>
      <c r="C18" s="21">
        <f>C5+C16</f>
        <v>0</v>
      </c>
      <c r="D18" s="21">
        <f>MAX((D5+D16),0)</f>
        <v>1428.8172492000001</v>
      </c>
      <c r="E18" s="21">
        <f>MAX((E5+E16),0)</f>
        <v>444.77044854279387</v>
      </c>
      <c r="F18" s="21">
        <f>MAX((F5+F16),0)</f>
        <v>1609.5489038791875</v>
      </c>
      <c r="G18" s="21"/>
      <c r="H18" s="21"/>
      <c r="I18" s="21"/>
      <c r="J18" s="21">
        <f>MAX((J5+J16),0)</f>
        <v>1.4309473376557269</v>
      </c>
      <c r="K18" s="21"/>
      <c r="L18" s="21">
        <f>MAX((L5+L16),0)</f>
        <v>0</v>
      </c>
      <c r="M18" s="21"/>
      <c r="N18" s="21">
        <f>MAX((N5+N16),0)</f>
        <v>971.5503884080515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0.16085242121538981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822.10023054202884</v>
      </c>
      <c r="C22" s="23">
        <f ca="1">C18*C20</f>
        <v>0</v>
      </c>
      <c r="D22" s="23">
        <f>D18*D20</f>
        <v>288.62108433840007</v>
      </c>
      <c r="E22" s="23">
        <f>E18*E20</f>
        <v>100.96289181921421</v>
      </c>
      <c r="F22" s="23">
        <f>F18*F20</f>
        <v>429.74955733574308</v>
      </c>
      <c r="G22" s="23"/>
      <c r="H22" s="23"/>
      <c r="I22" s="23"/>
      <c r="J22" s="23">
        <f>J18*J20</f>
        <v>0.50655535753012726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957.52973600000007</v>
      </c>
      <c r="C30" s="39">
        <f>IF(ISERROR(B30*3.6/1000000/'E Balans VL '!Z18*100),0,B30*3.6/1000000/'E Balans VL '!Z18*100)</f>
        <v>5.4265665405949445E-2</v>
      </c>
      <c r="D30" s="237" t="s">
        <v>754</v>
      </c>
    </row>
    <row r="31" spans="1:18">
      <c r="A31" s="6" t="s">
        <v>33</v>
      </c>
      <c r="B31" s="37">
        <f>IF( ISERROR(IND_ander_ele_kWh/1000),0,IND_ander_ele_kWh/1000)</f>
        <v>1392.639171</v>
      </c>
      <c r="C31" s="39">
        <f>IF(ISERROR(B31*3.6/1000000/'E Balans VL '!Z19*100),0,B31*3.6/1000000/'E Balans VL '!Z19*100)</f>
        <v>6.3164313947979139E-2</v>
      </c>
      <c r="D31" s="237" t="s">
        <v>754</v>
      </c>
    </row>
    <row r="32" spans="1:18">
      <c r="A32" s="171" t="s">
        <v>41</v>
      </c>
      <c r="B32" s="37">
        <f>IF( ISERROR(IND_voed_ele_kWh/1000),0,IND_voed_ele_kWh/1000)</f>
        <v>1849.3219999999999</v>
      </c>
      <c r="C32" s="39">
        <f>IF(ISERROR(B32*3.6/1000000/'E Balans VL '!Z20*100),0,B32*3.6/1000000/'E Balans VL '!Z20*100)</f>
        <v>5.7207924673026045E-2</v>
      </c>
      <c r="D32" s="237" t="s">
        <v>754</v>
      </c>
    </row>
    <row r="33" spans="1:5">
      <c r="A33" s="171" t="s">
        <v>40</v>
      </c>
      <c r="B33" s="37">
        <f>IF( ISERROR(IND_textiel_ele_kWh/1000),0,IND_textiel_ele_kWh/1000)</f>
        <v>20.193000000000001</v>
      </c>
      <c r="C33" s="39">
        <f>IF(ISERROR(B33*3.6/1000000/'E Balans VL '!Z21*100),0,B33*3.6/1000000/'E Balans VL '!Z21*100)</f>
        <v>2.6329427433756385E-3</v>
      </c>
      <c r="D33" s="237" t="s">
        <v>754</v>
      </c>
    </row>
    <row r="34" spans="1:5">
      <c r="A34" s="171" t="s">
        <v>37</v>
      </c>
      <c r="B34" s="37">
        <f>IF( ISERROR(IND_min_ele_kWh/1000),0,IND_min_ele_kWh/1000)</f>
        <v>794.23800000000006</v>
      </c>
      <c r="C34" s="39">
        <f>IF(ISERROR(B34*3.6/1000000/'E Balans VL '!Z22*100),0,B34*3.6/1000000/'E Balans VL '!Z22*100)</f>
        <v>0.14285863625978848</v>
      </c>
      <c r="D34" s="237" t="s">
        <v>754</v>
      </c>
    </row>
    <row r="35" spans="1:5">
      <c r="A35" s="171" t="s">
        <v>39</v>
      </c>
      <c r="B35" s="37">
        <f>IF( ISERROR(IND_papier_ele_kWh/1000),0,IND_papier_ele_kWh/1000)</f>
        <v>64.635000000000005</v>
      </c>
      <c r="C35" s="39">
        <f>IF(ISERROR(B35*3.6/1000000/'E Balans VL '!Z22*100),0,B35*3.6/1000000/'E Balans VL '!Z22*100)</f>
        <v>1.1625819911224885E-2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32.34055</v>
      </c>
      <c r="C37" s="39">
        <f>IF(ISERROR(B37*3.6/1000000/'E Balans VL '!Z15*100),0,B37*3.6/1000000/'E Balans VL '!Z15*100)</f>
        <v>2.563385767227704E-4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2995.6214219999997</v>
      </c>
      <c r="C5" s="17">
        <f>'Eigen informatie GS &amp; warmtenet'!B60</f>
        <v>0</v>
      </c>
      <c r="D5" s="30">
        <f>IF(ISERROR(SUM(LB_lb_gas_kWh,LB_rest_gas_kWh)/1000),0,SUM(LB_lb_gas_kWh,LB_rest_gas_kWh)/1000)*0.902</f>
        <v>2391.3899479359998</v>
      </c>
      <c r="E5" s="17">
        <f>B17*'E Balans VL '!I25/3.6*1000000/100</f>
        <v>88.050463276473025</v>
      </c>
      <c r="F5" s="17">
        <f>B17*('E Balans VL '!L25/3.6*1000000+'E Balans VL '!N25/3.6*1000000)/100</f>
        <v>12479.596969166792</v>
      </c>
      <c r="G5" s="18"/>
      <c r="H5" s="17"/>
      <c r="I5" s="17"/>
      <c r="J5" s="17">
        <f>('E Balans VL '!D25+'E Balans VL '!E25)/3.6*1000000*landbouw!B17/100</f>
        <v>434.00121234136481</v>
      </c>
      <c r="K5" s="17"/>
      <c r="L5" s="17">
        <f>L6*(-1)</f>
        <v>0</v>
      </c>
      <c r="M5" s="17"/>
      <c r="N5" s="17">
        <f>N6*(-1)</f>
        <v>12857.142857142859</v>
      </c>
      <c r="O5" s="17"/>
      <c r="P5" s="17"/>
      <c r="R5" s="32"/>
    </row>
    <row r="6" spans="1:18">
      <c r="A6" s="16" t="s">
        <v>488</v>
      </c>
      <c r="B6" s="17" t="s">
        <v>211</v>
      </c>
      <c r="C6" s="17">
        <f>'lokale energieproductie'!O92+'lokale energieproductie'!O61</f>
        <v>6428.5714285714284</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-12857.142857142859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2995.6214219999997</v>
      </c>
      <c r="C8" s="21">
        <f>C5+C6</f>
        <v>6428.5714285714284</v>
      </c>
      <c r="D8" s="21">
        <f>MAX((D5+D6),0)</f>
        <v>2391.3899479359998</v>
      </c>
      <c r="E8" s="21">
        <f>MAX((E5+E6),0)</f>
        <v>88.050463276473025</v>
      </c>
      <c r="F8" s="21">
        <f>MAX((F5+F6),0)</f>
        <v>12479.596969166792</v>
      </c>
      <c r="G8" s="21"/>
      <c r="H8" s="21"/>
      <c r="I8" s="21"/>
      <c r="J8" s="21">
        <f>MAX((J5+J6),0)</f>
        <v>434.00121234136481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0.16085242121538981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481.85295877338893</v>
      </c>
      <c r="C12" s="23">
        <f ca="1">C8*C10</f>
        <v>0</v>
      </c>
      <c r="D12" s="23">
        <f>D8*D10</f>
        <v>483.06076948307197</v>
      </c>
      <c r="E12" s="23">
        <f>E8*E10</f>
        <v>19.987455163759378</v>
      </c>
      <c r="F12" s="23">
        <f>F8*F10</f>
        <v>3332.0523907675338</v>
      </c>
      <c r="G12" s="23"/>
      <c r="H12" s="23"/>
      <c r="I12" s="23"/>
      <c r="J12" s="23">
        <f>J8*J10</f>
        <v>153.63642916884314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0.42508807825738726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173.56273766466492</v>
      </c>
      <c r="C26" s="247">
        <f>B26*'GWP N2O_CH4'!B5</f>
        <v>3644.8174909579634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36.981144846811056</v>
      </c>
      <c r="C27" s="247">
        <f>B27*'GWP N2O_CH4'!B5</f>
        <v>776.60404178303213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2.8434550385832211</v>
      </c>
      <c r="C28" s="247">
        <f>B28*'GWP N2O_CH4'!B4</f>
        <v>881.47106196079858</v>
      </c>
      <c r="D28" s="50"/>
    </row>
    <row r="29" spans="1:4">
      <c r="A29" s="41" t="s">
        <v>277</v>
      </c>
      <c r="B29" s="247">
        <f>B34*'ha_N2O bodem landbouw'!B4</f>
        <v>14.97899192641057</v>
      </c>
      <c r="C29" s="247">
        <f>B29*'GWP N2O_CH4'!B4</f>
        <v>4643.4874971872769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3.4181543377042952E-3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1.3989367332792034E-4</v>
      </c>
      <c r="C5" s="463" t="s">
        <v>211</v>
      </c>
      <c r="D5" s="448">
        <f>SUM(D6:D11)</f>
        <v>5.0296073701113224E-4</v>
      </c>
      <c r="E5" s="448">
        <f>SUM(E6:E11)</f>
        <v>6.6788711280768218E-4</v>
      </c>
      <c r="F5" s="461" t="s">
        <v>211</v>
      </c>
      <c r="G5" s="448">
        <f>SUM(G6:G11)</f>
        <v>0.25500801665792322</v>
      </c>
      <c r="H5" s="448">
        <f>SUM(H6:H11)</f>
        <v>5.6620753201702283E-2</v>
      </c>
      <c r="I5" s="463" t="s">
        <v>211</v>
      </c>
      <c r="J5" s="463" t="s">
        <v>211</v>
      </c>
      <c r="K5" s="463" t="s">
        <v>211</v>
      </c>
      <c r="L5" s="463" t="s">
        <v>211</v>
      </c>
      <c r="M5" s="448">
        <f>SUM(M6:M11)</f>
        <v>1.6569267753516862E-2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1.0417183985089411E-4</v>
      </c>
      <c r="C6" s="449"/>
      <c r="D6" s="892">
        <f>vkm_2011_GW_PW*SUMIFS(TableVerdeelsleutelVkm[CNG],TableVerdeelsleutelVkm[Voertuigtype],"Lichte voertuigen")*SUMIFS(TableECFTransport[EnergieConsumptieFactor (PJ per km)],TableECFTransport[Index],CONCATENATE($A6,"_CNG_CNG"))</f>
        <v>3.1245573035509238E-4</v>
      </c>
      <c r="E6" s="892">
        <f>vkm_2011_GW_PW*SUMIFS(TableVerdeelsleutelVkm[LPG],TableVerdeelsleutelVkm[Voertuigtype],"Lichte voertuigen")*SUMIFS(TableECFTransport[EnergieConsumptieFactor (PJ per km)],TableECFTransport[Index],CONCATENATE($A6,"_LPG_LPG"))</f>
        <v>4.2685940971883289E-4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0.11036627581381656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3.5538244044842612E-2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7.4964671679475826E-3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7.6244347823126807E-2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2.3237727923469051E-5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4.4554624529549612E-3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3.5721833477026226E-5</v>
      </c>
      <c r="C8" s="449"/>
      <c r="D8" s="451">
        <f>vkm_2011_NGW_PW*SUMIFS(TableVerdeelsleutelVkm[CNG],TableVerdeelsleutelVkm[Voertuigtype],"Lichte voertuigen")*SUMIFS(TableECFTransport[EnergieConsumptieFactor (PJ per km)],TableECFTransport[Index],CONCATENATE($A8,"_CNG_CNG"))</f>
        <v>1.9050500665603981E-4</v>
      </c>
      <c r="E8" s="451">
        <f>vkm_2011_NGW_PW*SUMIFS(TableVerdeelsleutelVkm[LPG],TableVerdeelsleutelVkm[Voertuigtype],"Lichte voertuigen")*SUMIFS(TableECFTransport[EnergieConsumptieFactor (PJ per km)],TableECFTransport[Index],CONCATENATE($A8,"_LPG_LPG"))</f>
        <v>2.4102770308884932E-4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5.8074448651440215E-2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2.1056309531285036E-2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4.0141055270887047E-3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1.0322944369539663E-2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2.9618976511626316E-6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6.032326055256152E-4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38.859353702200096</v>
      </c>
      <c r="C14" s="21"/>
      <c r="D14" s="21">
        <f t="shared" ref="D14:M14" si="0">((D5)*10^9/3600)+D12</f>
        <v>139.71131583642563</v>
      </c>
      <c r="E14" s="21">
        <f t="shared" si="0"/>
        <v>185.52419800213391</v>
      </c>
      <c r="F14" s="21"/>
      <c r="G14" s="21">
        <f t="shared" si="0"/>
        <v>70835.560182756453</v>
      </c>
      <c r="H14" s="21">
        <f t="shared" si="0"/>
        <v>15727.987000472856</v>
      </c>
      <c r="I14" s="21"/>
      <c r="J14" s="21"/>
      <c r="K14" s="21"/>
      <c r="L14" s="21"/>
      <c r="M14" s="21">
        <f t="shared" si="0"/>
        <v>4602.5743759769066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0.16085242121538981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6.2506211298641077</v>
      </c>
      <c r="C18" s="23"/>
      <c r="D18" s="23">
        <f t="shared" ref="D18:M18" si="1">D14*D16</f>
        <v>28.221685798957978</v>
      </c>
      <c r="E18" s="23">
        <f t="shared" si="1"/>
        <v>42.113992946484402</v>
      </c>
      <c r="F18" s="23"/>
      <c r="G18" s="23">
        <f t="shared" si="1"/>
        <v>18913.094568795976</v>
      </c>
      <c r="H18" s="23">
        <f t="shared" si="1"/>
        <v>3916.2687631177414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3.7042665753310561E-3</v>
      </c>
      <c r="H50" s="321">
        <f t="shared" si="2"/>
        <v>0</v>
      </c>
      <c r="I50" s="321">
        <f t="shared" si="2"/>
        <v>0</v>
      </c>
      <c r="J50" s="321">
        <f t="shared" si="2"/>
        <v>0</v>
      </c>
      <c r="K50" s="321">
        <f t="shared" si="2"/>
        <v>0</v>
      </c>
      <c r="L50" s="321">
        <f t="shared" si="2"/>
        <v>0</v>
      </c>
      <c r="M50" s="321">
        <f t="shared" si="2"/>
        <v>2.1038598871105836E-4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3.7042665753310561E-3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2.1038598871105836E-4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1028.9629375919601</v>
      </c>
      <c r="H54" s="21">
        <f t="shared" si="3"/>
        <v>0</v>
      </c>
      <c r="I54" s="21">
        <f t="shared" si="3"/>
        <v>0</v>
      </c>
      <c r="J54" s="21">
        <f t="shared" si="3"/>
        <v>0</v>
      </c>
      <c r="K54" s="21">
        <f t="shared" si="3"/>
        <v>0</v>
      </c>
      <c r="L54" s="21">
        <f t="shared" si="3"/>
        <v>0</v>
      </c>
      <c r="M54" s="21">
        <f t="shared" si="3"/>
        <v>58.440552419738438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0.16085242121538981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274.73310433705336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13111.144597</v>
      </c>
      <c r="D10" s="1013">
        <f ca="1">tertiair!C16</f>
        <v>0</v>
      </c>
      <c r="E10" s="1013">
        <f ca="1">tertiair!D16</f>
        <v>9709.9170425400007</v>
      </c>
      <c r="F10" s="1013">
        <f>tertiair!E16</f>
        <v>223.89710342092911</v>
      </c>
      <c r="G10" s="1013">
        <f ca="1">tertiair!F16</f>
        <v>2121.9714379147763</v>
      </c>
      <c r="H10" s="1013">
        <f>tertiair!G16</f>
        <v>0</v>
      </c>
      <c r="I10" s="1013">
        <f>tertiair!H16</f>
        <v>0</v>
      </c>
      <c r="J10" s="1013">
        <f>tertiair!I16</f>
        <v>0</v>
      </c>
      <c r="K10" s="1013">
        <f>tertiair!J16</f>
        <v>2.1177721624399511E-2</v>
      </c>
      <c r="L10" s="1013">
        <f>tertiair!K16</f>
        <v>0</v>
      </c>
      <c r="M10" s="1013">
        <f ca="1">tertiair!L16</f>
        <v>0</v>
      </c>
      <c r="N10" s="1013">
        <f>tertiair!M16</f>
        <v>0</v>
      </c>
      <c r="O10" s="1013">
        <f ca="1">tertiair!N16</f>
        <v>858.22646351137598</v>
      </c>
      <c r="P10" s="1013">
        <f>tertiair!O16</f>
        <v>4.6900000000000004</v>
      </c>
      <c r="Q10" s="1014">
        <f>tertiair!P16</f>
        <v>38.133333333333333</v>
      </c>
      <c r="R10" s="700">
        <f ca="1">SUM(C10:Q10)</f>
        <v>26068.001155442038</v>
      </c>
      <c r="S10" s="67"/>
    </row>
    <row r="11" spans="1:19" s="473" customFormat="1">
      <c r="A11" s="809" t="s">
        <v>225</v>
      </c>
      <c r="B11" s="814"/>
      <c r="C11" s="1013">
        <f>huishoudens!B8</f>
        <v>21754.774833648073</v>
      </c>
      <c r="D11" s="1013">
        <f>huishoudens!C8</f>
        <v>0</v>
      </c>
      <c r="E11" s="1013">
        <f>huishoudens!D8</f>
        <v>32177.8066115</v>
      </c>
      <c r="F11" s="1013">
        <f>huishoudens!E8</f>
        <v>1036.3243125284428</v>
      </c>
      <c r="G11" s="1013">
        <f>huishoudens!F8</f>
        <v>45115.517130131149</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13622.414137283287</v>
      </c>
      <c r="P11" s="1013">
        <f>huishoudens!O8</f>
        <v>275.1466666666667</v>
      </c>
      <c r="Q11" s="1014">
        <f>huishoudens!P8</f>
        <v>838.93333333333339</v>
      </c>
      <c r="R11" s="700">
        <f>SUM(C11:Q11)</f>
        <v>114820.91702509094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5110.8974570000009</v>
      </c>
      <c r="D13" s="1013">
        <f>industrie!C18</f>
        <v>0</v>
      </c>
      <c r="E13" s="1013">
        <f>industrie!D18</f>
        <v>1428.8172492000001</v>
      </c>
      <c r="F13" s="1013">
        <f>industrie!E18</f>
        <v>444.77044854279387</v>
      </c>
      <c r="G13" s="1013">
        <f>industrie!F18</f>
        <v>1609.5489038791875</v>
      </c>
      <c r="H13" s="1013">
        <f>industrie!G18</f>
        <v>0</v>
      </c>
      <c r="I13" s="1013">
        <f>industrie!H18</f>
        <v>0</v>
      </c>
      <c r="J13" s="1013">
        <f>industrie!I18</f>
        <v>0</v>
      </c>
      <c r="K13" s="1013">
        <f>industrie!J18</f>
        <v>1.4309473376557269</v>
      </c>
      <c r="L13" s="1013">
        <f>industrie!K18</f>
        <v>0</v>
      </c>
      <c r="M13" s="1013">
        <f>industrie!L18</f>
        <v>0</v>
      </c>
      <c r="N13" s="1013">
        <f>industrie!M18</f>
        <v>0</v>
      </c>
      <c r="O13" s="1013">
        <f>industrie!N18</f>
        <v>971.5503884080515</v>
      </c>
      <c r="P13" s="1013">
        <f>industrie!O18</f>
        <v>0</v>
      </c>
      <c r="Q13" s="1014">
        <f>industrie!P18</f>
        <v>0</v>
      </c>
      <c r="R13" s="700">
        <f>SUM(C13:Q13)</f>
        <v>9567.0153943676905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39976.81688764807</v>
      </c>
      <c r="D16" s="732">
        <f t="shared" ref="D16:R16" ca="1" si="0">SUM(D9:D15)</f>
        <v>0</v>
      </c>
      <c r="E16" s="732">
        <f t="shared" ca="1" si="0"/>
        <v>43316.540903240006</v>
      </c>
      <c r="F16" s="732">
        <f t="shared" si="0"/>
        <v>1704.9918644921659</v>
      </c>
      <c r="G16" s="732">
        <f t="shared" ca="1" si="0"/>
        <v>48847.037471925112</v>
      </c>
      <c r="H16" s="732">
        <f t="shared" si="0"/>
        <v>0</v>
      </c>
      <c r="I16" s="732">
        <f t="shared" si="0"/>
        <v>0</v>
      </c>
      <c r="J16" s="732">
        <f t="shared" si="0"/>
        <v>0</v>
      </c>
      <c r="K16" s="732">
        <f t="shared" si="0"/>
        <v>1.4521250592801265</v>
      </c>
      <c r="L16" s="732">
        <f t="shared" si="0"/>
        <v>0</v>
      </c>
      <c r="M16" s="732">
        <f t="shared" ca="1" si="0"/>
        <v>0</v>
      </c>
      <c r="N16" s="732">
        <f t="shared" si="0"/>
        <v>0</v>
      </c>
      <c r="O16" s="732">
        <f t="shared" ca="1" si="0"/>
        <v>15452.190989202714</v>
      </c>
      <c r="P16" s="732">
        <f t="shared" si="0"/>
        <v>279.8366666666667</v>
      </c>
      <c r="Q16" s="732">
        <f t="shared" si="0"/>
        <v>877.06666666666672</v>
      </c>
      <c r="R16" s="732">
        <f t="shared" ca="1" si="0"/>
        <v>150455.93357490067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1028.9629375919601</v>
      </c>
      <c r="I19" s="1013">
        <f>transport!H54</f>
        <v>0</v>
      </c>
      <c r="J19" s="1013">
        <f>transport!I54</f>
        <v>0</v>
      </c>
      <c r="K19" s="1013">
        <f>transport!J54</f>
        <v>0</v>
      </c>
      <c r="L19" s="1013">
        <f>transport!K54</f>
        <v>0</v>
      </c>
      <c r="M19" s="1013">
        <f>transport!L54</f>
        <v>0</v>
      </c>
      <c r="N19" s="1013">
        <f>transport!M54</f>
        <v>58.440552419738438</v>
      </c>
      <c r="O19" s="1013">
        <f>transport!N54</f>
        <v>0</v>
      </c>
      <c r="P19" s="1013">
        <f>transport!O54</f>
        <v>0</v>
      </c>
      <c r="Q19" s="1014">
        <f>transport!P54</f>
        <v>0</v>
      </c>
      <c r="R19" s="700">
        <f>SUM(C19:Q19)</f>
        <v>1087.4034900116985</v>
      </c>
      <c r="S19" s="67"/>
    </row>
    <row r="20" spans="1:19" s="473" customFormat="1">
      <c r="A20" s="809" t="s">
        <v>307</v>
      </c>
      <c r="B20" s="814"/>
      <c r="C20" s="1013">
        <f>transport!B14</f>
        <v>38.859353702200096</v>
      </c>
      <c r="D20" s="1013">
        <f>transport!C14</f>
        <v>0</v>
      </c>
      <c r="E20" s="1013">
        <f>transport!D14</f>
        <v>139.71131583642563</v>
      </c>
      <c r="F20" s="1013">
        <f>transport!E14</f>
        <v>185.52419800213391</v>
      </c>
      <c r="G20" s="1013">
        <f>transport!F14</f>
        <v>0</v>
      </c>
      <c r="H20" s="1013">
        <f>transport!G14</f>
        <v>70835.560182756453</v>
      </c>
      <c r="I20" s="1013">
        <f>transport!H14</f>
        <v>15727.987000472856</v>
      </c>
      <c r="J20" s="1013">
        <f>transport!I14</f>
        <v>0</v>
      </c>
      <c r="K20" s="1013">
        <f>transport!J14</f>
        <v>0</v>
      </c>
      <c r="L20" s="1013">
        <f>transport!K14</f>
        <v>0</v>
      </c>
      <c r="M20" s="1013">
        <f>transport!L14</f>
        <v>0</v>
      </c>
      <c r="N20" s="1013">
        <f>transport!M14</f>
        <v>4602.5743759769066</v>
      </c>
      <c r="O20" s="1013">
        <f>transport!N14</f>
        <v>0</v>
      </c>
      <c r="P20" s="1013">
        <f>transport!O14</f>
        <v>0</v>
      </c>
      <c r="Q20" s="1014">
        <f>transport!P14</f>
        <v>0</v>
      </c>
      <c r="R20" s="700">
        <f>SUM(C20:Q20)</f>
        <v>91530.216426746978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38.859353702200096</v>
      </c>
      <c r="D22" s="812">
        <f t="shared" ref="D22:R22" si="1">SUM(D18:D21)</f>
        <v>0</v>
      </c>
      <c r="E22" s="812">
        <f t="shared" si="1"/>
        <v>139.71131583642563</v>
      </c>
      <c r="F22" s="812">
        <f t="shared" si="1"/>
        <v>185.52419800213391</v>
      </c>
      <c r="G22" s="812">
        <f t="shared" si="1"/>
        <v>0</v>
      </c>
      <c r="H22" s="812">
        <f t="shared" si="1"/>
        <v>71864.523120348415</v>
      </c>
      <c r="I22" s="812">
        <f t="shared" si="1"/>
        <v>15727.987000472856</v>
      </c>
      <c r="J22" s="812">
        <f t="shared" si="1"/>
        <v>0</v>
      </c>
      <c r="K22" s="812">
        <f t="shared" si="1"/>
        <v>0</v>
      </c>
      <c r="L22" s="812">
        <f t="shared" si="1"/>
        <v>0</v>
      </c>
      <c r="M22" s="812">
        <f t="shared" si="1"/>
        <v>0</v>
      </c>
      <c r="N22" s="812">
        <f t="shared" si="1"/>
        <v>4661.0149283966448</v>
      </c>
      <c r="O22" s="812">
        <f t="shared" si="1"/>
        <v>0</v>
      </c>
      <c r="P22" s="812">
        <f t="shared" si="1"/>
        <v>0</v>
      </c>
      <c r="Q22" s="812">
        <f t="shared" si="1"/>
        <v>0</v>
      </c>
      <c r="R22" s="812">
        <f t="shared" si="1"/>
        <v>92617.619916758675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2995.6214219999997</v>
      </c>
      <c r="D24" s="1013">
        <f>+landbouw!C8</f>
        <v>6428.5714285714284</v>
      </c>
      <c r="E24" s="1013">
        <f>+landbouw!D8</f>
        <v>2391.3899479359998</v>
      </c>
      <c r="F24" s="1013">
        <f>+landbouw!E8</f>
        <v>88.050463276473025</v>
      </c>
      <c r="G24" s="1013">
        <f>+landbouw!F8</f>
        <v>12479.596969166792</v>
      </c>
      <c r="H24" s="1013">
        <f>+landbouw!G8</f>
        <v>0</v>
      </c>
      <c r="I24" s="1013">
        <f>+landbouw!H8</f>
        <v>0</v>
      </c>
      <c r="J24" s="1013">
        <f>+landbouw!I8</f>
        <v>0</v>
      </c>
      <c r="K24" s="1013">
        <f>+landbouw!J8</f>
        <v>434.00121234136481</v>
      </c>
      <c r="L24" s="1013">
        <f>+landbouw!K8</f>
        <v>0</v>
      </c>
      <c r="M24" s="1013">
        <f>+landbouw!L8</f>
        <v>0</v>
      </c>
      <c r="N24" s="1013">
        <f>+landbouw!M8</f>
        <v>0</v>
      </c>
      <c r="O24" s="1013">
        <f>+landbouw!N8</f>
        <v>0</v>
      </c>
      <c r="P24" s="1013">
        <f>+landbouw!O8</f>
        <v>0</v>
      </c>
      <c r="Q24" s="1014">
        <f>+landbouw!P8</f>
        <v>0</v>
      </c>
      <c r="R24" s="700">
        <f>SUM(C24:Q24)</f>
        <v>24817.231443292058</v>
      </c>
      <c r="S24" s="67"/>
    </row>
    <row r="25" spans="1:19" s="473" customFormat="1" ht="15" thickBot="1">
      <c r="A25" s="831" t="s">
        <v>836</v>
      </c>
      <c r="B25" s="1016"/>
      <c r="C25" s="1017">
        <f>IF(Onbekend_ele_kWh="---",0,Onbekend_ele_kWh)/1000+IF(REST_rest_ele_kWh="---",0,REST_rest_ele_kWh)/1000</f>
        <v>420.68245000000002</v>
      </c>
      <c r="D25" s="1017"/>
      <c r="E25" s="1017">
        <f>IF(onbekend_gas_kWh="---",0,onbekend_gas_kWh)/1000+IF(REST_rest_gas_kWh="---",0,REST_rest_gas_kWh)/1000</f>
        <v>1961.6161999999999</v>
      </c>
      <c r="F25" s="1017"/>
      <c r="G25" s="1017"/>
      <c r="H25" s="1017"/>
      <c r="I25" s="1017"/>
      <c r="J25" s="1017"/>
      <c r="K25" s="1017"/>
      <c r="L25" s="1017"/>
      <c r="M25" s="1017"/>
      <c r="N25" s="1017"/>
      <c r="O25" s="1017"/>
      <c r="P25" s="1017"/>
      <c r="Q25" s="1018"/>
      <c r="R25" s="700">
        <f>SUM(C25:Q25)</f>
        <v>2382.2986499999997</v>
      </c>
      <c r="S25" s="67"/>
    </row>
    <row r="26" spans="1:19" s="473" customFormat="1" ht="15.75" thickBot="1">
      <c r="A26" s="705" t="s">
        <v>837</v>
      </c>
      <c r="B26" s="817"/>
      <c r="C26" s="812">
        <f>SUM(C24:C25)</f>
        <v>3416.3038719999995</v>
      </c>
      <c r="D26" s="812">
        <f t="shared" ref="D26:R26" si="2">SUM(D24:D25)</f>
        <v>6428.5714285714284</v>
      </c>
      <c r="E26" s="812">
        <f t="shared" si="2"/>
        <v>4353.0061479359993</v>
      </c>
      <c r="F26" s="812">
        <f t="shared" si="2"/>
        <v>88.050463276473025</v>
      </c>
      <c r="G26" s="812">
        <f t="shared" si="2"/>
        <v>12479.596969166792</v>
      </c>
      <c r="H26" s="812">
        <f t="shared" si="2"/>
        <v>0</v>
      </c>
      <c r="I26" s="812">
        <f t="shared" si="2"/>
        <v>0</v>
      </c>
      <c r="J26" s="812">
        <f t="shared" si="2"/>
        <v>0</v>
      </c>
      <c r="K26" s="812">
        <f t="shared" si="2"/>
        <v>434.00121234136481</v>
      </c>
      <c r="L26" s="812">
        <f t="shared" si="2"/>
        <v>0</v>
      </c>
      <c r="M26" s="812">
        <f t="shared" si="2"/>
        <v>0</v>
      </c>
      <c r="N26" s="812">
        <f t="shared" si="2"/>
        <v>0</v>
      </c>
      <c r="O26" s="812">
        <f t="shared" si="2"/>
        <v>0</v>
      </c>
      <c r="P26" s="812">
        <f t="shared" si="2"/>
        <v>0</v>
      </c>
      <c r="Q26" s="812">
        <f t="shared" si="2"/>
        <v>0</v>
      </c>
      <c r="R26" s="812">
        <f t="shared" si="2"/>
        <v>27199.530093292058</v>
      </c>
      <c r="S26" s="67"/>
    </row>
    <row r="27" spans="1:19" s="473" customFormat="1" ht="17.25" thickTop="1" thickBot="1">
      <c r="A27" s="706" t="s">
        <v>116</v>
      </c>
      <c r="B27" s="805"/>
      <c r="C27" s="707">
        <f ca="1">C22+C16+C26</f>
        <v>43431.98011335027</v>
      </c>
      <c r="D27" s="707">
        <f t="shared" ref="D27:R27" ca="1" si="3">D22+D16+D26</f>
        <v>6428.5714285714284</v>
      </c>
      <c r="E27" s="707">
        <f t="shared" ca="1" si="3"/>
        <v>47809.25836701243</v>
      </c>
      <c r="F27" s="707">
        <f t="shared" si="3"/>
        <v>1978.5665257707728</v>
      </c>
      <c r="G27" s="707">
        <f t="shared" ca="1" si="3"/>
        <v>61326.634441091905</v>
      </c>
      <c r="H27" s="707">
        <f t="shared" si="3"/>
        <v>71864.523120348415</v>
      </c>
      <c r="I27" s="707">
        <f t="shared" si="3"/>
        <v>15727.987000472856</v>
      </c>
      <c r="J27" s="707">
        <f t="shared" si="3"/>
        <v>0</v>
      </c>
      <c r="K27" s="707">
        <f t="shared" si="3"/>
        <v>435.45333740064495</v>
      </c>
      <c r="L27" s="707">
        <f t="shared" si="3"/>
        <v>0</v>
      </c>
      <c r="M27" s="707">
        <f t="shared" ca="1" si="3"/>
        <v>0</v>
      </c>
      <c r="N27" s="707">
        <f t="shared" si="3"/>
        <v>4661.0149283966448</v>
      </c>
      <c r="O27" s="707">
        <f t="shared" ca="1" si="3"/>
        <v>15452.190989202714</v>
      </c>
      <c r="P27" s="707">
        <f t="shared" si="3"/>
        <v>279.8366666666667</v>
      </c>
      <c r="Q27" s="707">
        <f t="shared" si="3"/>
        <v>877.06666666666672</v>
      </c>
      <c r="R27" s="707">
        <f t="shared" ca="1" si="3"/>
        <v>270273.08358495141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2108.9593533325265</v>
      </c>
      <c r="D40" s="1013">
        <f ca="1">tertiair!C20</f>
        <v>0</v>
      </c>
      <c r="E40" s="1013">
        <f ca="1">tertiair!D20</f>
        <v>1961.4032425930802</v>
      </c>
      <c r="F40" s="1013">
        <f>tertiair!E20</f>
        <v>50.824642476550913</v>
      </c>
      <c r="G40" s="1013">
        <f ca="1">tertiair!F20</f>
        <v>566.56637392324535</v>
      </c>
      <c r="H40" s="1013">
        <f>tertiair!G20</f>
        <v>0</v>
      </c>
      <c r="I40" s="1013">
        <f>tertiair!H20</f>
        <v>0</v>
      </c>
      <c r="J40" s="1013">
        <f>tertiair!I20</f>
        <v>0</v>
      </c>
      <c r="K40" s="1013">
        <f>tertiair!J20</f>
        <v>7.496913455037427E-3</v>
      </c>
      <c r="L40" s="1013">
        <f>tertiair!K20</f>
        <v>0</v>
      </c>
      <c r="M40" s="1013">
        <f ca="1">tertiair!L20</f>
        <v>0</v>
      </c>
      <c r="N40" s="1013">
        <f>tertiair!M20</f>
        <v>0</v>
      </c>
      <c r="O40" s="1013">
        <f ca="1">tertiair!N20</f>
        <v>0</v>
      </c>
      <c r="P40" s="1013">
        <f>tertiair!O20</f>
        <v>0</v>
      </c>
      <c r="Q40" s="774">
        <f>tertiair!P20</f>
        <v>0</v>
      </c>
      <c r="R40" s="850">
        <f t="shared" ca="1" si="4"/>
        <v>4687.7611092388579</v>
      </c>
    </row>
    <row r="41" spans="1:18">
      <c r="A41" s="822" t="s">
        <v>225</v>
      </c>
      <c r="B41" s="829"/>
      <c r="C41" s="1013">
        <f ca="1">huishoudens!B12</f>
        <v>3499.3082049879217</v>
      </c>
      <c r="D41" s="1013">
        <f ca="1">huishoudens!C12</f>
        <v>0</v>
      </c>
      <c r="E41" s="1013">
        <f>huishoudens!D12</f>
        <v>6499.9169355230006</v>
      </c>
      <c r="F41" s="1013">
        <f>huishoudens!E12</f>
        <v>235.24561894395652</v>
      </c>
      <c r="G41" s="1013">
        <f>huishoudens!F12</f>
        <v>12045.843073745018</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22280.313833199896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822.10023054202884</v>
      </c>
      <c r="D43" s="1013">
        <f ca="1">industrie!C22</f>
        <v>0</v>
      </c>
      <c r="E43" s="1013">
        <f>industrie!D22</f>
        <v>288.62108433840007</v>
      </c>
      <c r="F43" s="1013">
        <f>industrie!E22</f>
        <v>100.96289181921421</v>
      </c>
      <c r="G43" s="1013">
        <f>industrie!F22</f>
        <v>429.74955733574308</v>
      </c>
      <c r="H43" s="1013">
        <f>industrie!G22</f>
        <v>0</v>
      </c>
      <c r="I43" s="1013">
        <f>industrie!H22</f>
        <v>0</v>
      </c>
      <c r="J43" s="1013">
        <f>industrie!I22</f>
        <v>0</v>
      </c>
      <c r="K43" s="1013">
        <f>industrie!J22</f>
        <v>0.50655535753012726</v>
      </c>
      <c r="L43" s="1013">
        <f>industrie!K22</f>
        <v>0</v>
      </c>
      <c r="M43" s="1013">
        <f>industrie!L22</f>
        <v>0</v>
      </c>
      <c r="N43" s="1013">
        <f>industrie!M22</f>
        <v>0</v>
      </c>
      <c r="O43" s="1013">
        <f>industrie!N22</f>
        <v>0</v>
      </c>
      <c r="P43" s="1013">
        <f>industrie!O22</f>
        <v>0</v>
      </c>
      <c r="Q43" s="774">
        <f>industrie!P22</f>
        <v>0</v>
      </c>
      <c r="R43" s="849">
        <f t="shared" ca="1" si="4"/>
        <v>1641.9403193929163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6430.367788862477</v>
      </c>
      <c r="D46" s="732">
        <f t="shared" ref="D46:Q46" ca="1" si="5">SUM(D39:D45)</f>
        <v>0</v>
      </c>
      <c r="E46" s="732">
        <f t="shared" ca="1" si="5"/>
        <v>8749.9412624544802</v>
      </c>
      <c r="F46" s="732">
        <f t="shared" si="5"/>
        <v>387.03315323972163</v>
      </c>
      <c r="G46" s="732">
        <f t="shared" ca="1" si="5"/>
        <v>13042.159005004007</v>
      </c>
      <c r="H46" s="732">
        <f t="shared" si="5"/>
        <v>0</v>
      </c>
      <c r="I46" s="732">
        <f t="shared" si="5"/>
        <v>0</v>
      </c>
      <c r="J46" s="732">
        <f t="shared" si="5"/>
        <v>0</v>
      </c>
      <c r="K46" s="732">
        <f t="shared" si="5"/>
        <v>0.51405227098516471</v>
      </c>
      <c r="L46" s="732">
        <f t="shared" si="5"/>
        <v>0</v>
      </c>
      <c r="M46" s="732">
        <f t="shared" ca="1" si="5"/>
        <v>0</v>
      </c>
      <c r="N46" s="732">
        <f t="shared" si="5"/>
        <v>0</v>
      </c>
      <c r="O46" s="732">
        <f t="shared" ca="1" si="5"/>
        <v>0</v>
      </c>
      <c r="P46" s="732">
        <f t="shared" si="5"/>
        <v>0</v>
      </c>
      <c r="Q46" s="732">
        <f t="shared" si="5"/>
        <v>0</v>
      </c>
      <c r="R46" s="732">
        <f ca="1">SUM(R39:R45)</f>
        <v>28610.015261831672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274.73310433705336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274.73310433705336</v>
      </c>
    </row>
    <row r="50" spans="1:18">
      <c r="A50" s="825" t="s">
        <v>307</v>
      </c>
      <c r="B50" s="835"/>
      <c r="C50" s="703">
        <f ca="1">transport!B18</f>
        <v>6.2506211298641077</v>
      </c>
      <c r="D50" s="703">
        <f>transport!C18</f>
        <v>0</v>
      </c>
      <c r="E50" s="703">
        <f>transport!D18</f>
        <v>28.221685798957978</v>
      </c>
      <c r="F50" s="703">
        <f>transport!E18</f>
        <v>42.113992946484402</v>
      </c>
      <c r="G50" s="703">
        <f>transport!F18</f>
        <v>0</v>
      </c>
      <c r="H50" s="703">
        <f>transport!G18</f>
        <v>18913.094568795976</v>
      </c>
      <c r="I50" s="703">
        <f>transport!H18</f>
        <v>3916.2687631177414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22905.949631789023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6.2506211298641077</v>
      </c>
      <c r="D52" s="732">
        <f t="shared" ref="D52:Q52" ca="1" si="6">SUM(D48:D51)</f>
        <v>0</v>
      </c>
      <c r="E52" s="732">
        <f t="shared" si="6"/>
        <v>28.221685798957978</v>
      </c>
      <c r="F52" s="732">
        <f t="shared" si="6"/>
        <v>42.113992946484402</v>
      </c>
      <c r="G52" s="732">
        <f t="shared" si="6"/>
        <v>0</v>
      </c>
      <c r="H52" s="732">
        <f t="shared" si="6"/>
        <v>19187.82767313303</v>
      </c>
      <c r="I52" s="732">
        <f t="shared" si="6"/>
        <v>3916.2687631177414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23180.682736126077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481.85295877338893</v>
      </c>
      <c r="D54" s="703">
        <f ca="1">+landbouw!C12</f>
        <v>0</v>
      </c>
      <c r="E54" s="703">
        <f>+landbouw!D12</f>
        <v>483.06076948307197</v>
      </c>
      <c r="F54" s="703">
        <f>+landbouw!E12</f>
        <v>19.987455163759378</v>
      </c>
      <c r="G54" s="703">
        <f>+landbouw!F12</f>
        <v>3332.0523907675338</v>
      </c>
      <c r="H54" s="703">
        <f>+landbouw!G12</f>
        <v>0</v>
      </c>
      <c r="I54" s="703">
        <f>+landbouw!H12</f>
        <v>0</v>
      </c>
      <c r="J54" s="703">
        <f>+landbouw!I12</f>
        <v>0</v>
      </c>
      <c r="K54" s="703">
        <f>+landbouw!J12</f>
        <v>153.63642916884314</v>
      </c>
      <c r="L54" s="703">
        <f>+landbouw!K12</f>
        <v>0</v>
      </c>
      <c r="M54" s="703">
        <f>+landbouw!L12</f>
        <v>0</v>
      </c>
      <c r="N54" s="703">
        <f>+landbouw!M12</f>
        <v>0</v>
      </c>
      <c r="O54" s="703">
        <f>+landbouw!N12</f>
        <v>0</v>
      </c>
      <c r="P54" s="703">
        <f>+landbouw!O12</f>
        <v>0</v>
      </c>
      <c r="Q54" s="704">
        <f>+landbouw!P12</f>
        <v>0</v>
      </c>
      <c r="R54" s="731">
        <f ca="1">SUM(C54:Q54)</f>
        <v>4470.5900033565977</v>
      </c>
    </row>
    <row r="55" spans="1:18" ht="15" thickBot="1">
      <c r="A55" s="825" t="s">
        <v>836</v>
      </c>
      <c r="B55" s="835"/>
      <c r="C55" s="703">
        <f ca="1">C25*'EF ele_warmte'!B12</f>
        <v>67.667790645322171</v>
      </c>
      <c r="D55" s="703"/>
      <c r="E55" s="703">
        <f>E25*EF_CO2_aardgas</f>
        <v>396.24647240000002</v>
      </c>
      <c r="F55" s="703"/>
      <c r="G55" s="703"/>
      <c r="H55" s="703"/>
      <c r="I55" s="703"/>
      <c r="J55" s="703"/>
      <c r="K55" s="703"/>
      <c r="L55" s="703"/>
      <c r="M55" s="703"/>
      <c r="N55" s="703"/>
      <c r="O55" s="703"/>
      <c r="P55" s="703"/>
      <c r="Q55" s="704"/>
      <c r="R55" s="731">
        <f ca="1">SUM(C55:Q55)</f>
        <v>463.91426304532217</v>
      </c>
    </row>
    <row r="56" spans="1:18" ht="15.75" thickBot="1">
      <c r="A56" s="823" t="s">
        <v>837</v>
      </c>
      <c r="B56" s="836"/>
      <c r="C56" s="732">
        <f ca="1">SUM(C54:C55)</f>
        <v>549.52074941871115</v>
      </c>
      <c r="D56" s="732">
        <f t="shared" ref="D56:Q56" ca="1" si="7">SUM(D54:D55)</f>
        <v>0</v>
      </c>
      <c r="E56" s="732">
        <f t="shared" si="7"/>
        <v>879.30724188307204</v>
      </c>
      <c r="F56" s="732">
        <f t="shared" si="7"/>
        <v>19.987455163759378</v>
      </c>
      <c r="G56" s="732">
        <f t="shared" si="7"/>
        <v>3332.0523907675338</v>
      </c>
      <c r="H56" s="732">
        <f t="shared" si="7"/>
        <v>0</v>
      </c>
      <c r="I56" s="732">
        <f t="shared" si="7"/>
        <v>0</v>
      </c>
      <c r="J56" s="732">
        <f t="shared" si="7"/>
        <v>0</v>
      </c>
      <c r="K56" s="732">
        <f t="shared" si="7"/>
        <v>153.63642916884314</v>
      </c>
      <c r="L56" s="732">
        <f t="shared" si="7"/>
        <v>0</v>
      </c>
      <c r="M56" s="732">
        <f t="shared" si="7"/>
        <v>0</v>
      </c>
      <c r="N56" s="732">
        <f t="shared" si="7"/>
        <v>0</v>
      </c>
      <c r="O56" s="732">
        <f t="shared" si="7"/>
        <v>0</v>
      </c>
      <c r="P56" s="732">
        <f t="shared" si="7"/>
        <v>0</v>
      </c>
      <c r="Q56" s="733">
        <f t="shared" si="7"/>
        <v>0</v>
      </c>
      <c r="R56" s="734">
        <f ca="1">SUM(R54:R55)</f>
        <v>4934.5042664019202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6986.1391594110519</v>
      </c>
      <c r="D61" s="740">
        <f t="shared" ref="D61:Q61" ca="1" si="8">D46+D52+D56</f>
        <v>0</v>
      </c>
      <c r="E61" s="740">
        <f t="shared" ca="1" si="8"/>
        <v>9657.4701901365115</v>
      </c>
      <c r="F61" s="740">
        <f t="shared" si="8"/>
        <v>449.13460134996541</v>
      </c>
      <c r="G61" s="740">
        <f t="shared" ca="1" si="8"/>
        <v>16374.211395771541</v>
      </c>
      <c r="H61" s="740">
        <f t="shared" si="8"/>
        <v>19187.82767313303</v>
      </c>
      <c r="I61" s="740">
        <f t="shared" si="8"/>
        <v>3916.2687631177414</v>
      </c>
      <c r="J61" s="740">
        <f t="shared" si="8"/>
        <v>0</v>
      </c>
      <c r="K61" s="740">
        <f t="shared" si="8"/>
        <v>154.1504814398283</v>
      </c>
      <c r="L61" s="740">
        <f t="shared" si="8"/>
        <v>0</v>
      </c>
      <c r="M61" s="740">
        <f t="shared" ca="1" si="8"/>
        <v>0</v>
      </c>
      <c r="N61" s="740">
        <f t="shared" si="8"/>
        <v>0</v>
      </c>
      <c r="O61" s="740">
        <f t="shared" ca="1" si="8"/>
        <v>0</v>
      </c>
      <c r="P61" s="740">
        <f t="shared" si="8"/>
        <v>0</v>
      </c>
      <c r="Q61" s="740">
        <f t="shared" si="8"/>
        <v>0</v>
      </c>
      <c r="R61" s="740">
        <f ca="1">R46+R52+R56</f>
        <v>56725.202264359665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0.16085242121538981</v>
      </c>
      <c r="D63" s="781">
        <f t="shared" ca="1" si="9"/>
        <v>0</v>
      </c>
      <c r="E63" s="1024">
        <f t="shared" ca="1" si="9"/>
        <v>0.20200000000000001</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7320.490704250491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4500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5294.1176470588243</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11820.490704250491</v>
      </c>
      <c r="C78" s="755">
        <f>SUM(C72:C77)</f>
        <v>0</v>
      </c>
      <c r="D78" s="756">
        <f t="shared" ref="D78:H78" si="10">SUM(D76:D77)</f>
        <v>0</v>
      </c>
      <c r="E78" s="756">
        <f t="shared" si="10"/>
        <v>0</v>
      </c>
      <c r="F78" s="756">
        <f t="shared" si="10"/>
        <v>0</v>
      </c>
      <c r="G78" s="756">
        <f t="shared" si="10"/>
        <v>0</v>
      </c>
      <c r="H78" s="756">
        <f t="shared" si="10"/>
        <v>0</v>
      </c>
      <c r="I78" s="756">
        <f>SUM(I76:I77)</f>
        <v>0</v>
      </c>
      <c r="J78" s="756">
        <f>SUM(J76:J77)</f>
        <v>5294.1176470588243</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6428.5714285714284</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7563.0252100840344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6428.5714285714284</v>
      </c>
      <c r="C90" s="755">
        <f>SUM(C87:C89)</f>
        <v>0</v>
      </c>
      <c r="D90" s="755">
        <f t="shared" ref="D90:H90" si="12">SUM(D87:D89)</f>
        <v>0</v>
      </c>
      <c r="E90" s="755">
        <f t="shared" si="12"/>
        <v>0</v>
      </c>
      <c r="F90" s="755">
        <f t="shared" si="12"/>
        <v>0</v>
      </c>
      <c r="G90" s="755">
        <f t="shared" si="12"/>
        <v>0</v>
      </c>
      <c r="H90" s="755">
        <f t="shared" si="12"/>
        <v>0</v>
      </c>
      <c r="I90" s="755">
        <f>SUM(I87:I89)</f>
        <v>0</v>
      </c>
      <c r="J90" s="755">
        <f>SUM(J87:J89)</f>
        <v>7563.0252100840344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7320.490704250491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4500</v>
      </c>
      <c r="C8" s="570">
        <f>B101</f>
        <v>0</v>
      </c>
      <c r="D8" s="1044"/>
      <c r="E8" s="1044">
        <f>E101</f>
        <v>0</v>
      </c>
      <c r="F8" s="1045"/>
      <c r="G8" s="571"/>
      <c r="H8" s="1044">
        <f>I101</f>
        <v>0</v>
      </c>
      <c r="I8" s="1044">
        <f>G101+F101</f>
        <v>0</v>
      </c>
      <c r="J8" s="1044">
        <f>H101+D101+C101</f>
        <v>5294.1176470588243</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11820.490704250491</v>
      </c>
      <c r="C10" s="583">
        <f t="shared" ref="C10:L10" si="0">SUM(C8:C9)</f>
        <v>0</v>
      </c>
      <c r="D10" s="583">
        <f t="shared" si="0"/>
        <v>0</v>
      </c>
      <c r="E10" s="583">
        <f t="shared" si="0"/>
        <v>0</v>
      </c>
      <c r="F10" s="583">
        <f t="shared" si="0"/>
        <v>0</v>
      </c>
      <c r="G10" s="583">
        <f t="shared" si="0"/>
        <v>0</v>
      </c>
      <c r="H10" s="583">
        <f t="shared" si="0"/>
        <v>0</v>
      </c>
      <c r="I10" s="583">
        <f t="shared" si="0"/>
        <v>0</v>
      </c>
      <c r="J10" s="583">
        <f t="shared" si="0"/>
        <v>5294.1176470588243</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6428.5714285714284</v>
      </c>
      <c r="C17" s="595">
        <f>B102</f>
        <v>0</v>
      </c>
      <c r="D17" s="596"/>
      <c r="E17" s="596">
        <f>E102</f>
        <v>0</v>
      </c>
      <c r="F17" s="1050"/>
      <c r="G17" s="597"/>
      <c r="H17" s="595">
        <f>I102</f>
        <v>0</v>
      </c>
      <c r="I17" s="596">
        <f>G102+F102</f>
        <v>0</v>
      </c>
      <c r="J17" s="596">
        <f>H102+D102+C102</f>
        <v>7563.0252100840344</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6428.5714285714284</v>
      </c>
      <c r="C20" s="582">
        <f>SUM(C17:C19)</f>
        <v>0</v>
      </c>
      <c r="D20" s="582">
        <f t="shared" ref="D20:L20" si="1">SUM(D17:D19)</f>
        <v>0</v>
      </c>
      <c r="E20" s="582">
        <f t="shared" si="1"/>
        <v>0</v>
      </c>
      <c r="F20" s="582">
        <f t="shared" si="1"/>
        <v>0</v>
      </c>
      <c r="G20" s="582">
        <f t="shared" si="1"/>
        <v>0</v>
      </c>
      <c r="H20" s="582">
        <f t="shared" si="1"/>
        <v>0</v>
      </c>
      <c r="I20" s="582">
        <f t="shared" si="1"/>
        <v>0</v>
      </c>
      <c r="J20" s="582">
        <f t="shared" si="1"/>
        <v>7563.0252100840344</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71024</v>
      </c>
      <c r="C28" s="796">
        <v>3540</v>
      </c>
      <c r="D28" s="653" t="s">
        <v>881</v>
      </c>
      <c r="E28" s="652" t="s">
        <v>882</v>
      </c>
      <c r="F28" s="652" t="s">
        <v>883</v>
      </c>
      <c r="G28" s="652" t="s">
        <v>884</v>
      </c>
      <c r="H28" s="652" t="s">
        <v>885</v>
      </c>
      <c r="I28" s="652" t="s">
        <v>882</v>
      </c>
      <c r="J28" s="795">
        <v>40444</v>
      </c>
      <c r="K28" s="795">
        <v>40444</v>
      </c>
      <c r="L28" s="652" t="s">
        <v>886</v>
      </c>
      <c r="M28" s="652">
        <v>1000</v>
      </c>
      <c r="N28" s="652">
        <v>4500</v>
      </c>
      <c r="O28" s="652">
        <v>6428.5714285714284</v>
      </c>
      <c r="P28" s="652">
        <v>0</v>
      </c>
      <c r="Q28" s="652">
        <v>12857.142857142859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1000</v>
      </c>
      <c r="N58" s="610">
        <f>SUM(N28:N57)</f>
        <v>4500</v>
      </c>
      <c r="O58" s="610">
        <f t="shared" ref="O58:W58" si="2">SUM(O28:O57)</f>
        <v>6428.5714285714284</v>
      </c>
      <c r="P58" s="610">
        <f t="shared" si="2"/>
        <v>0</v>
      </c>
      <c r="Q58" s="610">
        <f t="shared" si="2"/>
        <v>12857.142857142859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1000</v>
      </c>
      <c r="N61" s="615">
        <f t="shared" si="4"/>
        <v>4500</v>
      </c>
      <c r="O61" s="615">
        <f t="shared" si="4"/>
        <v>6428.5714285714284</v>
      </c>
      <c r="P61" s="615">
        <f t="shared" si="4"/>
        <v>0</v>
      </c>
      <c r="Q61" s="615">
        <f t="shared" si="4"/>
        <v>12857.142857142859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5294.1176470588243</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7563.0252100840344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21754.774833648073</v>
      </c>
      <c r="C4" s="477">
        <f>huishoudens!C8</f>
        <v>0</v>
      </c>
      <c r="D4" s="477">
        <f>huishoudens!D8</f>
        <v>32177.8066115</v>
      </c>
      <c r="E4" s="477">
        <f>huishoudens!E8</f>
        <v>1036.3243125284428</v>
      </c>
      <c r="F4" s="477">
        <f>huishoudens!F8</f>
        <v>45115.517130131149</v>
      </c>
      <c r="G4" s="477">
        <f>huishoudens!G8</f>
        <v>0</v>
      </c>
      <c r="H4" s="477">
        <f>huishoudens!H8</f>
        <v>0</v>
      </c>
      <c r="I4" s="477">
        <f>huishoudens!I8</f>
        <v>0</v>
      </c>
      <c r="J4" s="477">
        <f>huishoudens!J8</f>
        <v>0</v>
      </c>
      <c r="K4" s="477">
        <f>huishoudens!K8</f>
        <v>0</v>
      </c>
      <c r="L4" s="477">
        <f>huishoudens!L8</f>
        <v>0</v>
      </c>
      <c r="M4" s="477">
        <f>huishoudens!M8</f>
        <v>0</v>
      </c>
      <c r="N4" s="477">
        <f>huishoudens!N8</f>
        <v>13622.414137283287</v>
      </c>
      <c r="O4" s="477">
        <f>huishoudens!O8</f>
        <v>275.1466666666667</v>
      </c>
      <c r="P4" s="478">
        <f>huishoudens!P8</f>
        <v>838.93333333333339</v>
      </c>
      <c r="Q4" s="479">
        <f>SUM(B4:P4)</f>
        <v>114820.91702509094</v>
      </c>
    </row>
    <row r="5" spans="1:17">
      <c r="A5" s="476" t="s">
        <v>156</v>
      </c>
      <c r="B5" s="477">
        <f ca="1">tertiair!B16</f>
        <v>12191.027597</v>
      </c>
      <c r="C5" s="477">
        <f ca="1">tertiair!C16</f>
        <v>0</v>
      </c>
      <c r="D5" s="477">
        <f ca="1">tertiair!D16</f>
        <v>9709.9170425400007</v>
      </c>
      <c r="E5" s="477">
        <f>tertiair!E16</f>
        <v>223.89710342092911</v>
      </c>
      <c r="F5" s="477">
        <f ca="1">tertiair!F16</f>
        <v>2121.9714379147763</v>
      </c>
      <c r="G5" s="477">
        <f>tertiair!G16</f>
        <v>0</v>
      </c>
      <c r="H5" s="477">
        <f>tertiair!H16</f>
        <v>0</v>
      </c>
      <c r="I5" s="477">
        <f>tertiair!I16</f>
        <v>0</v>
      </c>
      <c r="J5" s="477">
        <f>tertiair!J16</f>
        <v>2.1177721624399511E-2</v>
      </c>
      <c r="K5" s="477">
        <f>tertiair!K16</f>
        <v>0</v>
      </c>
      <c r="L5" s="477">
        <f ca="1">tertiair!L16</f>
        <v>0</v>
      </c>
      <c r="M5" s="477">
        <f>tertiair!M16</f>
        <v>0</v>
      </c>
      <c r="N5" s="477">
        <f ca="1">tertiair!N16</f>
        <v>858.22646351137598</v>
      </c>
      <c r="O5" s="477">
        <f>tertiair!O16</f>
        <v>4.6900000000000004</v>
      </c>
      <c r="P5" s="478">
        <f>tertiair!P16</f>
        <v>38.133333333333333</v>
      </c>
      <c r="Q5" s="476">
        <f t="shared" ref="Q5:Q14" ca="1" si="0">SUM(B5:P5)</f>
        <v>25147.88415544204</v>
      </c>
    </row>
    <row r="6" spans="1:17">
      <c r="A6" s="476" t="s">
        <v>194</v>
      </c>
      <c r="B6" s="477">
        <f>'openbare verlichting'!B8</f>
        <v>920.11699999999996</v>
      </c>
      <c r="C6" s="477"/>
      <c r="D6" s="477"/>
      <c r="E6" s="477"/>
      <c r="F6" s="477"/>
      <c r="G6" s="477"/>
      <c r="H6" s="477"/>
      <c r="I6" s="477"/>
      <c r="J6" s="477"/>
      <c r="K6" s="477"/>
      <c r="L6" s="477"/>
      <c r="M6" s="477"/>
      <c r="N6" s="477"/>
      <c r="O6" s="477"/>
      <c r="P6" s="478"/>
      <c r="Q6" s="476">
        <f t="shared" si="0"/>
        <v>920.11699999999996</v>
      </c>
    </row>
    <row r="7" spans="1:17">
      <c r="A7" s="476" t="s">
        <v>112</v>
      </c>
      <c r="B7" s="477">
        <f>landbouw!B8</f>
        <v>2995.6214219999997</v>
      </c>
      <c r="C7" s="477">
        <f>landbouw!C8</f>
        <v>6428.5714285714284</v>
      </c>
      <c r="D7" s="477">
        <f>landbouw!D8</f>
        <v>2391.3899479359998</v>
      </c>
      <c r="E7" s="477">
        <f>landbouw!E8</f>
        <v>88.050463276473025</v>
      </c>
      <c r="F7" s="477">
        <f>landbouw!F8</f>
        <v>12479.596969166792</v>
      </c>
      <c r="G7" s="477">
        <f>landbouw!G8</f>
        <v>0</v>
      </c>
      <c r="H7" s="477">
        <f>landbouw!H8</f>
        <v>0</v>
      </c>
      <c r="I7" s="477">
        <f>landbouw!I8</f>
        <v>0</v>
      </c>
      <c r="J7" s="477">
        <f>landbouw!J8</f>
        <v>434.00121234136481</v>
      </c>
      <c r="K7" s="477">
        <f>landbouw!K8</f>
        <v>0</v>
      </c>
      <c r="L7" s="477">
        <f>landbouw!L8</f>
        <v>0</v>
      </c>
      <c r="M7" s="477">
        <f>landbouw!M8</f>
        <v>0</v>
      </c>
      <c r="N7" s="477">
        <f>landbouw!N8</f>
        <v>0</v>
      </c>
      <c r="O7" s="477">
        <f>landbouw!O8</f>
        <v>0</v>
      </c>
      <c r="P7" s="478">
        <f>landbouw!P8</f>
        <v>0</v>
      </c>
      <c r="Q7" s="476">
        <f t="shared" si="0"/>
        <v>24817.231443292058</v>
      </c>
    </row>
    <row r="8" spans="1:17">
      <c r="A8" s="476" t="s">
        <v>635</v>
      </c>
      <c r="B8" s="477">
        <f>industrie!B18</f>
        <v>5110.8974570000009</v>
      </c>
      <c r="C8" s="477">
        <f>industrie!C18</f>
        <v>0</v>
      </c>
      <c r="D8" s="477">
        <f>industrie!D18</f>
        <v>1428.8172492000001</v>
      </c>
      <c r="E8" s="477">
        <f>industrie!E18</f>
        <v>444.77044854279387</v>
      </c>
      <c r="F8" s="477">
        <f>industrie!F18</f>
        <v>1609.5489038791875</v>
      </c>
      <c r="G8" s="477">
        <f>industrie!G18</f>
        <v>0</v>
      </c>
      <c r="H8" s="477">
        <f>industrie!H18</f>
        <v>0</v>
      </c>
      <c r="I8" s="477">
        <f>industrie!I18</f>
        <v>0</v>
      </c>
      <c r="J8" s="477">
        <f>industrie!J18</f>
        <v>1.4309473376557269</v>
      </c>
      <c r="K8" s="477">
        <f>industrie!K18</f>
        <v>0</v>
      </c>
      <c r="L8" s="477">
        <f>industrie!L18</f>
        <v>0</v>
      </c>
      <c r="M8" s="477">
        <f>industrie!M18</f>
        <v>0</v>
      </c>
      <c r="N8" s="477">
        <f>industrie!N18</f>
        <v>971.5503884080515</v>
      </c>
      <c r="O8" s="477">
        <f>industrie!O18</f>
        <v>0</v>
      </c>
      <c r="P8" s="478">
        <f>industrie!P18</f>
        <v>0</v>
      </c>
      <c r="Q8" s="476">
        <f t="shared" si="0"/>
        <v>9567.0153943676905</v>
      </c>
    </row>
    <row r="9" spans="1:17" s="482" customFormat="1">
      <c r="A9" s="480" t="s">
        <v>561</v>
      </c>
      <c r="B9" s="481">
        <f>transport!B14</f>
        <v>38.859353702200096</v>
      </c>
      <c r="C9" s="481">
        <f>transport!C14</f>
        <v>0</v>
      </c>
      <c r="D9" s="481">
        <f>transport!D14</f>
        <v>139.71131583642563</v>
      </c>
      <c r="E9" s="481">
        <f>transport!E14</f>
        <v>185.52419800213391</v>
      </c>
      <c r="F9" s="481">
        <f>transport!F14</f>
        <v>0</v>
      </c>
      <c r="G9" s="481">
        <f>transport!G14</f>
        <v>70835.560182756453</v>
      </c>
      <c r="H9" s="481">
        <f>transport!H14</f>
        <v>15727.987000472856</v>
      </c>
      <c r="I9" s="481">
        <f>transport!I14</f>
        <v>0</v>
      </c>
      <c r="J9" s="481">
        <f>transport!J14</f>
        <v>0</v>
      </c>
      <c r="K9" s="481">
        <f>transport!K14</f>
        <v>0</v>
      </c>
      <c r="L9" s="481">
        <f>transport!L14</f>
        <v>0</v>
      </c>
      <c r="M9" s="481">
        <f>transport!M14</f>
        <v>4602.5743759769066</v>
      </c>
      <c r="N9" s="481">
        <f>transport!N14</f>
        <v>0</v>
      </c>
      <c r="O9" s="481">
        <f>transport!O14</f>
        <v>0</v>
      </c>
      <c r="P9" s="481">
        <f>transport!P14</f>
        <v>0</v>
      </c>
      <c r="Q9" s="480">
        <f>SUM(B9:P9)</f>
        <v>91530.216426746978</v>
      </c>
    </row>
    <row r="10" spans="1:17">
      <c r="A10" s="476" t="s">
        <v>551</v>
      </c>
      <c r="B10" s="477">
        <f>transport!B54</f>
        <v>0</v>
      </c>
      <c r="C10" s="477">
        <f>transport!C54</f>
        <v>0</v>
      </c>
      <c r="D10" s="477">
        <f>transport!D54</f>
        <v>0</v>
      </c>
      <c r="E10" s="477">
        <f>transport!E54</f>
        <v>0</v>
      </c>
      <c r="F10" s="477">
        <f>transport!F54</f>
        <v>0</v>
      </c>
      <c r="G10" s="477">
        <f>transport!G54</f>
        <v>1028.9629375919601</v>
      </c>
      <c r="H10" s="477">
        <f>transport!H54</f>
        <v>0</v>
      </c>
      <c r="I10" s="477">
        <f>transport!I54</f>
        <v>0</v>
      </c>
      <c r="J10" s="477">
        <f>transport!J54</f>
        <v>0</v>
      </c>
      <c r="K10" s="477">
        <f>transport!K54</f>
        <v>0</v>
      </c>
      <c r="L10" s="477">
        <f>transport!L54</f>
        <v>0</v>
      </c>
      <c r="M10" s="477">
        <f>transport!M54</f>
        <v>58.440552419738438</v>
      </c>
      <c r="N10" s="477">
        <f>transport!N54</f>
        <v>0</v>
      </c>
      <c r="O10" s="477">
        <f>transport!O54</f>
        <v>0</v>
      </c>
      <c r="P10" s="478">
        <f>transport!P54</f>
        <v>0</v>
      </c>
      <c r="Q10" s="476">
        <f t="shared" si="0"/>
        <v>1087.4034900116985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420.68245000000002</v>
      </c>
      <c r="C14" s="484"/>
      <c r="D14" s="484">
        <f>'SEAP template'!E25</f>
        <v>1961.6161999999999</v>
      </c>
      <c r="E14" s="484"/>
      <c r="F14" s="484"/>
      <c r="G14" s="484"/>
      <c r="H14" s="484"/>
      <c r="I14" s="484"/>
      <c r="J14" s="484"/>
      <c r="K14" s="484"/>
      <c r="L14" s="484"/>
      <c r="M14" s="484"/>
      <c r="N14" s="484"/>
      <c r="O14" s="484"/>
      <c r="P14" s="485"/>
      <c r="Q14" s="476">
        <f t="shared" si="0"/>
        <v>2382.2986499999997</v>
      </c>
    </row>
    <row r="15" spans="1:17" s="486" customFormat="1">
      <c r="A15" s="1039" t="s">
        <v>555</v>
      </c>
      <c r="B15" s="987">
        <f ca="1">SUM(B4:B14)</f>
        <v>43431.98011335027</v>
      </c>
      <c r="C15" s="987">
        <f t="shared" ref="C15:Q15" ca="1" si="1">SUM(C4:C14)</f>
        <v>6428.5714285714284</v>
      </c>
      <c r="D15" s="987">
        <f t="shared" ca="1" si="1"/>
        <v>47809.258367012422</v>
      </c>
      <c r="E15" s="987">
        <f t="shared" si="1"/>
        <v>1978.5665257707728</v>
      </c>
      <c r="F15" s="987">
        <f t="shared" ca="1" si="1"/>
        <v>61326.634441091905</v>
      </c>
      <c r="G15" s="987">
        <f t="shared" si="1"/>
        <v>71864.523120348415</v>
      </c>
      <c r="H15" s="987">
        <f t="shared" si="1"/>
        <v>15727.987000472856</v>
      </c>
      <c r="I15" s="987">
        <f t="shared" si="1"/>
        <v>0</v>
      </c>
      <c r="J15" s="987">
        <f t="shared" si="1"/>
        <v>435.4533374006449</v>
      </c>
      <c r="K15" s="987">
        <f t="shared" si="1"/>
        <v>0</v>
      </c>
      <c r="L15" s="987">
        <f t="shared" ca="1" si="1"/>
        <v>0</v>
      </c>
      <c r="M15" s="987">
        <f t="shared" si="1"/>
        <v>4661.0149283966448</v>
      </c>
      <c r="N15" s="987">
        <f t="shared" ca="1" si="1"/>
        <v>15452.190989202714</v>
      </c>
      <c r="O15" s="987">
        <f t="shared" si="1"/>
        <v>279.8366666666667</v>
      </c>
      <c r="P15" s="987">
        <f t="shared" si="1"/>
        <v>877.06666666666672</v>
      </c>
      <c r="Q15" s="987">
        <f t="shared" ca="1" si="1"/>
        <v>270273.08358495141</v>
      </c>
    </row>
    <row r="17" spans="1:17">
      <c r="A17" s="487" t="s">
        <v>556</v>
      </c>
      <c r="B17" s="786">
        <f ca="1">huishoudens!B10</f>
        <v>0.16085242121538981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3499.3082049879217</v>
      </c>
      <c r="C22" s="477">
        <f t="shared" ref="C22:C32" ca="1" si="3">C4*$C$17</f>
        <v>0</v>
      </c>
      <c r="D22" s="477">
        <f t="shared" ref="D22:D32" si="4">D4*$D$17</f>
        <v>6499.9169355230006</v>
      </c>
      <c r="E22" s="477">
        <f t="shared" ref="E22:E32" si="5">E4*$E$17</f>
        <v>235.24561894395652</v>
      </c>
      <c r="F22" s="477">
        <f t="shared" ref="F22:F32" si="6">F4*$F$17</f>
        <v>12045.843073745018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22280.313833199896</v>
      </c>
    </row>
    <row r="23" spans="1:17">
      <c r="A23" s="476" t="s">
        <v>156</v>
      </c>
      <c r="B23" s="477">
        <f t="shared" ca="1" si="2"/>
        <v>1960.9563060810856</v>
      </c>
      <c r="C23" s="477">
        <f t="shared" ca="1" si="3"/>
        <v>0</v>
      </c>
      <c r="D23" s="477">
        <f t="shared" ca="1" si="4"/>
        <v>1961.4032425930802</v>
      </c>
      <c r="E23" s="477">
        <f t="shared" si="5"/>
        <v>50.824642476550913</v>
      </c>
      <c r="F23" s="477">
        <f t="shared" ca="1" si="6"/>
        <v>566.56637392324535</v>
      </c>
      <c r="G23" s="477">
        <f t="shared" si="7"/>
        <v>0</v>
      </c>
      <c r="H23" s="477">
        <f t="shared" si="8"/>
        <v>0</v>
      </c>
      <c r="I23" s="477">
        <f t="shared" si="9"/>
        <v>0</v>
      </c>
      <c r="J23" s="477">
        <f t="shared" si="10"/>
        <v>7.496913455037427E-3</v>
      </c>
      <c r="K23" s="477">
        <f t="shared" si="11"/>
        <v>0</v>
      </c>
      <c r="L23" s="477">
        <f t="shared" ca="1" si="12"/>
        <v>0</v>
      </c>
      <c r="M23" s="477">
        <f t="shared" si="13"/>
        <v>0</v>
      </c>
      <c r="N23" s="477">
        <f t="shared" ca="1" si="14"/>
        <v>0</v>
      </c>
      <c r="O23" s="477">
        <f t="shared" si="15"/>
        <v>0</v>
      </c>
      <c r="P23" s="478">
        <f t="shared" si="16"/>
        <v>0</v>
      </c>
      <c r="Q23" s="476">
        <f t="shared" ref="Q23:Q32" ca="1" si="17">SUM(B23:P23)</f>
        <v>4539.758061987417</v>
      </c>
    </row>
    <row r="24" spans="1:17">
      <c r="A24" s="476" t="s">
        <v>194</v>
      </c>
      <c r="B24" s="477">
        <f t="shared" ca="1" si="2"/>
        <v>148.00304725144082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148.00304725144082</v>
      </c>
    </row>
    <row r="25" spans="1:17">
      <c r="A25" s="476" t="s">
        <v>112</v>
      </c>
      <c r="B25" s="477">
        <f t="shared" ca="1" si="2"/>
        <v>481.85295877338893</v>
      </c>
      <c r="C25" s="477">
        <f t="shared" ca="1" si="3"/>
        <v>0</v>
      </c>
      <c r="D25" s="477">
        <f t="shared" si="4"/>
        <v>483.06076948307197</v>
      </c>
      <c r="E25" s="477">
        <f t="shared" si="5"/>
        <v>19.987455163759378</v>
      </c>
      <c r="F25" s="477">
        <f t="shared" si="6"/>
        <v>3332.0523907675338</v>
      </c>
      <c r="G25" s="477">
        <f t="shared" si="7"/>
        <v>0</v>
      </c>
      <c r="H25" s="477">
        <f t="shared" si="8"/>
        <v>0</v>
      </c>
      <c r="I25" s="477">
        <f t="shared" si="9"/>
        <v>0</v>
      </c>
      <c r="J25" s="477">
        <f t="shared" si="10"/>
        <v>153.63642916884314</v>
      </c>
      <c r="K25" s="477">
        <f t="shared" si="11"/>
        <v>0</v>
      </c>
      <c r="L25" s="477">
        <f t="shared" si="12"/>
        <v>0</v>
      </c>
      <c r="M25" s="477">
        <f t="shared" si="13"/>
        <v>0</v>
      </c>
      <c r="N25" s="477">
        <f t="shared" si="14"/>
        <v>0</v>
      </c>
      <c r="O25" s="477">
        <f t="shared" si="15"/>
        <v>0</v>
      </c>
      <c r="P25" s="478">
        <f t="shared" si="16"/>
        <v>0</v>
      </c>
      <c r="Q25" s="476">
        <f t="shared" ca="1" si="17"/>
        <v>4470.5900033565977</v>
      </c>
    </row>
    <row r="26" spans="1:17">
      <c r="A26" s="476" t="s">
        <v>635</v>
      </c>
      <c r="B26" s="477">
        <f t="shared" ca="1" si="2"/>
        <v>822.10023054202884</v>
      </c>
      <c r="C26" s="477">
        <f t="shared" ca="1" si="3"/>
        <v>0</v>
      </c>
      <c r="D26" s="477">
        <f t="shared" si="4"/>
        <v>288.62108433840007</v>
      </c>
      <c r="E26" s="477">
        <f t="shared" si="5"/>
        <v>100.96289181921421</v>
      </c>
      <c r="F26" s="477">
        <f t="shared" si="6"/>
        <v>429.74955733574308</v>
      </c>
      <c r="G26" s="477">
        <f t="shared" si="7"/>
        <v>0</v>
      </c>
      <c r="H26" s="477">
        <f t="shared" si="8"/>
        <v>0</v>
      </c>
      <c r="I26" s="477">
        <f t="shared" si="9"/>
        <v>0</v>
      </c>
      <c r="J26" s="477">
        <f t="shared" si="10"/>
        <v>0.50655535753012726</v>
      </c>
      <c r="K26" s="477">
        <f t="shared" si="11"/>
        <v>0</v>
      </c>
      <c r="L26" s="477">
        <f t="shared" si="12"/>
        <v>0</v>
      </c>
      <c r="M26" s="477">
        <f t="shared" si="13"/>
        <v>0</v>
      </c>
      <c r="N26" s="477">
        <f t="shared" si="14"/>
        <v>0</v>
      </c>
      <c r="O26" s="477">
        <f t="shared" si="15"/>
        <v>0</v>
      </c>
      <c r="P26" s="478">
        <f t="shared" si="16"/>
        <v>0</v>
      </c>
      <c r="Q26" s="476">
        <f t="shared" ca="1" si="17"/>
        <v>1641.9403193929163</v>
      </c>
    </row>
    <row r="27" spans="1:17" s="482" customFormat="1">
      <c r="A27" s="480" t="s">
        <v>561</v>
      </c>
      <c r="B27" s="780">
        <f t="shared" ca="1" si="2"/>
        <v>6.2506211298641077</v>
      </c>
      <c r="C27" s="481">
        <f t="shared" ca="1" si="3"/>
        <v>0</v>
      </c>
      <c r="D27" s="481">
        <f t="shared" si="4"/>
        <v>28.221685798957978</v>
      </c>
      <c r="E27" s="481">
        <f t="shared" si="5"/>
        <v>42.113992946484402</v>
      </c>
      <c r="F27" s="481">
        <f t="shared" si="6"/>
        <v>0</v>
      </c>
      <c r="G27" s="481">
        <f t="shared" si="7"/>
        <v>18913.094568795976</v>
      </c>
      <c r="H27" s="481">
        <f t="shared" si="8"/>
        <v>3916.2687631177414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22905.949631789023</v>
      </c>
    </row>
    <row r="28" spans="1:17">
      <c r="A28" s="476" t="s">
        <v>551</v>
      </c>
      <c r="B28" s="477">
        <f t="shared" ca="1" si="2"/>
        <v>0</v>
      </c>
      <c r="C28" s="477">
        <f t="shared" ca="1" si="3"/>
        <v>0</v>
      </c>
      <c r="D28" s="477">
        <f t="shared" si="4"/>
        <v>0</v>
      </c>
      <c r="E28" s="477">
        <f t="shared" si="5"/>
        <v>0</v>
      </c>
      <c r="F28" s="477">
        <f t="shared" si="6"/>
        <v>0</v>
      </c>
      <c r="G28" s="477">
        <f t="shared" si="7"/>
        <v>274.73310433705336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274.73310433705336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67.667790645322171</v>
      </c>
      <c r="C32" s="477">
        <f t="shared" ca="1" si="3"/>
        <v>0</v>
      </c>
      <c r="D32" s="477">
        <f t="shared" si="4"/>
        <v>396.24647240000002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463.91426304532217</v>
      </c>
    </row>
    <row r="33" spans="1:17" s="486" customFormat="1">
      <c r="A33" s="1039" t="s">
        <v>555</v>
      </c>
      <c r="B33" s="987">
        <f ca="1">SUM(B22:B32)</f>
        <v>6986.1391594110528</v>
      </c>
      <c r="C33" s="987">
        <f t="shared" ref="C33:Q33" ca="1" si="18">SUM(C22:C32)</f>
        <v>0</v>
      </c>
      <c r="D33" s="987">
        <f t="shared" ca="1" si="18"/>
        <v>9657.4701901365115</v>
      </c>
      <c r="E33" s="987">
        <f t="shared" si="18"/>
        <v>449.13460134996541</v>
      </c>
      <c r="F33" s="987">
        <f t="shared" ca="1" si="18"/>
        <v>16374.211395771541</v>
      </c>
      <c r="G33" s="987">
        <f t="shared" si="18"/>
        <v>19187.82767313303</v>
      </c>
      <c r="H33" s="987">
        <f t="shared" si="18"/>
        <v>3916.2687631177414</v>
      </c>
      <c r="I33" s="987">
        <f t="shared" si="18"/>
        <v>0</v>
      </c>
      <c r="J33" s="987">
        <f t="shared" si="18"/>
        <v>154.1504814398283</v>
      </c>
      <c r="K33" s="987">
        <f t="shared" si="18"/>
        <v>0</v>
      </c>
      <c r="L33" s="987">
        <f t="shared" ca="1" si="18"/>
        <v>0</v>
      </c>
      <c r="M33" s="987">
        <f t="shared" si="18"/>
        <v>0</v>
      </c>
      <c r="N33" s="987">
        <f t="shared" ca="1" si="18"/>
        <v>0</v>
      </c>
      <c r="O33" s="987">
        <f t="shared" si="18"/>
        <v>0</v>
      </c>
      <c r="P33" s="987">
        <f t="shared" si="18"/>
        <v>0</v>
      </c>
      <c r="Q33" s="987">
        <f t="shared" ca="1" si="18"/>
        <v>56725.202264359665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7320.490704250491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4500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5294.1176470588243</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11820.490704250491</v>
      </c>
      <c r="C10" s="1060">
        <f>SUM(C4:C9)</f>
        <v>0</v>
      </c>
      <c r="D10" s="1060">
        <f t="shared" ref="D10:H10" si="0">SUM(D8:D9)</f>
        <v>0</v>
      </c>
      <c r="E10" s="1060">
        <f t="shared" si="0"/>
        <v>0</v>
      </c>
      <c r="F10" s="1060">
        <f t="shared" si="0"/>
        <v>0</v>
      </c>
      <c r="G10" s="1060">
        <f t="shared" si="0"/>
        <v>0</v>
      </c>
      <c r="H10" s="1060">
        <f t="shared" si="0"/>
        <v>0</v>
      </c>
      <c r="I10" s="1060">
        <f>SUM(I8:I9)</f>
        <v>0</v>
      </c>
      <c r="J10" s="1060">
        <f>SUM(J8:J9)</f>
        <v>5294.1176470588243</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0.16085242121538981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6428.5714285714284</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7563.0252100840344</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6428.5714285714284</v>
      </c>
      <c r="C20" s="1060">
        <f>SUM(C17:C19)</f>
        <v>0</v>
      </c>
      <c r="D20" s="1060">
        <f t="shared" ref="D20:H20" si="2">SUM(D17:D19)</f>
        <v>0</v>
      </c>
      <c r="E20" s="1060">
        <f t="shared" si="2"/>
        <v>0</v>
      </c>
      <c r="F20" s="1060">
        <f t="shared" si="2"/>
        <v>0</v>
      </c>
      <c r="G20" s="1060">
        <f t="shared" si="2"/>
        <v>0</v>
      </c>
      <c r="H20" s="1060">
        <f t="shared" si="2"/>
        <v>0</v>
      </c>
      <c r="I20" s="1060">
        <f>SUM(I17:I19)</f>
        <v>0</v>
      </c>
      <c r="J20" s="1060">
        <f>SUM(J17:J19)</f>
        <v>7563.0252100840344</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0.16085242121538981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2019-08-12T08:35:13Z</dcterms:modified>
</cp:coreProperties>
</file>