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B17" i="18"/>
  <c r="B20" s="1"/>
  <c r="G12"/>
  <c r="F12"/>
  <c r="E12"/>
  <c r="D12"/>
  <c r="C12"/>
  <c r="L10"/>
  <c r="K10"/>
  <c r="E77" i="14"/>
  <c r="E9" i="61" s="1"/>
  <c r="B8" i="18"/>
  <c r="B6"/>
  <c r="B5"/>
  <c r="B73" i="14" s="1"/>
  <c r="B5" i="61" s="1"/>
  <c r="B4" i="18"/>
  <c r="B72" i="14" s="1"/>
  <c r="B4" i="61" s="1"/>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Q22" s="1"/>
  <c r="P19"/>
  <c r="P22" s="1"/>
  <c r="O19"/>
  <c r="O22" s="1"/>
  <c r="M19"/>
  <c r="L19"/>
  <c r="K19"/>
  <c r="K22" s="1"/>
  <c r="J19"/>
  <c r="I19"/>
  <c r="G19"/>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20" s="1"/>
  <c r="K90" i="14"/>
  <c r="E90"/>
  <c r="E18" i="61"/>
  <c r="N78" i="14"/>
  <c r="N9" i="61"/>
  <c r="L90" i="14"/>
  <c r="L18" i="61"/>
  <c r="L78" i="14"/>
  <c r="L8" i="61"/>
  <c r="L10" s="1"/>
  <c r="L20"/>
  <c r="P31" i="48"/>
  <c r="J22" i="14"/>
  <c r="O10" i="61"/>
  <c r="G20"/>
  <c r="Q11" i="48"/>
  <c r="O25"/>
  <c r="N10" i="61"/>
  <c r="E20"/>
  <c r="O32" i="48"/>
  <c r="C98" i="18"/>
  <c r="B101" s="1"/>
  <c r="C8" s="1"/>
  <c r="D13" i="15"/>
  <c r="O30" i="48"/>
  <c r="C13" i="15"/>
  <c r="K78" i="14"/>
  <c r="K8" i="61"/>
  <c r="K10" s="1"/>
  <c r="B10" i="18"/>
  <c r="M77" i="14"/>
  <c r="M9" i="61" s="1"/>
  <c r="H9" i="18"/>
  <c r="O9" s="1"/>
  <c r="G77" i="14"/>
  <c r="G9" i="61" s="1"/>
  <c r="G10" s="1"/>
  <c r="H20"/>
  <c r="P25" i="48"/>
  <c r="I77" i="14"/>
  <c r="I9" i="61" s="1"/>
  <c r="L13" i="15"/>
  <c r="B13"/>
  <c r="H90" i="14"/>
  <c r="N13" i="15"/>
  <c r="F77" i="14"/>
  <c r="F9" i="61" s="1"/>
  <c r="I101" i="18"/>
  <c r="H8" s="1"/>
  <c r="E101"/>
  <c r="E8" s="1"/>
  <c r="G101"/>
  <c r="I8" s="1"/>
  <c r="F101"/>
  <c r="H101"/>
  <c r="D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G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J78" i="14" l="1"/>
  <c r="J8" i="61"/>
  <c r="J10" s="1"/>
  <c r="J90" i="14"/>
  <c r="J17" i="61"/>
  <c r="J20" s="1"/>
  <c r="Q90" i="14"/>
  <c r="B17" i="6" s="1"/>
  <c r="P17" i="61"/>
  <c r="P20" s="1"/>
  <c r="Q78" i="14"/>
  <c r="B9" i="6" s="1"/>
  <c r="P8" i="61"/>
  <c r="P1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32"/>
  <c r="D24"/>
  <c r="L29"/>
  <c r="L32"/>
  <c r="L30"/>
  <c r="L31"/>
  <c r="L28"/>
  <c r="L24"/>
  <c r="L22"/>
  <c r="L27"/>
  <c r="Q10" i="14"/>
  <c r="P5" i="48"/>
  <c r="P23" s="1"/>
  <c r="K32"/>
  <c r="K31"/>
  <c r="K24"/>
  <c r="K22"/>
  <c r="K26"/>
  <c r="K27"/>
  <c r="K29"/>
  <c r="K25"/>
  <c r="K30"/>
  <c r="K28"/>
  <c r="B7"/>
  <c r="C24" i="14"/>
  <c r="C26" s="1"/>
  <c r="J29" i="48"/>
  <c r="J30"/>
  <c r="J32"/>
  <c r="J24"/>
  <c r="J31"/>
  <c r="J28"/>
  <c r="J27"/>
  <c r="P4"/>
  <c r="Q11" i="14"/>
  <c r="O4" i="48"/>
  <c r="P11" i="14"/>
  <c r="I29" i="48"/>
  <c r="I24"/>
  <c r="I25"/>
  <c r="I31"/>
  <c r="I28"/>
  <c r="I30"/>
  <c r="I22"/>
  <c r="I32"/>
  <c r="I26"/>
  <c r="I27"/>
  <c r="E11" i="14"/>
  <c r="D4" i="48"/>
  <c r="D22" s="1"/>
  <c r="H29"/>
  <c r="H32"/>
  <c r="H28"/>
  <c r="H30"/>
  <c r="H26"/>
  <c r="H24"/>
  <c r="H22"/>
  <c r="H25"/>
  <c r="H23"/>
  <c r="C4"/>
  <c r="D11" i="14"/>
  <c r="G23" i="48"/>
  <c r="G22"/>
  <c r="G30"/>
  <c r="G32"/>
  <c r="G26"/>
  <c r="G29"/>
  <c r="G25"/>
  <c r="G24"/>
  <c r="B4"/>
  <c r="C11" i="14"/>
  <c r="F30" i="48"/>
  <c r="F32"/>
  <c r="F24"/>
  <c r="F28"/>
  <c r="F29"/>
  <c r="F31"/>
  <c r="F27"/>
  <c r="N27"/>
  <c r="N31"/>
  <c r="N32"/>
  <c r="N24"/>
  <c r="N30"/>
  <c r="N29"/>
  <c r="N28"/>
  <c r="B10"/>
  <c r="C19" i="14"/>
  <c r="E31" i="48"/>
  <c r="E24"/>
  <c r="E30"/>
  <c r="E28"/>
  <c r="E32"/>
  <c r="E29"/>
  <c r="M29"/>
  <c r="M25"/>
  <c r="M22"/>
  <c r="M26"/>
  <c r="M24"/>
  <c r="M30"/>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P22"/>
  <c r="P15"/>
  <c r="B9"/>
  <c r="C20" i="14"/>
  <c r="C22" s="1"/>
  <c r="J7" i="48"/>
  <c r="J25" s="1"/>
  <c r="K24" i="14"/>
  <c r="K26" s="1"/>
  <c r="G11"/>
  <c r="F4" i="48"/>
  <c r="F22" s="1"/>
  <c r="I5"/>
  <c r="J10" i="14"/>
  <c r="J16" s="1"/>
  <c r="J27" s="1"/>
  <c r="O22" i="48"/>
  <c r="H18" i="14"/>
  <c r="G13" i="48"/>
  <c r="G31" s="1"/>
  <c r="K23"/>
  <c r="K15"/>
  <c r="E9"/>
  <c r="E27" s="1"/>
  <c r="F20" i="14"/>
  <c r="F22" s="1"/>
  <c r="P8" i="48"/>
  <c r="P26" s="1"/>
  <c r="Q13" i="14"/>
  <c r="K33" i="48"/>
  <c r="Q16" i="14"/>
  <c r="Q27"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N19" i="14" l="1"/>
  <c r="M10" i="48"/>
  <c r="M28" s="1"/>
  <c r="G10"/>
  <c r="H19" i="14"/>
  <c r="E7" i="48"/>
  <c r="E25" s="1"/>
  <c r="F24" i="14"/>
  <c r="F26" s="1"/>
  <c r="F11"/>
  <c r="R11" s="1"/>
  <c r="E4" i="48"/>
  <c r="P13" i="14"/>
  <c r="P16" s="1"/>
  <c r="P27" s="1"/>
  <c r="O8" i="48"/>
  <c r="J4"/>
  <c r="K11" i="14"/>
  <c r="O11"/>
  <c r="N4" i="48"/>
  <c r="N22" s="1"/>
  <c r="I15"/>
  <c r="I23"/>
  <c r="I33" s="1"/>
  <c r="J63" i="14"/>
  <c r="E12" i="17"/>
  <c r="F54" i="14" s="1"/>
  <c r="F56" s="1"/>
  <c r="M14" i="22"/>
  <c r="N20" i="14" s="1"/>
  <c r="N22" s="1"/>
  <c r="N27" s="1"/>
  <c r="P33" i="48"/>
  <c r="I20" i="14"/>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P63" l="1"/>
  <c r="E22" i="48"/>
  <c r="Q4"/>
  <c r="G9"/>
  <c r="H20" i="14"/>
  <c r="H22" s="1"/>
  <c r="H27" s="1"/>
  <c r="O26" i="48"/>
  <c r="O33" s="1"/>
  <c r="O15"/>
  <c r="J5"/>
  <c r="J23" s="1"/>
  <c r="K10" i="14"/>
  <c r="J22" i="48"/>
  <c r="G28"/>
  <c r="Q10"/>
  <c r="E5"/>
  <c r="E23" s="1"/>
  <c r="F10" i="14"/>
  <c r="R19"/>
  <c r="Q7" i="48"/>
  <c r="M18" i="22"/>
  <c r="N50" i="14" s="1"/>
  <c r="N52" s="1"/>
  <c r="N61" s="1"/>
  <c r="N63" s="1"/>
  <c r="M9" i="48"/>
  <c r="Q9" s="1"/>
  <c r="H15"/>
  <c r="H27"/>
  <c r="H33" s="1"/>
  <c r="R20" i="14"/>
  <c r="R22" s="1"/>
  <c r="R24"/>
  <c r="R26" s="1"/>
  <c r="N18" i="16"/>
  <c r="E20" i="15"/>
  <c r="F40" i="14" s="1"/>
  <c r="F18" i="16"/>
  <c r="J18"/>
  <c r="E18"/>
  <c r="G18" i="22"/>
  <c r="H50" i="14" s="1"/>
  <c r="H52" s="1"/>
  <c r="H61" s="1"/>
  <c r="H18" i="22"/>
  <c r="I50" i="14" s="1"/>
  <c r="I52" s="1"/>
  <c r="I61" s="1"/>
  <c r="I63" s="1"/>
  <c r="J8" i="48" l="1"/>
  <c r="J26" s="1"/>
  <c r="J33" s="1"/>
  <c r="K13" i="14"/>
  <c r="K16" s="1"/>
  <c r="K27" s="1"/>
  <c r="K63" s="1"/>
  <c r="E8" i="48"/>
  <c r="E26" s="1"/>
  <c r="F13" i="14"/>
  <c r="G27" i="48"/>
  <c r="G33" s="1"/>
  <c r="G15"/>
  <c r="M15"/>
  <c r="M27"/>
  <c r="M33" s="1"/>
  <c r="F16" i="14"/>
  <c r="F27" s="1"/>
  <c r="F63" s="1"/>
  <c r="F46"/>
  <c r="F61" s="1"/>
  <c r="E33" i="48"/>
  <c r="J15"/>
  <c r="H63" i="14"/>
  <c r="N8" i="48"/>
  <c r="N26" s="1"/>
  <c r="O13" i="14"/>
  <c r="F8" i="48"/>
  <c r="G13" i="14"/>
  <c r="E22" i="16"/>
  <c r="F43" i="14" s="1"/>
  <c r="F22" i="16"/>
  <c r="G43" i="14" s="1"/>
  <c r="N22" i="16"/>
  <c r="O43" i="14" s="1"/>
  <c r="J22" i="16"/>
  <c r="K43" i="14" s="1"/>
  <c r="K46" s="1"/>
  <c r="K61" s="1"/>
  <c r="R13" l="1"/>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<sst xmlns="http://schemas.openxmlformats.org/spreadsheetml/2006/main" count="2401" uniqueCount="894">
  <si>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</si>
  <si>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</si>
  <si>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</si>
  <si>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</si>
  <si>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</si>
  <si>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</si>
  <si>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</si>
  <si>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</si>
  <si>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</si>
  <si>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</si>
  <si>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</si>
  <si>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</si>
  <si>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</si>
  <si>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</si>
  <si>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</si>
  <si>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</si>
  <si>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</si>
  <si>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</si>
  <si>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</si>
  <si>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</si>
  <si>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</si>
  <si>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</si>
  <si>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</si>
  <si>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</si>
  <si>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</si>
  <si>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</si>
  <si>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</si>
  <si>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</si>
  <si>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</si>
  <si>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</si>
  <si>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</si>
  <si>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</si>
  <si>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</si>
  <si>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</si>
  <si>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</si>
  <si>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</si>
  <si>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</si>
  <si>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</si>
  <si>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</si>
  <si>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</si>
  <si>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</si>
  <si>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</si>
  <si>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</si>
  <si>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</si>
  <si>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</si>
  <si>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</si>
  <si>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</si>
  <si>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</si>
  <si>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</si>
  <si>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</si>
  <si>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</si>
  <si>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</si>
  <si>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</si>
  <si>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</si>
  <si>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</si>
  <si>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</si>
  <si>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</si>
  <si>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</si>
  <si>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</si>
  <si>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</si>
  <si>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</si>
  <si>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</si>
  <si>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</si>
  <si>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</si>
  <si>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</si>
  <si>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</si>
  <si>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</si>
  <si>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</si>
  <si>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</si>
  <si>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</si>
  <si>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</si>
  <si>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</si>
  <si>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</si>
  <si>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</si>
  <si>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</si>
  <si>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</si>
  <si>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</si>
  <si>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</si>
  <si>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</si>
  <si>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</si>
  <si>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</si>
  <si>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</si>
  <si>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</si>
  <si>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</si>
  <si>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</si>
  <si>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</si>
  <si>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</si>
  <si>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</si>
  <si>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</si>
  <si>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</si>
  <si>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</si>
  <si>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</si>
  <si>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</si>
  <si>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</si>
  <si>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</si>
  <si>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</si>
  <si>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</si>
  <si>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</si>
  <si>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</si>
  <si>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</si>
  <si>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</si>
  <si>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</si>
  <si>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</si>
  <si>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</si>
  <si>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</si>
  <si>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</si>
  <si>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</si>
  <si>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</si>
  <si>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</si>
  <si>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</si>
  <si>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</si>
  <si>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</si>
  <si>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</si>
  <si>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</si>
  <si>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</si>
  <si>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</si>
  <si>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</si>
  <si>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</si>
  <si>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</si>
  <si>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</si>
  <si>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</si>
  <si>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</si>
  <si>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</si>
  <si>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</si>
  <si>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</si>
  <si>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</si>
  <si>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</si>
  <si>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</si>
  <si>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</si>
  <si>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</si>
  <si>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</si>
  <si>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</si>
  <si>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</si>
  <si>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</si>
  <si>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</si>
  <si>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</si>
  <si>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</si>
  <si>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</si>
  <si>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</si>
  <si>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</si>
  <si>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</si>
  <si>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</si>
  <si>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</si>
  <si>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</si>
  <si>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</si>
  <si>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</si>
  <si>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</si>
  <si>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</si>
  <si>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</si>
  <si>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</si>
  <si>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</si>
  <si>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</si>
  <si>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</si>
  <si>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</si>
  <si>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</si>
  <si>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</si>
  <si>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</si>
  <si>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</si>
  <si>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</si>
  <si>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</si>
  <si>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</si>
  <si>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</si>
  <si>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</si>
  <si>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</si>
  <si>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</si>
  <si>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</si>
  <si>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</si>
  <si>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</si>
  <si>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</si>
  <si>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</si>
  <si>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</si>
  <si>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</si>
  <si>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</si>
  <si>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</si>
  <si>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</si>
  <si>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</si>
  <si>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</si>
  <si>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</si>
  <si>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</si>
  <si>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</si>
  <si>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</si>
  <si>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</si>
  <si>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</si>
  <si>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</si>
  <si>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</si>
  <si>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</si>
  <si>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</si>
  <si>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</si>
  <si>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</si>
  <si>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</si>
  <si>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</si>
  <si>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</si>
  <si>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</si>
  <si>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</si>
  <si>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</si>
  <si>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</si>
  <si>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</si>
  <si>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</si>
  <si>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</si>
  <si>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</si>
  <si>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</si>
  <si>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</si>
  <si>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</si>
  <si>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</si>
  <si>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</si>
  <si>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</si>
  <si>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</si>
  <si>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</si>
  <si>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</si>
  <si>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</si>
  <si>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</si>
  <si>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</si>
  <si>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</si>
  <si>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</si>
  <si>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</si>
  <si>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</si>
  <si>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</si>
  <si>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</si>
  <si>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</si>
  <si>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</si>
  <si>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</si>
  <si>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</si>
  <si>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</si>
  <si>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</si>
  <si>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</si>
  <si>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</si>
  <si>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</si>
  <si>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</si>
  <si>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</si>
  <si>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</si>
  <si>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</si>
  <si>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</si>
  <si>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</si>
  <si>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</si>
  <si>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</si>
  <si>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</si>
  <si>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</si>
  <si>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</si>
  <si>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</si>
  <si>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</si>
  <si>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</si>
  <si>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</si>
  <si>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</si>
  <si>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</si>
  <si>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</si>
  <si>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</si>
  <si>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</si>
  <si>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</si>
  <si>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</si>
  <si>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</si>
  <si>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</si>
  <si>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</si>
  <si>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</si>
  <si>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</si>
  <si>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</si>
  <si>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</si>
  <si>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</si>
  <si>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</si>
  <si>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</si>
  <si>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</si>
  <si>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</si>
  <si>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</si>
  <si>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</si>
  <si>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</si>
  <si>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</si>
  <si>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</si>
  <si>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</si>
  <si>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</si>
  <si>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</si>
  <si>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</si>
  <si>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</si>
  <si>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</si>
  <si>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</si>
  <si>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</si>
  <si>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</si>
  <si>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</si>
  <si>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</si>
  <si>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</si>
  <si>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</si>
  <si>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</si>
  <si>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</si>
  <si>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</si>
  <si>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</si>
  <si>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</si>
  <si>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</si>
  <si>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</si>
  <si>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</si>
  <si>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</si>
  <si>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</si>
  <si>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</si>
  <si>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</si>
  <si>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</si>
  <si>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</si>
  <si>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</si>
  <si>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</si>
  <si>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</si>
  <si>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</si>
  <si>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</si>
  <si>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</si>
  <si>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</si>
  <si>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</si>
  <si>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</si>
  <si>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</si>
  <si>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</si>
  <si>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</si>
  <si>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</si>
  <si>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</si>
  <si>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</si>
  <si>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</si>
  <si>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</si>
  <si>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</si>
  <si>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</si>
  <si>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</si>
  <si>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</si>
  <si>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</si>
  <si>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</si>
  <si>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</si>
  <si>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</si>
  <si>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</si>
  <si>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</si>
  <si>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</si>
  <si>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</si>
  <si>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</si>
  <si>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</si>
  <si>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</si>
  <si>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</si>
  <si>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</si>
  <si>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</si>
  <si>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</si>
  <si>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</si>
  <si>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</si>
  <si>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</si>
  <si>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</si>
  <si>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</si>
  <si>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</si>
  <si>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</si>
  <si>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</si>
  <si>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</si>
  <si>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</si>
  <si>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</si>
  <si>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</si>
  <si>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</si>
  <si>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</si>
  <si>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</si>
  <si>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</si>
  <si>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</si>
  <si>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</si>
  <si>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</si>
  <si>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</si>
  <si>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</si>
  <si>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</si>
  <si>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</si>
  <si>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</si>
  <si>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</si>
  <si>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</si>
  <si>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</si>
  <si>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</si>
  <si>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</si>
  <si>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</si>
  <si>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</si>
  <si>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</si>
  <si>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</si>
  <si>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</si>
  <si>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</si>
  <si>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</si>
  <si>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</si>
  <si>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</si>
  <si>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</si>
  <si>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</si>
  <si>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</si>
  <si>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</si>
  <si>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</si>
  <si>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</si>
  <si>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</si>
  <si>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</si>
  <si>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</si>
  <si>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</si>
  <si>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</si>
  <si>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</si>
  <si>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</si>
  <si>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</si>
  <si>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</si>
  <si>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</si>
  <si>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</si>
  <si>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</si>
  <si>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</si>
  <si>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</si>
  <si>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</si>
  <si>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</si>
  <si>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</si>
  <si>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</si>
  <si>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</si>
  <si>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</si>
  <si>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</si>
  <si>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</si>
  <si>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</si>
  <si>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</si>
  <si>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</si>
  <si>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</si>
  <si>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</si>
  <si>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</si>
  <si>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</si>
  <si>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</si>
  <si>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</si>
  <si>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</si>
  <si>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</si>
  <si>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</si>
  <si>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</si>
  <si>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</si>
  <si>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</si>
  <si>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</si>
  <si>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</si>
  <si>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</si>
  <si>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</si>
  <si>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</si>
  <si>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</si>
  <si>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</si>
  <si>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</si>
  <si>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</si>
  <si>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</si>
  <si>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</si>
  <si>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</si>
  <si>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</si>
  <si>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</si>
  <si>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</si>
  <si>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</si>
  <si>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</si>
  <si>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</si>
  <si>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</si>
  <si>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</si>
  <si>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</si>
  <si>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</si>
  <si>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</si>
  <si>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</si>
  <si>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</si>
  <si>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</si>
  <si>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</si>
  <si>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</si>
  <si>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</si>
  <si>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</si>
  <si>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</si>
  <si>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</si>
  <si>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</si>
  <si>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</si>
  <si>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</si>
  <si>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</si>
  <si>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</si>
  <si>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</si>
  <si>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</si>
  <si>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</si>
  <si>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</si>
  <si>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</si>
  <si>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</si>
  <si>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</si>
  <si>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</si>
  <si>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</si>
  <si>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</si>
  <si>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</si>
  <si>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</si>
  <si>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</si>
  <si>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</si>
  <si>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</si>
  <si>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</si>
  <si>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</si>
  <si>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</si>
  <si>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</si>
  <si>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</si>
  <si>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</si>
  <si>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</si>
  <si>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</si>
  <si>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</si>
  <si>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</si>
  <si>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</si>
  <si>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</si>
  <si>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</si>
  <si>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</si>
  <si>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</si>
  <si>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</si>
  <si>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</si>
  <si>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</si>
  <si>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</si>
  <si>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</si>
  <si>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</si>
  <si>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</si>
  <si>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</si>
  <si>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</si>
  <si>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</si>
  <si>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</si>
  <si>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</si>
  <si>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</si>
  <si>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</si>
  <si>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</si>
  <si>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</si>
  <si>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</si>
  <si>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</si>
  <si>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</si>
  <si>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</si>
  <si>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</si>
  <si>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</si>
  <si>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</si>
  <si>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</si>
  <si>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</si>
  <si>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</si>
  <si>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</si>
  <si>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</si>
  <si>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</si>
  <si>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</si>
  <si>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</si>
  <si>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</si>
  <si>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</si>
  <si>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</si>
  <si>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</si>
  <si>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</si>
  <si>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</si>
  <si>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</si>
  <si>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</si>
  <si>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</si>
  <si>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</si>
  <si>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</si>
  <si>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</si>
  <si>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</si>
  <si>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</si>
  <si>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</si>
  <si>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</si>
  <si>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</si>
  <si>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</si>
  <si>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</si>
  <si>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</si>
  <si>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</si>
  <si>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</si>
  <si>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</si>
  <si>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</si>
  <si>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</si>
  <si>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</si>
  <si>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</si>
  <si>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</si>
  <si>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</si>
  <si>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</si>
  <si>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</si>
  <si>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</si>
  <si>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</si>
  <si>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</si>
  <si>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</si>
  <si>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</si>
  <si>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</si>
  <si>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</si>
  <si>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</si>
  <si>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</si>
  <si>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</si>
  <si>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</si>
  <si>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</si>
  <si>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</si>
  <si>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</si>
  <si>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</si>
  <si>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</si>
  <si>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</si>
  <si>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</si>
  <si>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</si>
  <si>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</si>
  <si>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</si>
  <si>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</si>
  <si>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</si>
  <si>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</si>
  <si>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</si>
  <si>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</si>
  <si>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</si>
  <si>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</si>
  <si>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</si>
  <si>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</si>
  <si>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</si>
  <si>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</si>
  <si>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</si>
  <si>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</si>
  <si>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</si>
  <si>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</si>
  <si>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</si>
  <si>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</si>
  <si>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</si>
  <si>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</si>
  <si>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</si>
  <si>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</si>
  <si>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</si>
  <si>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</si>
  <si>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</si>
  <si>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</si>
  <si>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</si>
  <si>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</si>
  <si>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</si>
  <si>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</si>
  <si>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</si>
  <si>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</si>
  <si>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</si>
  <si>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</si>
  <si>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</si>
  <si>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</si>
  <si>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</si>
  <si>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</si>
  <si>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</si>
  <si>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</si>
  <si>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</si>
  <si>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</si>
  <si>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</si>
  <si>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</si>
  <si>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</si>
  <si>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</si>
  <si>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</si>
  <si>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</si>
  <si>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</si>
  <si>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</si>
  <si>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</si>
  <si>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</si>
  <si>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</si>
  <si>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</si>
  <si>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</si>
  <si>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</si>
  <si>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</si>
  <si>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</si>
  <si>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</si>
  <si>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</si>
  <si>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</si>
  <si>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</si>
  <si>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</si>
  <si>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</si>
  <si>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</si>
  <si>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</si>
  <si>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</si>
  <si>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</si>
  <si>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</si>
  <si>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</si>
  <si>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</si>
  <si>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</si>
  <si>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</si>
  <si>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</si>
  <si>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</si>
  <si>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</si>
  <si>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</si>
  <si>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</si>
  <si>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</si>
  <si>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</si>
  <si>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</si>
  <si>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</si>
  <si>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</si>
  <si>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</si>
  <si>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</si>
  <si>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</si>
  <si>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</si>
  <si>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</si>
  <si>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</si>
  <si>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</si>
  <si>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</si>
  <si>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</si>
  <si>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</si>
  <si>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</si>
  <si>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</si>
  <si>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</si>
  <si>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</si>
  <si>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</si>
  <si>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</si>
  <si>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</si>
  <si>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</si>
  <si>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</si>
  <si>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</si>
  <si>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</si>
  <si>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</si>
  <si>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</si>
  <si>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</si>
  <si>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</si>
  <si>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</si>
  <si>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</si>
  <si>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</si>
  <si>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</si>
  <si>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</si>
  <si>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</si>
  <si>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</si>
  <si>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</si>
  <si>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</si>
  <si>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</si>
  <si>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</si>
  <si>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</si>
  <si>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</si>
  <si>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</si>
  <si>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</si>
  <si>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</si>
  <si>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</si>
  <si>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</si>
  <si>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</si>
  <si>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</si>
  <si>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</si>
  <si>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</si>
  <si>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</si>
  <si>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</si>
  <si>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</si>
  <si>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</si>
  <si>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</si>
  <si>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</si>
  <si>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</si>
  <si>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</si>
  <si>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</si>
  <si>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</si>
  <si>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</si>
  <si>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</si>
  <si>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</si>
  <si>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</si>
  <si>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</si>
  <si>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</si>
  <si>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</si>
  <si>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</si>
  <si>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</si>
  <si>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</si>
  <si>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</si>
  <si>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</si>
  <si>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</si>
  <si>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</si>
  <si>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</si>
  <si>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</si>
  <si>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</si>
  <si>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</si>
  <si>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</si>
  <si>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</si>
  <si>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</si>
  <si>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</si>
  <si>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</si>
  <si>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</si>
  <si>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</si>
  <si>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</si>
  <si>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</si>
  <si>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</si>
  <si>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</si>
  <si>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</si>
  <si>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</si>
  <si>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</si>
  <si>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</si>
  <si>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</si>
  <si>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</si>
  <si>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</si>
  <si>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</si>
  <si>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</si>
  <si>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</si>
  <si>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</si>
  <si>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</si>
  <si>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</si>
  <si>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</si>
  <si>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</si>
  <si>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</si>
  <si>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</si>
  <si>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</si>
  <si>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</si>
  <si>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</si>
  <si>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</si>
  <si>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</si>
  <si>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</si>
  <si>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</si>
  <si>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</si>
  <si>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</si>
  <si>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</si>
  <si>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</si>
  <si>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</si>
  <si>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</si>
  <si>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</si>
  <si>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</si>
  <si>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</si>
  <si>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</si>
  <si>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</si>
  <si>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</si>
  <si>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</si>
  <si>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</si>
  <si>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</si>
  <si>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</si>
  <si>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</si>
  <si>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</si>
  <si>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</si>
  <si>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</si>
  <si>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</si>
  <si>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</si>
  <si>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</si>
  <si>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</si>
  <si>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</si>
  <si>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</si>
  <si>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</si>
  <si>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</si>
  <si>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</si>
  <si>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</si>
  <si>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</si>
  <si>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</si>
  <si>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</si>
  <si>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</si>
  <si>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</si>
  <si>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</si>
  <si>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</si>
  <si>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</si>
  <si>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</si>
  <si>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</si>
  <si>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</si>
  <si>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</si>
  <si>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</si>
  <si>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</si>
  <si>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</si>
  <si>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</si>
  <si>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</si>
  <si>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</si>
  <si>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</si>
  <si>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</si>
  <si>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</si>
  <si>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</si>
  <si>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</si>
  <si>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</si>
  <si>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</si>
  <si>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</si>
  <si>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</si>
  <si>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</si>
  <si>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</si>
  <si>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</si>
  <si>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</si>
  <si>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</si>
  <si>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</si>
  <si>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</si>
  <si>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</si>
  <si>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</si>
  <si>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</si>
  <si>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</si>
  <si>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</si>
  <si>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</si>
  <si>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</si>
  <si>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</si>
  <si>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</si>
  <si>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</si>
  <si>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</si>
  <si>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</si>
  <si>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</si>
  <si>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</si>
  <si>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</si>
  <si>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</si>
  <si>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</si>
  <si>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</si>
  <si>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</si>
  <si>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</si>
  <si>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</si>
  <si>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</si>
  <si>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</si>
  <si>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</si>
  <si>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</si>
  <si>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</si>
  <si>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</si>
  <si>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</si>
  <si>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</si>
  <si>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</si>
  <si>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</si>
  <si>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</si>
  <si>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</si>
  <si>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</si>
  <si>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</si>
  <si>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</si>
  <si>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</si>
  <si>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</si>
  <si>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</si>
  <si>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</si>
  <si>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</si>
  <si>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</si>
  <si>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</si>
  <si>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</si>
  <si>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</si>
  <si>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</si>
  <si>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</si>
  <si>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</si>
  <si>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</si>
  <si>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</si>
  <si>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</si>
  <si>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</si>
  <si>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</si>
  <si>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</si>
  <si>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</si>
  <si>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</si>
  <si>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</si>
  <si>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71016</t>
  </si>
  <si>
    <t>GENK</t>
  </si>
  <si>
    <t>Eandis (januari 2018); Infrax (juni 2018)</t>
  </si>
  <si>
    <t>MOW (september 2017)</t>
  </si>
  <si>
    <t>referentietaak LNE (2017); Jaarverslag De Lijn (2016)</t>
  </si>
  <si>
    <t>VEA (april 2018)</t>
  </si>
  <si>
    <t>VEA (januari 2017)</t>
  </si>
  <si>
    <t>VEA (juni 2018)</t>
  </si>
  <si>
    <t>AFI Winterslag vzw</t>
  </si>
  <si>
    <t>Vennestraat 98/1 , 3600 Genk</t>
  </si>
  <si>
    <t>WKK-0436 AFI Winterslag</t>
  </si>
  <si>
    <t>interne verbrandingsmotor</t>
  </si>
  <si>
    <t>WKK interne verbrandinsgmotor (gas)</t>
  </si>
  <si>
    <t>Vennestraat 98 , 3600 Genk</t>
  </si>
  <si>
    <t>Inter-Energa</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</si>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</sst>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441456.7339219132</c:v>
                </c:pt>
                <c:pt idx="1">
                  <c:v>327112.36751927412</c:v>
                </c:pt>
                <c:pt idx="2">
                  <c:v>4006.2060000000001</c:v>
                </c:pt>
                <c:pt idx="3">
                  <c:v>2314.2854555704903</c:v>
                </c:pt>
                <c:pt idx="4">
                  <c:v>517953.18872169335</c:v>
                </c:pt>
                <c:pt idx="5">
                  <c:v>362531.10673953325</c:v>
                </c:pt>
                <c:pt idx="6">
                  <c:v>15079.937214948479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441456.7339219132</c:v>
                </c:pt>
                <c:pt idx="1">
                  <c:v>327112.36751927412</c:v>
                </c:pt>
                <c:pt idx="2">
                  <c:v>4006.2060000000001</c:v>
                </c:pt>
                <c:pt idx="3">
                  <c:v>2314.2854555704903</c:v>
                </c:pt>
                <c:pt idx="4">
                  <c:v>517953.18872169335</c:v>
                </c:pt>
                <c:pt idx="5">
                  <c:v>362531.10673953325</c:v>
                </c:pt>
                <c:pt idx="6">
                  <c:v>15079.937214948479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92149.404686358786</c:v>
                </c:pt>
                <c:pt idx="2">
                  <c:v>62486.687596652257</c:v>
                </c:pt>
                <c:pt idx="3">
                  <c:v>723.37356996873086</c:v>
                </c:pt>
                <c:pt idx="4">
                  <c:v>571.20322788601959</c:v>
                </c:pt>
                <c:pt idx="5">
                  <c:v>89042.351221413148</c:v>
                </c:pt>
                <c:pt idx="6">
                  <c:v>90766.780382718294</c:v>
                </c:pt>
                <c:pt idx="7">
                  <c:v>3809.9546325955635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92149.404686358786</c:v>
                </c:pt>
                <c:pt idx="2">
                  <c:v>62486.687596652257</c:v>
                </c:pt>
                <c:pt idx="3">
                  <c:v>723.37356996873086</c:v>
                </c:pt>
                <c:pt idx="4">
                  <c:v>571.20322788601959</c:v>
                </c:pt>
                <c:pt idx="5">
                  <c:v>89042.351221413148</c:v>
                </c:pt>
                <c:pt idx="6">
                  <c:v>90766.780382718294</c:v>
                </c:pt>
                <c:pt idx="7">
                  <c:v>3809.9546325955635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71016</v>
      </c>
      <c r="B6" s="415"/>
      <c r="C6" s="416"/>
    </row>
    <row r="7" spans="1:7" s="413" customFormat="1" ht="15.75" customHeight="1">
      <c r="A7" s="417" t="str">
        <f>txtMunicipality</f>
        <v>GENK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0.18056324861196124</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0.18056324861196124</v>
      </c>
      <c r="C29" s="525">
        <f ca="1">'EF ele_warmte'!B22</f>
        <v>0.23764705882352938</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25742</v>
      </c>
      <c r="C9" s="342">
        <v>25945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378.24</v>
      </c>
    </row>
    <row r="15" spans="1:6">
      <c r="A15" s="348" t="s">
        <v>184</v>
      </c>
      <c r="B15" s="334">
        <v>0</v>
      </c>
    </row>
    <row r="16" spans="1:6">
      <c r="A16" s="348" t="s">
        <v>6</v>
      </c>
      <c r="B16" s="334">
        <v>0</v>
      </c>
    </row>
    <row r="17" spans="1:6">
      <c r="A17" s="348" t="s">
        <v>7</v>
      </c>
      <c r="B17" s="334">
        <v>6</v>
      </c>
    </row>
    <row r="18" spans="1:6">
      <c r="A18" s="348" t="s">
        <v>8</v>
      </c>
      <c r="B18" s="334">
        <v>8</v>
      </c>
    </row>
    <row r="19" spans="1:6">
      <c r="A19" s="348" t="s">
        <v>9</v>
      </c>
      <c r="B19" s="334">
        <v>3</v>
      </c>
    </row>
    <row r="20" spans="1:6">
      <c r="A20" s="348" t="s">
        <v>10</v>
      </c>
      <c r="B20" s="334">
        <v>17</v>
      </c>
    </row>
    <row r="21" spans="1:6">
      <c r="A21" s="348" t="s">
        <v>11</v>
      </c>
      <c r="B21" s="334">
        <v>0</v>
      </c>
    </row>
    <row r="22" spans="1:6">
      <c r="A22" s="348" t="s">
        <v>12</v>
      </c>
      <c r="B22" s="334">
        <v>22</v>
      </c>
    </row>
    <row r="23" spans="1:6">
      <c r="A23" s="348" t="s">
        <v>13</v>
      </c>
      <c r="B23" s="334">
        <v>0</v>
      </c>
    </row>
    <row r="24" spans="1:6">
      <c r="A24" s="348" t="s">
        <v>14</v>
      </c>
      <c r="B24" s="334">
        <v>0</v>
      </c>
    </row>
    <row r="25" spans="1:6">
      <c r="A25" s="348" t="s">
        <v>15</v>
      </c>
      <c r="B25" s="334">
        <v>2</v>
      </c>
    </row>
    <row r="26" spans="1:6">
      <c r="A26" s="348" t="s">
        <v>16</v>
      </c>
      <c r="B26" s="334">
        <v>90</v>
      </c>
    </row>
    <row r="27" spans="1:6">
      <c r="A27" s="348" t="s">
        <v>17</v>
      </c>
      <c r="B27" s="334">
        <v>6</v>
      </c>
    </row>
    <row r="28" spans="1:6" s="356" customFormat="1">
      <c r="A28" s="355" t="s">
        <v>18</v>
      </c>
      <c r="B28" s="355">
        <v>29</v>
      </c>
    </row>
    <row r="29" spans="1:6">
      <c r="A29" s="355" t="s">
        <v>744</v>
      </c>
      <c r="B29" s="355">
        <v>63</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86327</v>
      </c>
    </row>
    <row r="36" spans="1:6">
      <c r="A36" s="348" t="s">
        <v>25</v>
      </c>
      <c r="B36" s="348" t="s">
        <v>27</v>
      </c>
      <c r="C36" s="334">
        <v>0</v>
      </c>
      <c r="D36" s="334">
        <v>0</v>
      </c>
      <c r="E36" s="334">
        <v>34</v>
      </c>
      <c r="F36" s="334">
        <v>616474</v>
      </c>
    </row>
    <row r="37" spans="1:6">
      <c r="A37" s="348" t="s">
        <v>25</v>
      </c>
      <c r="B37" s="348" t="s">
        <v>28</v>
      </c>
      <c r="C37" s="334">
        <v>0</v>
      </c>
      <c r="D37" s="334">
        <v>0</v>
      </c>
      <c r="E37" s="334">
        <v>0</v>
      </c>
      <c r="F37" s="334">
        <v>0</v>
      </c>
    </row>
    <row r="38" spans="1:6">
      <c r="A38" s="348" t="s">
        <v>25</v>
      </c>
      <c r="B38" s="348" t="s">
        <v>29</v>
      </c>
      <c r="C38" s="334">
        <v>2</v>
      </c>
      <c r="D38" s="334">
        <v>39556</v>
      </c>
      <c r="E38" s="334">
        <v>0</v>
      </c>
      <c r="F38" s="334">
        <v>0</v>
      </c>
    </row>
    <row r="39" spans="1:6">
      <c r="A39" s="348" t="s">
        <v>30</v>
      </c>
      <c r="B39" s="348" t="s">
        <v>31</v>
      </c>
      <c r="C39" s="334">
        <v>12490</v>
      </c>
      <c r="D39" s="334">
        <v>187555537.67699999</v>
      </c>
      <c r="E39" s="334">
        <v>26108</v>
      </c>
      <c r="F39" s="334">
        <v>109047542.3</v>
      </c>
    </row>
    <row r="40" spans="1:6">
      <c r="A40" s="348" t="s">
        <v>30</v>
      </c>
      <c r="B40" s="348" t="s">
        <v>29</v>
      </c>
      <c r="C40" s="334">
        <v>0</v>
      </c>
      <c r="D40" s="334">
        <v>0</v>
      </c>
      <c r="E40" s="334">
        <v>0</v>
      </c>
      <c r="F40" s="334">
        <v>0</v>
      </c>
    </row>
    <row r="41" spans="1:6">
      <c r="A41" s="348" t="s">
        <v>32</v>
      </c>
      <c r="B41" s="348" t="s">
        <v>33</v>
      </c>
      <c r="C41" s="334">
        <v>156</v>
      </c>
      <c r="D41" s="334">
        <v>7619422.5049999999</v>
      </c>
      <c r="E41" s="334">
        <v>373</v>
      </c>
      <c r="F41" s="334">
        <v>113325861.56200001</v>
      </c>
    </row>
    <row r="42" spans="1:6">
      <c r="A42" s="348" t="s">
        <v>32</v>
      </c>
      <c r="B42" s="348" t="s">
        <v>34</v>
      </c>
      <c r="C42" s="334">
        <v>5</v>
      </c>
      <c r="D42" s="334">
        <v>7714842.0619999999</v>
      </c>
      <c r="E42" s="334">
        <v>10</v>
      </c>
      <c r="F42" s="334">
        <v>33625471.897</v>
      </c>
    </row>
    <row r="43" spans="1:6">
      <c r="A43" s="348" t="s">
        <v>32</v>
      </c>
      <c r="B43" s="348" t="s">
        <v>35</v>
      </c>
      <c r="C43" s="334">
        <v>0</v>
      </c>
      <c r="D43" s="334">
        <v>0</v>
      </c>
      <c r="E43" s="334">
        <v>3</v>
      </c>
      <c r="F43" s="334">
        <v>2538818</v>
      </c>
    </row>
    <row r="44" spans="1:6">
      <c r="A44" s="348" t="s">
        <v>32</v>
      </c>
      <c r="B44" s="348" t="s">
        <v>36</v>
      </c>
      <c r="C44" s="334">
        <v>56</v>
      </c>
      <c r="D44" s="334">
        <v>48115058.758000001</v>
      </c>
      <c r="E44" s="334">
        <v>117</v>
      </c>
      <c r="F44" s="334">
        <v>28685714.386999998</v>
      </c>
    </row>
    <row r="45" spans="1:6">
      <c r="A45" s="348" t="s">
        <v>32</v>
      </c>
      <c r="B45" s="348" t="s">
        <v>37</v>
      </c>
      <c r="C45" s="334">
        <v>5</v>
      </c>
      <c r="D45" s="334">
        <v>495202</v>
      </c>
      <c r="E45" s="334">
        <v>12</v>
      </c>
      <c r="F45" s="334">
        <v>597049</v>
      </c>
    </row>
    <row r="46" spans="1:6">
      <c r="A46" s="348" t="s">
        <v>32</v>
      </c>
      <c r="B46" s="348" t="s">
        <v>38</v>
      </c>
      <c r="C46" s="334">
        <v>0</v>
      </c>
      <c r="D46" s="334">
        <v>0</v>
      </c>
      <c r="E46" s="334">
        <v>0</v>
      </c>
      <c r="F46" s="334">
        <v>0</v>
      </c>
    </row>
    <row r="47" spans="1:6">
      <c r="A47" s="348" t="s">
        <v>32</v>
      </c>
      <c r="B47" s="348" t="s">
        <v>39</v>
      </c>
      <c r="C47" s="334">
        <v>13</v>
      </c>
      <c r="D47" s="334">
        <v>7649543</v>
      </c>
      <c r="E47" s="334">
        <v>22</v>
      </c>
      <c r="F47" s="334">
        <v>16861832.793000001</v>
      </c>
    </row>
    <row r="48" spans="1:6">
      <c r="A48" s="348" t="s">
        <v>32</v>
      </c>
      <c r="B48" s="348" t="s">
        <v>29</v>
      </c>
      <c r="C48" s="334">
        <v>2</v>
      </c>
      <c r="D48" s="334">
        <v>1088611.8570000001</v>
      </c>
      <c r="E48" s="334">
        <v>0</v>
      </c>
      <c r="F48" s="334">
        <v>0</v>
      </c>
    </row>
    <row r="49" spans="1:6">
      <c r="A49" s="348" t="s">
        <v>32</v>
      </c>
      <c r="B49" s="348" t="s">
        <v>40</v>
      </c>
      <c r="C49" s="334">
        <v>6</v>
      </c>
      <c r="D49" s="334">
        <v>8093903.4850000003</v>
      </c>
      <c r="E49" s="334">
        <v>8</v>
      </c>
      <c r="F49" s="334">
        <v>15070465</v>
      </c>
    </row>
    <row r="50" spans="1:6">
      <c r="A50" s="348" t="s">
        <v>32</v>
      </c>
      <c r="B50" s="348" t="s">
        <v>41</v>
      </c>
      <c r="C50" s="334">
        <v>16</v>
      </c>
      <c r="D50" s="334">
        <v>6823638.2939999998</v>
      </c>
      <c r="E50" s="334">
        <v>42</v>
      </c>
      <c r="F50" s="334">
        <v>8666452</v>
      </c>
    </row>
    <row r="51" spans="1:6">
      <c r="A51" s="348" t="s">
        <v>42</v>
      </c>
      <c r="B51" s="348" t="s">
        <v>43</v>
      </c>
      <c r="C51" s="334">
        <v>8</v>
      </c>
      <c r="D51" s="334">
        <v>309065</v>
      </c>
      <c r="E51" s="334">
        <v>29</v>
      </c>
      <c r="F51" s="334">
        <v>381165.9</v>
      </c>
    </row>
    <row r="52" spans="1:6">
      <c r="A52" s="348" t="s">
        <v>42</v>
      </c>
      <c r="B52" s="348" t="s">
        <v>29</v>
      </c>
      <c r="C52" s="334">
        <v>0</v>
      </c>
      <c r="D52" s="334">
        <v>0</v>
      </c>
      <c r="E52" s="334">
        <v>0</v>
      </c>
      <c r="F52" s="334">
        <v>0</v>
      </c>
    </row>
    <row r="53" spans="1:6">
      <c r="A53" s="348" t="s">
        <v>44</v>
      </c>
      <c r="B53" s="348" t="s">
        <v>45</v>
      </c>
      <c r="C53" s="334">
        <v>176</v>
      </c>
      <c r="D53" s="334">
        <v>15252367.237</v>
      </c>
      <c r="E53" s="334">
        <v>550</v>
      </c>
      <c r="F53" s="334">
        <v>17294813.199999999</v>
      </c>
    </row>
    <row r="54" spans="1:6">
      <c r="A54" s="348" t="s">
        <v>46</v>
      </c>
      <c r="B54" s="348" t="s">
        <v>47</v>
      </c>
      <c r="C54" s="334">
        <v>0</v>
      </c>
      <c r="D54" s="334">
        <v>0</v>
      </c>
      <c r="E54" s="334">
        <v>3</v>
      </c>
      <c r="F54" s="334">
        <v>4006206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191</v>
      </c>
      <c r="D57" s="334">
        <v>11976133.85</v>
      </c>
      <c r="E57" s="334">
        <v>375</v>
      </c>
      <c r="F57" s="334">
        <v>16017996.885</v>
      </c>
    </row>
    <row r="58" spans="1:6">
      <c r="A58" s="348" t="s">
        <v>49</v>
      </c>
      <c r="B58" s="348" t="s">
        <v>51</v>
      </c>
      <c r="C58" s="334">
        <v>123</v>
      </c>
      <c r="D58" s="334">
        <v>23013637.75</v>
      </c>
      <c r="E58" s="334">
        <v>224</v>
      </c>
      <c r="F58" s="334">
        <v>28674654.589000002</v>
      </c>
    </row>
    <row r="59" spans="1:6">
      <c r="A59" s="348" t="s">
        <v>49</v>
      </c>
      <c r="B59" s="348" t="s">
        <v>52</v>
      </c>
      <c r="C59" s="334">
        <v>389</v>
      </c>
      <c r="D59" s="334">
        <v>29054102.265000001</v>
      </c>
      <c r="E59" s="334">
        <v>1019</v>
      </c>
      <c r="F59" s="334">
        <v>54731416.417000003</v>
      </c>
    </row>
    <row r="60" spans="1:6">
      <c r="A60" s="348" t="s">
        <v>49</v>
      </c>
      <c r="B60" s="348" t="s">
        <v>53</v>
      </c>
      <c r="C60" s="334">
        <v>211</v>
      </c>
      <c r="D60" s="334">
        <v>18257094.239999998</v>
      </c>
      <c r="E60" s="334">
        <v>367</v>
      </c>
      <c r="F60" s="334">
        <v>13982940.262</v>
      </c>
    </row>
    <row r="61" spans="1:6">
      <c r="A61" s="348" t="s">
        <v>49</v>
      </c>
      <c r="B61" s="348" t="s">
        <v>54</v>
      </c>
      <c r="C61" s="334">
        <v>433</v>
      </c>
      <c r="D61" s="334">
        <v>42272972.115000002</v>
      </c>
      <c r="E61" s="334">
        <v>1432</v>
      </c>
      <c r="F61" s="334">
        <v>44748307.935000002</v>
      </c>
    </row>
    <row r="62" spans="1:6">
      <c r="A62" s="348" t="s">
        <v>49</v>
      </c>
      <c r="B62" s="348" t="s">
        <v>55</v>
      </c>
      <c r="C62" s="334">
        <v>57</v>
      </c>
      <c r="D62" s="334">
        <v>10359249.991</v>
      </c>
      <c r="E62" s="334">
        <v>82</v>
      </c>
      <c r="F62" s="334">
        <v>5266759.4890000001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9016</v>
      </c>
      <c r="E65" s="334">
        <v>2</v>
      </c>
      <c r="F65" s="334">
        <v>13044</v>
      </c>
    </row>
    <row r="66" spans="1:6">
      <c r="A66" s="348" t="s">
        <v>56</v>
      </c>
      <c r="B66" s="348" t="s">
        <v>58</v>
      </c>
      <c r="C66" s="334">
        <v>0</v>
      </c>
      <c r="D66" s="334">
        <v>0</v>
      </c>
      <c r="E66" s="334">
        <v>42</v>
      </c>
      <c r="F66" s="334">
        <v>1867594.1359999999</v>
      </c>
    </row>
    <row r="67" spans="1:6">
      <c r="A67" s="355" t="s">
        <v>56</v>
      </c>
      <c r="B67" s="355" t="s">
        <v>59</v>
      </c>
      <c r="C67" s="334">
        <v>0</v>
      </c>
      <c r="D67" s="334">
        <v>0</v>
      </c>
      <c r="E67" s="334">
        <v>0</v>
      </c>
      <c r="F67" s="334">
        <v>0</v>
      </c>
    </row>
    <row r="68" spans="1:6">
      <c r="A68" s="341" t="s">
        <v>56</v>
      </c>
      <c r="B68" s="341" t="s">
        <v>60</v>
      </c>
      <c r="C68" s="334">
        <v>13</v>
      </c>
      <c r="D68" s="334">
        <v>1146062</v>
      </c>
      <c r="E68" s="334">
        <v>37</v>
      </c>
      <c r="F68" s="334">
        <v>1433934.112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174677750</v>
      </c>
      <c r="E73" s="475">
        <v>365270300.52731085</v>
      </c>
    </row>
    <row r="74" spans="1:6">
      <c r="A74" s="348" t="s">
        <v>64</v>
      </c>
      <c r="B74" s="348" t="s">
        <v>657</v>
      </c>
      <c r="C74" s="1295" t="s">
        <v>659</v>
      </c>
      <c r="D74" s="475">
        <v>9660945.5</v>
      </c>
      <c r="E74" s="475">
        <v>29232180.127648827</v>
      </c>
    </row>
    <row r="75" spans="1:6">
      <c r="A75" s="348" t="s">
        <v>65</v>
      </c>
      <c r="B75" s="348" t="s">
        <v>656</v>
      </c>
      <c r="C75" s="1295" t="s">
        <v>660</v>
      </c>
      <c r="D75" s="475">
        <v>48584853</v>
      </c>
      <c r="E75" s="475">
        <v>92688896.622623146</v>
      </c>
    </row>
    <row r="76" spans="1:6">
      <c r="A76" s="348" t="s">
        <v>65</v>
      </c>
      <c r="B76" s="348" t="s">
        <v>657</v>
      </c>
      <c r="C76" s="1295" t="s">
        <v>661</v>
      </c>
      <c r="D76" s="475">
        <v>137278.80000000002</v>
      </c>
      <c r="E76" s="475">
        <v>1399040.8102196555</v>
      </c>
    </row>
    <row r="77" spans="1:6">
      <c r="A77" s="348" t="s">
        <v>66</v>
      </c>
      <c r="B77" s="348" t="s">
        <v>656</v>
      </c>
      <c r="C77" s="1295" t="s">
        <v>662</v>
      </c>
      <c r="D77" s="475">
        <v>164962955</v>
      </c>
      <c r="E77" s="475">
        <v>180127562.64136457</v>
      </c>
    </row>
    <row r="78" spans="1:6">
      <c r="A78" s="341" t="s">
        <v>66</v>
      </c>
      <c r="B78" s="341" t="s">
        <v>657</v>
      </c>
      <c r="C78" s="341" t="s">
        <v>663</v>
      </c>
      <c r="D78" s="1296">
        <v>30007154</v>
      </c>
      <c r="E78" s="1296">
        <v>32778679.392041236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4089931</v>
      </c>
      <c r="C83" s="475">
        <v>4182154.5945313326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59166.093102496619</v>
      </c>
    </row>
    <row r="91" spans="1:6">
      <c r="A91" s="348" t="s">
        <v>68</v>
      </c>
      <c r="B91" s="334">
        <v>11313.813739995316</v>
      </c>
    </row>
    <row r="92" spans="1:6">
      <c r="A92" s="341" t="s">
        <v>69</v>
      </c>
      <c r="B92" s="342">
        <v>24272.270683930255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3815</v>
      </c>
    </row>
    <row r="98" spans="1:6">
      <c r="A98" s="348" t="s">
        <v>72</v>
      </c>
      <c r="B98" s="334">
        <v>9</v>
      </c>
    </row>
    <row r="99" spans="1:6">
      <c r="A99" s="348" t="s">
        <v>73</v>
      </c>
      <c r="B99" s="334">
        <v>73</v>
      </c>
    </row>
    <row r="100" spans="1:6">
      <c r="A100" s="348" t="s">
        <v>74</v>
      </c>
      <c r="B100" s="334">
        <v>4328</v>
      </c>
    </row>
    <row r="101" spans="1:6">
      <c r="A101" s="348" t="s">
        <v>75</v>
      </c>
      <c r="B101" s="334">
        <v>91</v>
      </c>
    </row>
    <row r="102" spans="1:6">
      <c r="A102" s="348" t="s">
        <v>76</v>
      </c>
      <c r="B102" s="334">
        <v>353</v>
      </c>
    </row>
    <row r="103" spans="1:6">
      <c r="A103" s="348" t="s">
        <v>77</v>
      </c>
      <c r="B103" s="334">
        <v>446</v>
      </c>
    </row>
    <row r="104" spans="1:6">
      <c r="A104" s="348" t="s">
        <v>78</v>
      </c>
      <c r="B104" s="334">
        <v>12961</v>
      </c>
    </row>
    <row r="105" spans="1:6">
      <c r="A105" s="341" t="s">
        <v>79</v>
      </c>
      <c r="B105" s="341">
        <v>14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1</v>
      </c>
      <c r="C122" s="334">
        <v>0</v>
      </c>
    </row>
    <row r="123" spans="1:6">
      <c r="A123" s="348" t="s">
        <v>88</v>
      </c>
      <c r="B123" s="334">
        <v>56</v>
      </c>
      <c r="C123" s="334">
        <v>76</v>
      </c>
    </row>
    <row r="124" spans="1:6">
      <c r="A124" s="341" t="s">
        <v>89</v>
      </c>
      <c r="B124" s="334">
        <v>2</v>
      </c>
      <c r="C124" s="334">
        <v>4</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812</v>
      </c>
    </row>
    <row r="130" spans="1:6">
      <c r="A130" s="348" t="s">
        <v>295</v>
      </c>
      <c r="B130" s="334">
        <v>3</v>
      </c>
    </row>
    <row r="131" spans="1:6">
      <c r="A131" s="348" t="s">
        <v>296</v>
      </c>
      <c r="B131" s="334">
        <v>5</v>
      </c>
    </row>
    <row r="132" spans="1:6">
      <c r="A132" s="341" t="s">
        <v>297</v>
      </c>
      <c r="B132" s="342">
        <v>86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526677.51057688659</v>
      </c>
      <c r="C3" s="43" t="s">
        <v>170</v>
      </c>
      <c r="D3" s="43"/>
      <c r="E3" s="154"/>
      <c r="F3" s="43"/>
      <c r="G3" s="43"/>
      <c r="H3" s="43"/>
      <c r="I3" s="43"/>
      <c r="J3" s="43"/>
      <c r="K3" s="96"/>
    </row>
    <row r="4" spans="1:11">
      <c r="A4" s="383" t="s">
        <v>171</v>
      </c>
      <c r="B4" s="49">
        <f>IF(ISERROR('SEAP template'!B78+'SEAP template'!C78),0,'SEAP template'!B78+'SEAP template'!C78)</f>
        <v>96439.677526422194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16.041176470588237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0.18056324861196124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22.915966386554619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96.428571428571431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4006.2060000000001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4006.2060000000001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0.18056324861196124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723.37356996873086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109047.5423</v>
      </c>
      <c r="C5" s="17">
        <f>IF(ISERROR('Eigen informatie GS &amp; warmtenet'!B57),0,'Eigen informatie GS &amp; warmtenet'!B57)</f>
        <v>0</v>
      </c>
      <c r="D5" s="30">
        <f>(SUM(HH_hh_gas_kWh,HH_rest_gas_kWh)/1000)*0.902</f>
        <v>169175.09498465399</v>
      </c>
      <c r="E5" s="17">
        <f>B46*B57</f>
        <v>2737.0788338491852</v>
      </c>
      <c r="F5" s="17">
        <f>B51*B62</f>
        <v>133415.28520693799</v>
      </c>
      <c r="G5" s="18"/>
      <c r="H5" s="17"/>
      <c r="I5" s="17"/>
      <c r="J5" s="17">
        <f>B50*B61+C50*C61</f>
        <v>0</v>
      </c>
      <c r="K5" s="17"/>
      <c r="L5" s="17"/>
      <c r="M5" s="17"/>
      <c r="N5" s="17">
        <f>B48*B59+C48*C59</f>
        <v>11627.825523143376</v>
      </c>
      <c r="O5" s="17">
        <f>B69*B70*B71</f>
        <v>1394.4933333333333</v>
      </c>
      <c r="P5" s="17">
        <f>B77*B78*B79/1000-B77*B78*B79/1000/B80</f>
        <v>2745.6</v>
      </c>
    </row>
    <row r="6" spans="1:16">
      <c r="A6" s="16" t="s">
        <v>621</v>
      </c>
      <c r="B6" s="788">
        <f>kWh_PV_kleiner_dan_10kW</f>
        <v>11313.813739995316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120361.35603999531</v>
      </c>
      <c r="C8" s="21">
        <f>C5</f>
        <v>0</v>
      </c>
      <c r="D8" s="21">
        <f>D5</f>
        <v>169175.09498465399</v>
      </c>
      <c r="E8" s="21">
        <f>E5</f>
        <v>2737.0788338491852</v>
      </c>
      <c r="F8" s="21">
        <f>F5</f>
        <v>133415.28520693799</v>
      </c>
      <c r="G8" s="21"/>
      <c r="H8" s="21"/>
      <c r="I8" s="21"/>
      <c r="J8" s="21">
        <f>J5</f>
        <v>0</v>
      </c>
      <c r="K8" s="21"/>
      <c r="L8" s="21">
        <f>L5</f>
        <v>0</v>
      </c>
      <c r="M8" s="21">
        <f>M5</f>
        <v>0</v>
      </c>
      <c r="N8" s="21">
        <f>N5</f>
        <v>11627.825523143376</v>
      </c>
      <c r="O8" s="21">
        <f>O5</f>
        <v>1394.4933333333333</v>
      </c>
      <c r="P8" s="21">
        <f>P5</f>
        <v>2745.6</v>
      </c>
    </row>
    <row r="9" spans="1:16">
      <c r="B9" s="19"/>
      <c r="C9" s="19"/>
      <c r="D9" s="258"/>
      <c r="E9" s="19"/>
      <c r="F9" s="19"/>
      <c r="G9" s="19"/>
      <c r="H9" s="19"/>
      <c r="I9" s="19"/>
      <c r="J9" s="19"/>
      <c r="K9" s="19"/>
      <c r="L9" s="19"/>
      <c r="M9" s="19"/>
      <c r="N9" s="19"/>
      <c r="O9" s="19"/>
      <c r="P9" s="19"/>
    </row>
    <row r="10" spans="1:16">
      <c r="A10" s="24" t="s">
        <v>214</v>
      </c>
      <c r="B10" s="25">
        <f ca="1">'EF ele_warmte'!B12</f>
        <v>0.18056324861196124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21732.837453922457</v>
      </c>
      <c r="C12" s="23">
        <f ca="1">C10*C8</f>
        <v>0</v>
      </c>
      <c r="D12" s="23">
        <f>D8*D10</f>
        <v>34173.369186900105</v>
      </c>
      <c r="E12" s="23">
        <f>E10*E8</f>
        <v>621.31689528376512</v>
      </c>
      <c r="F12" s="23">
        <f>F10*F8</f>
        <v>35621.881150252448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3815</v>
      </c>
      <c r="C18" s="166" t="s">
        <v>111</v>
      </c>
      <c r="D18" s="228"/>
      <c r="E18" s="15"/>
    </row>
    <row r="19" spans="1:7">
      <c r="A19" s="171" t="s">
        <v>72</v>
      </c>
      <c r="B19" s="37">
        <f>aantalw2001_ander</f>
        <v>9</v>
      </c>
      <c r="C19" s="166" t="s">
        <v>111</v>
      </c>
      <c r="D19" s="229"/>
      <c r="E19" s="15"/>
    </row>
    <row r="20" spans="1:7">
      <c r="A20" s="171" t="s">
        <v>73</v>
      </c>
      <c r="B20" s="37">
        <f>aantalw2001_propaan</f>
        <v>73</v>
      </c>
      <c r="C20" s="167">
        <f>IF(ISERROR(B20/SUM($B$20,$B$21,$B$22)*100),0,B20/SUM($B$20,$B$21,$B$22)*100)</f>
        <v>1.6251113089937665</v>
      </c>
      <c r="D20" s="229"/>
      <c r="E20" s="15"/>
    </row>
    <row r="21" spans="1:7">
      <c r="A21" s="171" t="s">
        <v>74</v>
      </c>
      <c r="B21" s="37">
        <f>aantalw2001_elektriciteit</f>
        <v>4328</v>
      </c>
      <c r="C21" s="167">
        <f>IF(ISERROR(B21/SUM($B$20,$B$21,$B$22)*100),0,B21/SUM($B$20,$B$21,$B$22)*100)</f>
        <v>96.349065004452356</v>
      </c>
      <c r="D21" s="229"/>
      <c r="E21" s="15"/>
    </row>
    <row r="22" spans="1:7">
      <c r="A22" s="171" t="s">
        <v>75</v>
      </c>
      <c r="B22" s="37">
        <f>aantalw2001_hout</f>
        <v>91</v>
      </c>
      <c r="C22" s="167">
        <f>IF(ISERROR(B22/SUM($B$20,$B$21,$B$22)*100),0,B22/SUM($B$20,$B$21,$B$22)*100)</f>
        <v>2.0258236865538737</v>
      </c>
      <c r="D22" s="229"/>
      <c r="E22" s="15"/>
    </row>
    <row r="23" spans="1:7">
      <c r="A23" s="171" t="s">
        <v>76</v>
      </c>
      <c r="B23" s="37">
        <f>aantalw2001_niet_gespec</f>
        <v>353</v>
      </c>
      <c r="C23" s="166" t="s">
        <v>111</v>
      </c>
      <c r="D23" s="228"/>
      <c r="E23" s="15"/>
    </row>
    <row r="24" spans="1:7">
      <c r="A24" s="171" t="s">
        <v>77</v>
      </c>
      <c r="B24" s="37">
        <f>aantalw2001_steenkool</f>
        <v>446</v>
      </c>
      <c r="C24" s="166" t="s">
        <v>111</v>
      </c>
      <c r="D24" s="229"/>
      <c r="E24" s="15"/>
    </row>
    <row r="25" spans="1:7">
      <c r="A25" s="171" t="s">
        <v>78</v>
      </c>
      <c r="B25" s="37">
        <f>aantalw2001_stookolie</f>
        <v>12961</v>
      </c>
      <c r="C25" s="166" t="s">
        <v>111</v>
      </c>
      <c r="D25" s="228"/>
      <c r="E25" s="52"/>
    </row>
    <row r="26" spans="1:7">
      <c r="A26" s="171" t="s">
        <v>79</v>
      </c>
      <c r="B26" s="37">
        <f>aantalw2001_WP</f>
        <v>14</v>
      </c>
      <c r="C26" s="166" t="s">
        <v>111</v>
      </c>
      <c r="D26" s="228"/>
      <c r="E26" s="15"/>
    </row>
    <row r="27" spans="1:7" s="15" customFormat="1">
      <c r="A27" s="171"/>
      <c r="B27" s="29"/>
      <c r="C27" s="36"/>
      <c r="D27" s="228"/>
    </row>
    <row r="28" spans="1:7" s="15" customFormat="1">
      <c r="A28" s="230" t="s">
        <v>793</v>
      </c>
      <c r="B28" s="37">
        <f>aantalHuishoudens2011</f>
        <v>25742</v>
      </c>
      <c r="C28" s="36"/>
      <c r="D28" s="228"/>
    </row>
    <row r="29" spans="1:7" s="15" customFormat="1">
      <c r="A29" s="230" t="s">
        <v>794</v>
      </c>
      <c r="B29" s="37">
        <f>SUM(HH_hh_gas_aantal,HH_rest_gas_aantal)</f>
        <v>12490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12490</v>
      </c>
      <c r="C32" s="167">
        <f>IF(ISERROR(B32/SUM($B$32,$B$34,$B$35,$B$36,$B$38,$B$39)*100),0,B32/SUM($B$32,$B$34,$B$35,$B$36,$B$38,$B$39)*100)</f>
        <v>48.792874443315888</v>
      </c>
      <c r="D32" s="233"/>
      <c r="G32" s="15"/>
    </row>
    <row r="33" spans="1:7">
      <c r="A33" s="171" t="s">
        <v>72</v>
      </c>
      <c r="B33" s="34" t="s">
        <v>111</v>
      </c>
      <c r="C33" s="167"/>
      <c r="D33" s="233"/>
      <c r="G33" s="15"/>
    </row>
    <row r="34" spans="1:7">
      <c r="A34" s="171" t="s">
        <v>73</v>
      </c>
      <c r="B34" s="33">
        <f>IF((($B$28-$B$32-$B$39-$B$77-$B$38)*C20/100)&lt;0,0,($B$28-$B$32-$B$39-$B$77-$B$38)*C20/100)</f>
        <v>129.26947907390914</v>
      </c>
      <c r="C34" s="167">
        <f>IF(ISERROR(B34/SUM($B$32,$B$34,$B$35,$B$36,$B$38,$B$39)*100),0,B34/SUM($B$32,$B$34,$B$35,$B$36,$B$38,$B$39)*100)</f>
        <v>0.50499835562899109</v>
      </c>
      <c r="D34" s="233"/>
      <c r="G34" s="15"/>
    </row>
    <row r="35" spans="1:7">
      <c r="A35" s="171" t="s">
        <v>74</v>
      </c>
      <c r="B35" s="33">
        <f>IF((($B$28-$B$32-$B$39-$B$77-$B$38)*C21/100)&lt;0,0,($B$28-$B$32-$B$39-$B$77-$B$38)*C21/100)</f>
        <v>7664.0863757791631</v>
      </c>
      <c r="C35" s="167">
        <f>IF(ISERROR(B35/SUM($B$32,$B$34,$B$35,$B$36,$B$38,$B$39)*100),0,B35/SUM($B$32,$B$34,$B$35,$B$36,$B$38,$B$39)*100)</f>
        <v>29.940176481674985</v>
      </c>
      <c r="D35" s="233"/>
      <c r="G35" s="15"/>
    </row>
    <row r="36" spans="1:7">
      <c r="A36" s="171" t="s">
        <v>75</v>
      </c>
      <c r="B36" s="33">
        <f>IF((($B$28-$B$32-$B$39-$B$77-$B$38)*C22/100)&lt;0,0,($B$28-$B$32-$B$39-$B$77-$B$38)*C22/100)</f>
        <v>161.14414514692788</v>
      </c>
      <c r="C36" s="167">
        <f>IF(ISERROR(B36/SUM($B$32,$B$34,$B$35,$B$36,$B$38,$B$39)*100),0,B36/SUM($B$32,$B$34,$B$35,$B$36,$B$38,$B$39)*100)</f>
        <v>0.6295184981128521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5153.5</v>
      </c>
      <c r="C39" s="167">
        <f>IF(ISERROR(B39/SUM($B$32,$B$34,$B$35,$B$36,$B$38,$B$39)*100),0,B39/SUM($B$32,$B$34,$B$35,$B$36,$B$38,$B$39)*100)</f>
        <v>20.132432221267287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12490</v>
      </c>
      <c r="C44" s="34" t="s">
        <v>111</v>
      </c>
      <c r="D44" s="174"/>
    </row>
    <row r="45" spans="1:7">
      <c r="A45" s="171" t="s">
        <v>72</v>
      </c>
      <c r="B45" s="33" t="str">
        <f t="shared" si="0"/>
        <v>-</v>
      </c>
      <c r="C45" s="34" t="s">
        <v>111</v>
      </c>
      <c r="D45" s="174"/>
    </row>
    <row r="46" spans="1:7">
      <c r="A46" s="171" t="s">
        <v>73</v>
      </c>
      <c r="B46" s="33">
        <f t="shared" si="0"/>
        <v>129.26947907390914</v>
      </c>
      <c r="C46" s="34" t="s">
        <v>111</v>
      </c>
      <c r="D46" s="174"/>
    </row>
    <row r="47" spans="1:7">
      <c r="A47" s="171" t="s">
        <v>74</v>
      </c>
      <c r="B47" s="33">
        <f t="shared" si="0"/>
        <v>7664.0863757791631</v>
      </c>
      <c r="C47" s="34" t="s">
        <v>111</v>
      </c>
      <c r="D47" s="174"/>
    </row>
    <row r="48" spans="1:7">
      <c r="A48" s="171" t="s">
        <v>75</v>
      </c>
      <c r="B48" s="33">
        <f t="shared" si="0"/>
        <v>161.14414514692788</v>
      </c>
      <c r="C48" s="33">
        <f>B48*10</f>
        <v>1611.4414514692789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5153.5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163422.07557700001</v>
      </c>
      <c r="C5" s="17">
        <f>IF(ISERROR('Eigen informatie GS &amp; warmtenet'!B58),0,'Eigen informatie GS &amp; warmtenet'!B58)</f>
        <v>0</v>
      </c>
      <c r="D5" s="30">
        <f>SUM(D6:D12)</f>
        <v>121709.73757032199</v>
      </c>
      <c r="E5" s="17">
        <f>SUM(E6:E12)</f>
        <v>2285.9706813733701</v>
      </c>
      <c r="F5" s="17">
        <f>SUM(F6:F12)</f>
        <v>28410.494436688612</v>
      </c>
      <c r="G5" s="18"/>
      <c r="H5" s="17"/>
      <c r="I5" s="17"/>
      <c r="J5" s="17">
        <f>SUM(J6:J12)</f>
        <v>0.34768792355928296</v>
      </c>
      <c r="K5" s="17"/>
      <c r="L5" s="17"/>
      <c r="M5" s="17"/>
      <c r="N5" s="17">
        <f>SUM(N6:N12)</f>
        <v>14183.084899299885</v>
      </c>
      <c r="O5" s="17">
        <f>B38*B39*B40</f>
        <v>4.6900000000000004</v>
      </c>
      <c r="P5" s="17">
        <f>B46*B47*B48/1000-B46*B47*B48/1000/B49</f>
        <v>133.46666666666667</v>
      </c>
      <c r="R5" s="32"/>
    </row>
    <row r="6" spans="1:18">
      <c r="A6" s="32" t="s">
        <v>54</v>
      </c>
      <c r="B6" s="37">
        <f>B26</f>
        <v>44748.307935000004</v>
      </c>
      <c r="C6" s="33"/>
      <c r="D6" s="37">
        <f>IF(ISERROR(TER_kantoor_gas_kWh/1000),0,TER_kantoor_gas_kWh/1000)*0.902</f>
        <v>38130.220847730008</v>
      </c>
      <c r="E6" s="33">
        <f>$C$26*'E Balans VL '!I12/100/3.6*1000000</f>
        <v>0.28046751108252488</v>
      </c>
      <c r="F6" s="33">
        <f>$C$26*('E Balans VL '!L12+'E Balans VL '!N12)/100/3.6*1000000</f>
        <v>6724.4202956526869</v>
      </c>
      <c r="G6" s="34"/>
      <c r="H6" s="33"/>
      <c r="I6" s="33"/>
      <c r="J6" s="33">
        <f>$C$26*('E Balans VL '!D12+'E Balans VL '!E12)/100/3.6*1000000</f>
        <v>0</v>
      </c>
      <c r="K6" s="33"/>
      <c r="L6" s="33"/>
      <c r="M6" s="33"/>
      <c r="N6" s="33">
        <f>$C$26*'E Balans VL '!Y12/100/3.6*1000000</f>
        <v>42.795121875060396</v>
      </c>
      <c r="O6" s="33"/>
      <c r="P6" s="33"/>
      <c r="R6" s="32"/>
    </row>
    <row r="7" spans="1:18">
      <c r="A7" s="32" t="s">
        <v>53</v>
      </c>
      <c r="B7" s="37">
        <f t="shared" ref="B7:B12" si="0">B27</f>
        <v>13982.940262</v>
      </c>
      <c r="C7" s="33"/>
      <c r="D7" s="37">
        <f>IF(ISERROR(TER_horeca_gas_kWh/1000),0,TER_horeca_gas_kWh/1000)*0.902</f>
        <v>16467.899004479998</v>
      </c>
      <c r="E7" s="33">
        <f>$C$27*'E Balans VL '!I9/100/3.6*1000000</f>
        <v>200.23337543861567</v>
      </c>
      <c r="F7" s="33">
        <f>$C$27*('E Balans VL '!L9+'E Balans VL '!N9)/100/3.6*1000000</f>
        <v>1770.7014123062115</v>
      </c>
      <c r="G7" s="34"/>
      <c r="H7" s="33"/>
      <c r="I7" s="33"/>
      <c r="J7" s="33">
        <f>$C$27*('E Balans VL '!D9+'E Balans VL '!E9)/100/3.6*1000000</f>
        <v>0</v>
      </c>
      <c r="K7" s="33"/>
      <c r="L7" s="33"/>
      <c r="M7" s="33"/>
      <c r="N7" s="33">
        <f>$C$27*'E Balans VL '!Y9/100/3.6*1000000</f>
        <v>4.019787027956367</v>
      </c>
      <c r="O7" s="33"/>
      <c r="P7" s="33"/>
      <c r="R7" s="32"/>
    </row>
    <row r="8" spans="1:18">
      <c r="A8" s="6" t="s">
        <v>52</v>
      </c>
      <c r="B8" s="37">
        <f t="shared" si="0"/>
        <v>54731.416417</v>
      </c>
      <c r="C8" s="33"/>
      <c r="D8" s="37">
        <f>IF(ISERROR(TER_handel_gas_kWh/1000),0,TER_handel_gas_kWh/1000)*0.902</f>
        <v>26206.80024303</v>
      </c>
      <c r="E8" s="33">
        <f>$C$28*'E Balans VL '!I13/100/3.6*1000000</f>
        <v>1985.1017242686914</v>
      </c>
      <c r="F8" s="33">
        <f>$C$28*('E Balans VL '!L13+'E Balans VL '!N13)/100/3.6*1000000</f>
        <v>10541.824992739774</v>
      </c>
      <c r="G8" s="34"/>
      <c r="H8" s="33"/>
      <c r="I8" s="33"/>
      <c r="J8" s="33">
        <f>$C$28*('E Balans VL '!D13+'E Balans VL '!E13)/100/3.6*1000000</f>
        <v>0</v>
      </c>
      <c r="K8" s="33"/>
      <c r="L8" s="33"/>
      <c r="M8" s="33"/>
      <c r="N8" s="33">
        <f>$C$28*'E Balans VL '!Y13/100/3.6*1000000</f>
        <v>75.815604874825468</v>
      </c>
      <c r="O8" s="33"/>
      <c r="P8" s="33"/>
      <c r="R8" s="32"/>
    </row>
    <row r="9" spans="1:18">
      <c r="A9" s="32" t="s">
        <v>51</v>
      </c>
      <c r="B9" s="37">
        <f t="shared" si="0"/>
        <v>28674.654589000002</v>
      </c>
      <c r="C9" s="33"/>
      <c r="D9" s="37">
        <f>IF(ISERROR(TER_gezond_gas_kWh/1000),0,TER_gezond_gas_kWh/1000)*0.902</f>
        <v>20758.301250500001</v>
      </c>
      <c r="E9" s="33">
        <f>$C$29*'E Balans VL '!I10/100/3.6*1000000</f>
        <v>1.7953164883384949</v>
      </c>
      <c r="F9" s="33">
        <f>$C$29*('E Balans VL '!L10+'E Balans VL '!N10)/100/3.6*1000000</f>
        <v>4259.7072452045895</v>
      </c>
      <c r="G9" s="34"/>
      <c r="H9" s="33"/>
      <c r="I9" s="33"/>
      <c r="J9" s="33">
        <f>$C$29*('E Balans VL '!D10+'E Balans VL '!E10)/100/3.6*1000000</f>
        <v>0</v>
      </c>
      <c r="K9" s="33"/>
      <c r="L9" s="33"/>
      <c r="M9" s="33"/>
      <c r="N9" s="33">
        <f>$C$29*'E Balans VL '!Y10/100/3.6*1000000</f>
        <v>443.54232405030763</v>
      </c>
      <c r="O9" s="33"/>
      <c r="P9" s="33"/>
      <c r="R9" s="32"/>
    </row>
    <row r="10" spans="1:18">
      <c r="A10" s="32" t="s">
        <v>50</v>
      </c>
      <c r="B10" s="37">
        <f t="shared" si="0"/>
        <v>16017.996885</v>
      </c>
      <c r="C10" s="33"/>
      <c r="D10" s="37">
        <f>IF(ISERROR(TER_ander_gas_kWh/1000),0,TER_ander_gas_kWh/1000)*0.902</f>
        <v>10802.4727327</v>
      </c>
      <c r="E10" s="33">
        <f>$C$30*'E Balans VL '!I14/100/3.6*1000000</f>
        <v>19.092879900427651</v>
      </c>
      <c r="F10" s="33">
        <f>$C$30*('E Balans VL '!L14+'E Balans VL '!N14)/100/3.6*1000000</f>
        <v>4191.0200893266056</v>
      </c>
      <c r="G10" s="34"/>
      <c r="H10" s="33"/>
      <c r="I10" s="33"/>
      <c r="J10" s="33">
        <f>$C$30*('E Balans VL '!D14+'E Balans VL '!E14)/100/3.6*1000000</f>
        <v>0.34768792355928296</v>
      </c>
      <c r="K10" s="33"/>
      <c r="L10" s="33"/>
      <c r="M10" s="33"/>
      <c r="N10" s="33">
        <f>$C$30*'E Balans VL '!Y14/100/3.6*1000000</f>
        <v>13602.090999875385</v>
      </c>
      <c r="O10" s="33"/>
      <c r="P10" s="33"/>
      <c r="R10" s="32"/>
    </row>
    <row r="11" spans="1:18">
      <c r="A11" s="32" t="s">
        <v>55</v>
      </c>
      <c r="B11" s="37">
        <f t="shared" si="0"/>
        <v>5266.759489</v>
      </c>
      <c r="C11" s="33"/>
      <c r="D11" s="37">
        <f>IF(ISERROR(TER_onderwijs_gas_kWh/1000),0,TER_onderwijs_gas_kWh/1000)*0.902</f>
        <v>9344.043491882001</v>
      </c>
      <c r="E11" s="33">
        <f>$C$31*'E Balans VL '!I11/100/3.6*1000000</f>
        <v>79.466917766214422</v>
      </c>
      <c r="F11" s="33">
        <f>$C$31*('E Balans VL '!L11+'E Balans VL '!N11)/100/3.6*1000000</f>
        <v>922.8204014587435</v>
      </c>
      <c r="G11" s="34"/>
      <c r="H11" s="33"/>
      <c r="I11" s="33"/>
      <c r="J11" s="33">
        <f>$C$31*('E Balans VL '!D11+'E Balans VL '!E11)/100/3.6*1000000</f>
        <v>0</v>
      </c>
      <c r="K11" s="33"/>
      <c r="L11" s="33"/>
      <c r="M11" s="33"/>
      <c r="N11" s="33">
        <f>$C$31*'E Balans VL '!Y11/100/3.6*1000000</f>
        <v>14.821061596350118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1687.5</v>
      </c>
      <c r="C13" s="247">
        <f ca="1">'lokale energieproductie'!O91+'lokale energieproductie'!O60</f>
        <v>96.428571428571431</v>
      </c>
      <c r="D13" s="310">
        <f ca="1">('lokale energieproductie'!P60+'lokale energieproductie'!P91)*(-1)</f>
        <v>-192.85714285714286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-4628.5714285714284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165109.57557700001</v>
      </c>
      <c r="C16" s="21">
        <f t="shared" ca="1" si="1"/>
        <v>96.428571428571431</v>
      </c>
      <c r="D16" s="21">
        <f t="shared" ca="1" si="1"/>
        <v>121516.88042746484</v>
      </c>
      <c r="E16" s="21">
        <f t="shared" si="1"/>
        <v>2285.9706813733701</v>
      </c>
      <c r="F16" s="21">
        <f t="shared" ca="1" si="1"/>
        <v>28410.494436688612</v>
      </c>
      <c r="G16" s="21">
        <f t="shared" si="1"/>
        <v>0</v>
      </c>
      <c r="H16" s="21">
        <f t="shared" si="1"/>
        <v>0</v>
      </c>
      <c r="I16" s="21">
        <f t="shared" si="1"/>
        <v>0</v>
      </c>
      <c r="J16" s="21">
        <f t="shared" si="1"/>
        <v>0.34768792355928296</v>
      </c>
      <c r="K16" s="21">
        <f t="shared" si="1"/>
        <v>0</v>
      </c>
      <c r="L16" s="21">
        <f t="shared" ca="1" si="1"/>
        <v>0</v>
      </c>
      <c r="M16" s="21">
        <f t="shared" si="1"/>
        <v>0</v>
      </c>
      <c r="N16" s="21">
        <f t="shared" ca="1" si="1"/>
        <v>9554.513470728456</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0.18056324861196124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29812.721343125257</v>
      </c>
      <c r="C20" s="23">
        <f t="shared" ref="C20:P20" ca="1" si="2">C16*C18</f>
        <v>22.915966386554619</v>
      </c>
      <c r="D20" s="23">
        <f t="shared" ca="1" si="2"/>
        <v>24546.409846347899</v>
      </c>
      <c r="E20" s="23">
        <f t="shared" si="2"/>
        <v>518.91534467175507</v>
      </c>
      <c r="F20" s="23">
        <f t="shared" ca="1" si="2"/>
        <v>7585.6020145958601</v>
      </c>
      <c r="G20" s="23">
        <f t="shared" si="2"/>
        <v>0</v>
      </c>
      <c r="H20" s="23">
        <f t="shared" si="2"/>
        <v>0</v>
      </c>
      <c r="I20" s="23">
        <f t="shared" si="2"/>
        <v>0</v>
      </c>
      <c r="J20" s="23">
        <f t="shared" si="2"/>
        <v>0.12308152493998616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44748.307935000004</v>
      </c>
      <c r="C26" s="39">
        <f>IF(ISERROR(B26*3.6/1000000/'E Balans VL '!Z12*100),0,B26*3.6/1000000/'E Balans VL '!Z12*100)</f>
        <v>0.94590834270022517</v>
      </c>
      <c r="D26" s="237" t="s">
        <v>754</v>
      </c>
      <c r="F26" s="6"/>
    </row>
    <row r="27" spans="1:18">
      <c r="A27" s="231" t="s">
        <v>53</v>
      </c>
      <c r="B27" s="33">
        <f>IF(ISERROR(TER_horeca_ele_kWh/1000),0,TER_horeca_ele_kWh/1000)</f>
        <v>13982.940262</v>
      </c>
      <c r="C27" s="39">
        <f>IF(ISERROR(B27*3.6/1000000/'E Balans VL '!Z9*100),0,B27*3.6/1000000/'E Balans VL '!Z9*100)</f>
        <v>1.1022699691455571</v>
      </c>
      <c r="D27" s="237" t="s">
        <v>754</v>
      </c>
      <c r="F27" s="6"/>
    </row>
    <row r="28" spans="1:18">
      <c r="A28" s="171" t="s">
        <v>52</v>
      </c>
      <c r="B28" s="33">
        <f>IF(ISERROR(TER_handel_ele_kWh/1000),0,TER_handel_ele_kWh/1000)</f>
        <v>54731.416417</v>
      </c>
      <c r="C28" s="39">
        <f>IF(ISERROR(B28*3.6/1000000/'E Balans VL '!Z13*100),0,B28*3.6/1000000/'E Balans VL '!Z13*100)</f>
        <v>1.5885268441237184</v>
      </c>
      <c r="D28" s="237" t="s">
        <v>754</v>
      </c>
      <c r="F28" s="6"/>
    </row>
    <row r="29" spans="1:18">
      <c r="A29" s="231" t="s">
        <v>51</v>
      </c>
      <c r="B29" s="33">
        <f>IF(ISERROR(TER_gezond_ele_kWh/1000),0,TER_gezond_ele_kWh/1000)</f>
        <v>28674.654589000002</v>
      </c>
      <c r="C29" s="39">
        <f>IF(ISERROR(B29*3.6/1000000/'E Balans VL '!Z10*100),0,B29*3.6/1000000/'E Balans VL '!Z10*100)</f>
        <v>3.019911978478679</v>
      </c>
      <c r="D29" s="237" t="s">
        <v>754</v>
      </c>
      <c r="F29" s="6"/>
    </row>
    <row r="30" spans="1:18">
      <c r="A30" s="231" t="s">
        <v>50</v>
      </c>
      <c r="B30" s="33">
        <f>IF(ISERROR(TER_ander_ele_kWh/1000),0,TER_ander_ele_kWh/1000)</f>
        <v>16017.996885</v>
      </c>
      <c r="C30" s="39">
        <f>IF(ISERROR(B30*3.6/1000000/'E Balans VL '!Z14*100),0,B30*3.6/1000000/'E Balans VL '!Z14*100)</f>
        <v>1.1814909293292173</v>
      </c>
      <c r="D30" s="237" t="s">
        <v>754</v>
      </c>
      <c r="F30" s="6"/>
    </row>
    <row r="31" spans="1:18">
      <c r="A31" s="231" t="s">
        <v>55</v>
      </c>
      <c r="B31" s="33">
        <f>IF(ISERROR(TER_onderwijs_ele_kWh/1000),0,TER_onderwijs_ele_kWh/1000)</f>
        <v>5266.759489</v>
      </c>
      <c r="C31" s="39">
        <f>IF(ISERROR(B31*3.6/1000000/'E Balans VL '!Z11*100),0,B31*3.6/1000000/'E Balans VL '!Z11*100)</f>
        <v>1.3079830906623979</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219371.664639</v>
      </c>
      <c r="C5" s="17">
        <f>IF(ISERROR('Eigen informatie GS &amp; warmtenet'!B59),0,'Eigen informatie GS &amp; warmtenet'!B59)</f>
        <v>0</v>
      </c>
      <c r="D5" s="30">
        <f>SUM(D6:D15)</f>
        <v>79015.400208822015</v>
      </c>
      <c r="E5" s="17">
        <f>SUM(E6:E15)</f>
        <v>33578.190317052344</v>
      </c>
      <c r="F5" s="17">
        <f>SUM(F6:F15)</f>
        <v>96806.218204040182</v>
      </c>
      <c r="G5" s="18"/>
      <c r="H5" s="17"/>
      <c r="I5" s="17"/>
      <c r="J5" s="17">
        <f>SUM(J6:J15)</f>
        <v>3.5889721750030663</v>
      </c>
      <c r="K5" s="17"/>
      <c r="L5" s="17"/>
      <c r="M5" s="17"/>
      <c r="N5" s="17">
        <f>SUM(N6:N15)</f>
        <v>89178.12638060379</v>
      </c>
      <c r="O5" s="17">
        <f>B43*B44*B45</f>
        <v>0</v>
      </c>
      <c r="P5" s="17">
        <f>B51*B52*B53/1000-B51*B52*B53/1000/B54</f>
        <v>0</v>
      </c>
      <c r="R5" s="32"/>
    </row>
    <row r="6" spans="1:18">
      <c r="A6" s="6" t="s">
        <v>35</v>
      </c>
      <c r="B6" s="37">
        <f>IF( ISERROR(IND_ijzer_ele_kWh/1000),0,IND_ijzer_ele_kWh/1000)</f>
        <v>2538.8180000000002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28685.714387</v>
      </c>
      <c r="C8" s="33"/>
      <c r="D8" s="37">
        <f>IF( ISERROR(IND_metaal_Gas_kWH/1000),0,IND_metaal_Gas_kWH/1000)*0.902</f>
        <v>43399.782999716001</v>
      </c>
      <c r="E8" s="33">
        <f>C30*'E Balans VL '!I18/100/3.6*1000000</f>
        <v>263.73743886203533</v>
      </c>
      <c r="F8" s="33">
        <f>C30*'E Balans VL '!L18/100/3.6*1000000+C30*'E Balans VL '!N18/100/3.6*1000000</f>
        <v>2689.7649653947133</v>
      </c>
      <c r="G8" s="34"/>
      <c r="H8" s="33"/>
      <c r="I8" s="33"/>
      <c r="J8" s="40">
        <f>C30*'E Balans VL '!D18/100/3.6*1000000+C30*'E Balans VL '!E18/100/3.6*1000000</f>
        <v>0</v>
      </c>
      <c r="K8" s="33"/>
      <c r="L8" s="33"/>
      <c r="M8" s="33"/>
      <c r="N8" s="33">
        <f>C30*'E Balans VL '!Y18/100/3.6*1000000</f>
        <v>409.24912086985955</v>
      </c>
      <c r="O8" s="33"/>
      <c r="P8" s="33"/>
      <c r="R8" s="32"/>
    </row>
    <row r="9" spans="1:18">
      <c r="A9" s="6" t="s">
        <v>33</v>
      </c>
      <c r="B9" s="37">
        <f t="shared" si="0"/>
        <v>113325.86156200001</v>
      </c>
      <c r="C9" s="33"/>
      <c r="D9" s="37">
        <f>IF( ISERROR(IND_andere_gas_kWh/1000),0,IND_andere_gas_kWh/1000)*0.902</f>
        <v>6872.71909951</v>
      </c>
      <c r="E9" s="33">
        <f>C31*'E Balans VL '!I19/100/3.6*1000000</f>
        <v>33127.355528878099</v>
      </c>
      <c r="F9" s="33">
        <f>C31*'E Balans VL '!L19/100/3.6*1000000+C31*'E Balans VL '!N19/100/3.6*1000000</f>
        <v>91065.907744591706</v>
      </c>
      <c r="G9" s="34"/>
      <c r="H9" s="33"/>
      <c r="I9" s="33"/>
      <c r="J9" s="40">
        <f>C31*'E Balans VL '!D19/100/3.6*1000000+C31*'E Balans VL '!E19/100/3.6*1000000</f>
        <v>0</v>
      </c>
      <c r="K9" s="33"/>
      <c r="L9" s="33"/>
      <c r="M9" s="33"/>
      <c r="N9" s="33">
        <f>C31*'E Balans VL '!Y19/100/3.6*1000000</f>
        <v>37444.622219586563</v>
      </c>
      <c r="O9" s="33"/>
      <c r="P9" s="33"/>
      <c r="R9" s="32"/>
    </row>
    <row r="10" spans="1:18">
      <c r="A10" s="6" t="s">
        <v>41</v>
      </c>
      <c r="B10" s="37">
        <f t="shared" si="0"/>
        <v>8666.4519999999993</v>
      </c>
      <c r="C10" s="33"/>
      <c r="D10" s="37">
        <f>IF( ISERROR(IND_voed_gas_kWh/1000),0,IND_voed_gas_kWh/1000)*0.902</f>
        <v>6154.9217411879999</v>
      </c>
      <c r="E10" s="33">
        <f>C32*'E Balans VL '!I20/100/3.6*1000000</f>
        <v>18.334013580929781</v>
      </c>
      <c r="F10" s="33">
        <f>C32*'E Balans VL '!L20/100/3.6*1000000+C32*'E Balans VL '!N20/100/3.6*1000000</f>
        <v>551.02187068112175</v>
      </c>
      <c r="G10" s="34"/>
      <c r="H10" s="33"/>
      <c r="I10" s="33"/>
      <c r="J10" s="40">
        <f>C32*'E Balans VL '!D20/100/3.6*1000000+C32*'E Balans VL '!E20/100/3.6*1000000</f>
        <v>0</v>
      </c>
      <c r="K10" s="33"/>
      <c r="L10" s="33"/>
      <c r="M10" s="33"/>
      <c r="N10" s="33">
        <f>C32*'E Balans VL '!Y20/100/3.6*1000000</f>
        <v>598.07071063804597</v>
      </c>
      <c r="O10" s="33"/>
      <c r="P10" s="33"/>
      <c r="R10" s="32"/>
    </row>
    <row r="11" spans="1:18">
      <c r="A11" s="6" t="s">
        <v>40</v>
      </c>
      <c r="B11" s="37">
        <f t="shared" si="0"/>
        <v>15070.465</v>
      </c>
      <c r="C11" s="33"/>
      <c r="D11" s="37">
        <f>IF( ISERROR(IND_textiel_gas_kWh/1000),0,IND_textiel_gas_kWh/1000)*0.902</f>
        <v>7300.7009434700012</v>
      </c>
      <c r="E11" s="33">
        <f>C33*'E Balans VL '!I21/100/3.6*1000000</f>
        <v>44.757981726131639</v>
      </c>
      <c r="F11" s="33">
        <f>C33*'E Balans VL '!L21/100/3.6*1000000+C33*'E Balans VL '!N21/100/3.6*1000000</f>
        <v>1522.530711303521</v>
      </c>
      <c r="G11" s="34"/>
      <c r="H11" s="33"/>
      <c r="I11" s="33"/>
      <c r="J11" s="40">
        <f>C33*'E Balans VL '!D21/100/3.6*1000000+C33*'E Balans VL '!E21/100/3.6*1000000</f>
        <v>0</v>
      </c>
      <c r="K11" s="33"/>
      <c r="L11" s="33"/>
      <c r="M11" s="33"/>
      <c r="N11" s="33">
        <f>C33*'E Balans VL '!Y21/100/3.6*1000000</f>
        <v>831.18423994254636</v>
      </c>
      <c r="O11" s="33"/>
      <c r="P11" s="33"/>
      <c r="R11" s="32"/>
    </row>
    <row r="12" spans="1:18">
      <c r="A12" s="6" t="s">
        <v>37</v>
      </c>
      <c r="B12" s="37">
        <f t="shared" si="0"/>
        <v>597.04899999999998</v>
      </c>
      <c r="C12" s="33"/>
      <c r="D12" s="37">
        <f>IF( ISERROR(IND_min_gas_kWh/1000),0,IND_min_gas_kWh/1000)*0.902</f>
        <v>446.67220400000002</v>
      </c>
      <c r="E12" s="33">
        <f>C34*'E Balans VL '!I22/100/3.6*1000000</f>
        <v>17.305992062748235</v>
      </c>
      <c r="F12" s="33">
        <f>C34*'E Balans VL '!L22/100/3.6*1000000+C34*'E Balans VL '!N22/100/3.6*1000000</f>
        <v>205.27219300406671</v>
      </c>
      <c r="G12" s="34"/>
      <c r="H12" s="33"/>
      <c r="I12" s="33"/>
      <c r="J12" s="40">
        <f>C34*'E Balans VL '!D22/100/3.6*1000000+C34*'E Balans VL '!E22/100/3.6*1000000</f>
        <v>0.98113142503243644</v>
      </c>
      <c r="K12" s="33"/>
      <c r="L12" s="33"/>
      <c r="M12" s="33"/>
      <c r="N12" s="33">
        <f>C34*'E Balans VL '!Y22/100/3.6*1000000</f>
        <v>130.70383758012818</v>
      </c>
      <c r="O12" s="33"/>
      <c r="P12" s="33"/>
      <c r="R12" s="32"/>
    </row>
    <row r="13" spans="1:18">
      <c r="A13" s="6" t="s">
        <v>39</v>
      </c>
      <c r="B13" s="37">
        <f t="shared" si="0"/>
        <v>16861.832793000001</v>
      </c>
      <c r="C13" s="33"/>
      <c r="D13" s="37">
        <f>IF( ISERROR(IND_papier_gas_kWh/1000),0,IND_papier_gas_kWh/1000)*0.902</f>
        <v>6899.8877860000002</v>
      </c>
      <c r="E13" s="33">
        <f>C35*'E Balans VL '!I23/100/3.6*1000000</f>
        <v>23.923084462043395</v>
      </c>
      <c r="F13" s="33">
        <f>C35*'E Balans VL '!L23/100/3.6*1000000+C35*'E Balans VL '!N23/100/3.6*1000000</f>
        <v>411.66074305640456</v>
      </c>
      <c r="G13" s="34"/>
      <c r="H13" s="33"/>
      <c r="I13" s="33"/>
      <c r="J13" s="40">
        <f>C35*'E Balans VL '!D23/100/3.6*1000000+C35*'E Balans VL '!E23/100/3.6*1000000</f>
        <v>2.60784074997063</v>
      </c>
      <c r="K13" s="33"/>
      <c r="L13" s="33"/>
      <c r="M13" s="33"/>
      <c r="N13" s="33">
        <f>C35*'E Balans VL '!Y23/100/3.6*1000000</f>
        <v>49013.356459268565</v>
      </c>
      <c r="O13" s="33"/>
      <c r="P13" s="33"/>
      <c r="R13" s="32"/>
    </row>
    <row r="14" spans="1:18">
      <c r="A14" s="6" t="s">
        <v>34</v>
      </c>
      <c r="B14" s="37">
        <f t="shared" si="0"/>
        <v>33625.471897000003</v>
      </c>
      <c r="C14" s="33"/>
      <c r="D14" s="37">
        <f>IF( ISERROR(IND_chemie_gas_kWh/1000),0,IND_chemie_gas_kWh/1000)*0.902</f>
        <v>6958.7875399240002</v>
      </c>
      <c r="E14" s="33">
        <f>C36*'E Balans VL '!I24/100/3.6*1000000</f>
        <v>82.776277480356441</v>
      </c>
      <c r="F14" s="33">
        <f>C36*'E Balans VL '!L24/100/3.6*1000000+C36*'E Balans VL '!N24/100/3.6*1000000</f>
        <v>360.05997600863657</v>
      </c>
      <c r="G14" s="34"/>
      <c r="H14" s="33"/>
      <c r="I14" s="33"/>
      <c r="J14" s="40">
        <f>C36*'E Balans VL '!D24/100/3.6*1000000+C36*'E Balans VL '!E24/100/3.6*1000000</f>
        <v>0</v>
      </c>
      <c r="K14" s="33"/>
      <c r="L14" s="33"/>
      <c r="M14" s="33"/>
      <c r="N14" s="33">
        <f>C36*'E Balans VL '!Y24/100/3.6*1000000</f>
        <v>750.93979271807814</v>
      </c>
      <c r="O14" s="33"/>
      <c r="P14" s="33"/>
      <c r="R14" s="32"/>
    </row>
    <row r="15" spans="1:18">
      <c r="A15" s="6" t="s">
        <v>270</v>
      </c>
      <c r="B15" s="37">
        <f t="shared" si="0"/>
        <v>0</v>
      </c>
      <c r="C15" s="33"/>
      <c r="D15" s="37">
        <f>IF( ISERROR(IND_rest_gas_kWh/1000),0,IND_rest_gas_kWh/1000)*0.902</f>
        <v>981.92789501400011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219371.664639</v>
      </c>
      <c r="C18" s="21">
        <f>C5+C16</f>
        <v>0</v>
      </c>
      <c r="D18" s="21">
        <f>MAX((D5+D16),0)</f>
        <v>79015.400208822015</v>
      </c>
      <c r="E18" s="21">
        <f>MAX((E5+E16),0)</f>
        <v>33578.190317052344</v>
      </c>
      <c r="F18" s="21">
        <f>MAX((F5+F16),0)</f>
        <v>96806.218204040182</v>
      </c>
      <c r="G18" s="21"/>
      <c r="H18" s="21"/>
      <c r="I18" s="21"/>
      <c r="J18" s="21">
        <f>MAX((J5+J16),0)</f>
        <v>3.5889721750030663</v>
      </c>
      <c r="K18" s="21"/>
      <c r="L18" s="21">
        <f>MAX((L5+L16),0)</f>
        <v>0</v>
      </c>
      <c r="M18" s="21"/>
      <c r="N18" s="21">
        <f>MAX((N5+N16),0)</f>
        <v>89178.12638060379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0.18056324861196124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39610.460420631542</v>
      </c>
      <c r="C22" s="23">
        <f ca="1">C18*C20</f>
        <v>0</v>
      </c>
      <c r="D22" s="23">
        <f>D18*D20</f>
        <v>15961.110842182048</v>
      </c>
      <c r="E22" s="23">
        <f>E18*E20</f>
        <v>7622.2492019708825</v>
      </c>
      <c r="F22" s="23">
        <f>F18*F20</f>
        <v>25847.260260478732</v>
      </c>
      <c r="G22" s="23"/>
      <c r="H22" s="23"/>
      <c r="I22" s="23"/>
      <c r="J22" s="23">
        <f>J18*J20</f>
        <v>1.2704961499510854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28685.714387</v>
      </c>
      <c r="C30" s="39">
        <f>IF(ISERROR(B30*3.6/1000000/'E Balans VL '!Z18*100),0,B30*3.6/1000000/'E Balans VL '!Z18*100)</f>
        <v>1.6256929892938299</v>
      </c>
      <c r="D30" s="237" t="s">
        <v>754</v>
      </c>
    </row>
    <row r="31" spans="1:18">
      <c r="A31" s="6" t="s">
        <v>33</v>
      </c>
      <c r="B31" s="37">
        <f>IF( ISERROR(IND_ander_ele_kWh/1000),0,IND_ander_ele_kWh/1000)</f>
        <v>113325.86156200001</v>
      </c>
      <c r="C31" s="39">
        <f>IF(ISERROR(B31*3.6/1000000/'E Balans VL '!Z19*100),0,B31*3.6/1000000/'E Balans VL '!Z19*100)</f>
        <v>5.1399891997777152</v>
      </c>
      <c r="D31" s="237" t="s">
        <v>754</v>
      </c>
    </row>
    <row r="32" spans="1:18">
      <c r="A32" s="171" t="s">
        <v>41</v>
      </c>
      <c r="B32" s="37">
        <f>IF( ISERROR(IND_voed_ele_kWh/1000),0,IND_voed_ele_kWh/1000)</f>
        <v>8666.4519999999993</v>
      </c>
      <c r="C32" s="39">
        <f>IF(ISERROR(B32*3.6/1000000/'E Balans VL '!Z20*100),0,B32*3.6/1000000/'E Balans VL '!Z20*100)</f>
        <v>0.26809270273018754</v>
      </c>
      <c r="D32" s="237" t="s">
        <v>754</v>
      </c>
    </row>
    <row r="33" spans="1:5">
      <c r="A33" s="171" t="s">
        <v>40</v>
      </c>
      <c r="B33" s="37">
        <f>IF( ISERROR(IND_textiel_ele_kWh/1000),0,IND_textiel_ele_kWh/1000)</f>
        <v>15070.465</v>
      </c>
      <c r="C33" s="39">
        <f>IF(ISERROR(B33*3.6/1000000/'E Balans VL '!Z21*100),0,B33*3.6/1000000/'E Balans VL '!Z21*100)</f>
        <v>1.9650211192515494</v>
      </c>
      <c r="D33" s="237" t="s">
        <v>754</v>
      </c>
    </row>
    <row r="34" spans="1:5">
      <c r="A34" s="171" t="s">
        <v>37</v>
      </c>
      <c r="B34" s="37">
        <f>IF( ISERROR(IND_min_ele_kWh/1000),0,IND_min_ele_kWh/1000)</f>
        <v>597.04899999999998</v>
      </c>
      <c r="C34" s="39">
        <f>IF(ISERROR(B34*3.6/1000000/'E Balans VL '!Z22*100),0,B34*3.6/1000000/'E Balans VL '!Z22*100)</f>
        <v>0.10739048738573384</v>
      </c>
      <c r="D34" s="237" t="s">
        <v>754</v>
      </c>
    </row>
    <row r="35" spans="1:5">
      <c r="A35" s="171" t="s">
        <v>39</v>
      </c>
      <c r="B35" s="37">
        <f>IF( ISERROR(IND_papier_ele_kWh/1000),0,IND_papier_ele_kWh/1000)</f>
        <v>16861.832793000001</v>
      </c>
      <c r="C35" s="39">
        <f>IF(ISERROR(B35*3.6/1000000/'E Balans VL '!Z22*100),0,B35*3.6/1000000/'E Balans VL '!Z22*100)</f>
        <v>3.0329176363364136</v>
      </c>
      <c r="D35" s="237" t="s">
        <v>754</v>
      </c>
    </row>
    <row r="36" spans="1:5">
      <c r="A36" s="171" t="s">
        <v>34</v>
      </c>
      <c r="B36" s="37">
        <f>IF( ISERROR(IND_chemie_ele_kWh/1000),0,IND_chemie_ele_kWh/1000)</f>
        <v>33625.471897000003</v>
      </c>
      <c r="C36" s="39">
        <f>IF(ISERROR(B36*3.6/1000000/'E Balans VL '!Z24*100),0,B36*3.6/1000000/'E Balans VL '!Z24*100)</f>
        <v>1.0253759762202186</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381.16590000000002</v>
      </c>
      <c r="C5" s="17">
        <f>'Eigen informatie GS &amp; warmtenet'!B60</f>
        <v>0</v>
      </c>
      <c r="D5" s="30">
        <f>IF(ISERROR(SUM(LB_lb_gas_kWh,LB_rest_gas_kWh)/1000),0,SUM(LB_lb_gas_kWh,LB_rest_gas_kWh)/1000)*0.902</f>
        <v>278.77663000000001</v>
      </c>
      <c r="E5" s="17">
        <f>B17*'E Balans VL '!I25/3.6*1000000/100</f>
        <v>11.203630016034047</v>
      </c>
      <c r="F5" s="17">
        <f>B17*('E Balans VL '!L25/3.6*1000000+'E Balans VL '!N25/3.6*1000000)/100</f>
        <v>1587.916542275859</v>
      </c>
      <c r="G5" s="18"/>
      <c r="H5" s="17"/>
      <c r="I5" s="17"/>
      <c r="J5" s="17">
        <f>('E Balans VL '!D25+'E Balans VL '!E25)/3.6*1000000*landbouw!B17/100</f>
        <v>55.222753278597509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381.16590000000002</v>
      </c>
      <c r="C8" s="21">
        <f>C5+C6</f>
        <v>0</v>
      </c>
      <c r="D8" s="21">
        <f>MAX((D5+D6),0)</f>
        <v>278.77663000000001</v>
      </c>
      <c r="E8" s="21">
        <f>MAX((E5+E6),0)</f>
        <v>11.203630016034047</v>
      </c>
      <c r="F8" s="21">
        <f>MAX((F5+F6),0)</f>
        <v>1587.916542275859</v>
      </c>
      <c r="G8" s="21"/>
      <c r="H8" s="21"/>
      <c r="I8" s="21"/>
      <c r="J8" s="21">
        <f>MAX((J5+J6),0)</f>
        <v>55.222753278597509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0.18056324861196124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68.824553164101957</v>
      </c>
      <c r="C12" s="23">
        <f ca="1">C8*C10</f>
        <v>0</v>
      </c>
      <c r="D12" s="23">
        <f>D8*D10</f>
        <v>56.312879260000003</v>
      </c>
      <c r="E12" s="23">
        <f>E8*E10</f>
        <v>2.5432240136397288</v>
      </c>
      <c r="F12" s="23">
        <f>F8*F10</f>
        <v>423.97371678765438</v>
      </c>
      <c r="G12" s="23"/>
      <c r="H12" s="23"/>
      <c r="I12" s="23"/>
      <c r="J12" s="23">
        <f>J8*J10</f>
        <v>19.548854660623515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5.4088637081540894E-2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3.8261542932618435</v>
      </c>
      <c r="C26" s="247">
        <f>B26*'GWP N2O_CH4'!B5</f>
        <v>80.349240158498716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0.36364487597542866</v>
      </c>
      <c r="C27" s="247">
        <f>B27*'GWP N2O_CH4'!B5</f>
        <v>7.6365423954840015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3.9350676907620667E-2</v>
      </c>
      <c r="C28" s="247">
        <f>B28*'GWP N2O_CH4'!B4</f>
        <v>12.198709841362406</v>
      </c>
      <c r="D28" s="50"/>
    </row>
    <row r="29" spans="1:4">
      <c r="A29" s="41" t="s">
        <v>277</v>
      </c>
      <c r="B29" s="247">
        <f>B34*'ha_N2O bodem landbouw'!B4</f>
        <v>2.4609203632296817</v>
      </c>
      <c r="C29" s="247">
        <f>B29*'GWP N2O_CH4'!B4</f>
        <v>762.88531260120135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5.6157354618015969E-4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5.498251952083975E-4</v>
      </c>
      <c r="C5" s="463" t="s">
        <v>211</v>
      </c>
      <c r="D5" s="448">
        <f>SUM(D6:D11)</f>
        <v>1.8419950813338085E-3</v>
      </c>
      <c r="E5" s="448">
        <f>SUM(E6:E11)</f>
        <v>2.7251123454371277E-3</v>
      </c>
      <c r="F5" s="461" t="s">
        <v>211</v>
      </c>
      <c r="G5" s="448">
        <f>SUM(G6:G11)</f>
        <v>1.0221060247237455</v>
      </c>
      <c r="H5" s="448">
        <f>SUM(H6:H11)</f>
        <v>0.21192023712564928</v>
      </c>
      <c r="I5" s="463" t="s">
        <v>211</v>
      </c>
      <c r="J5" s="463" t="s">
        <v>211</v>
      </c>
      <c r="K5" s="463" t="s">
        <v>211</v>
      </c>
      <c r="L5" s="463" t="s">
        <v>211</v>
      </c>
      <c r="M5" s="448">
        <f>SUM(M6:M11)</f>
        <v>6.5968789790945712E-2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2.4738770030259999E-4</v>
      </c>
      <c r="C6" s="449"/>
      <c r="D6" s="892">
        <f>vkm_2011_GW_PW*SUMIFS(TableVerdeelsleutelVkm[CNG],TableVerdeelsleutelVkm[Voertuigtype],"Lichte voertuigen")*SUMIFS(TableECFTransport[EnergieConsumptieFactor (PJ per km)],TableECFTransport[Index],CONCATENATE($A6,"_CNG_CNG"))</f>
        <v>7.4202111328316078E-4</v>
      </c>
      <c r="E6" s="892">
        <f>vkm_2011_GW_PW*SUMIFS(TableVerdeelsleutelVkm[LPG],TableVerdeelsleutelVkm[Voertuigtype],"Lichte voertuigen")*SUMIFS(TableECFTransport[EnergieConsumptieFactor (PJ per km)],TableECFTransport[Index],CONCATENATE($A6,"_LPG_LPG"))</f>
        <v>1.0137074268249183E-3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0.26209827150622411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8.4396363543450689E-2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1.7802640096661205E-2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9.0658786804479224E-2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2.7630956022096887E-5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5.2977936354684759E-3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6.8808391756877314E-5</v>
      </c>
      <c r="C8" s="449"/>
      <c r="D8" s="451">
        <f>vkm_2011_NGW_PW*SUMIFS(TableVerdeelsleutelVkm[CNG],TableVerdeelsleutelVkm[Voertuigtype],"Lichte voertuigen")*SUMIFS(TableECFTransport[EnergieConsumptieFactor (PJ per km)],TableECFTransport[Index],CONCATENATE($A8,"_CNG_CNG"))</f>
        <v>3.6695605610685336E-4</v>
      </c>
      <c r="E8" s="451">
        <f>vkm_2011_NGW_PW*SUMIFS(TableVerdeelsleutelVkm[LPG],TableVerdeelsleutelVkm[Voertuigtype],"Lichte voertuigen")*SUMIFS(TableECFTransport[EnergieConsumptieFactor (PJ per km)],TableECFTransport[Index],CONCATENATE($A8,"_LPG_LPG"))</f>
        <v>4.6427428281540996E-4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0.11186462241482949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4.0559250580307689E-2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7.7320820007461613E-3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1.6518260795013496E-3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4.7394809173251419E-7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9.652627333273091E-5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2.3362910314892016E-4</v>
      </c>
      <c r="C10" s="449"/>
      <c r="D10" s="451">
        <f>vkm_2011_SW_PW*SUMIFS(TableVerdeelsleutelVkm[CNG],TableVerdeelsleutelVkm[Voertuigtype],"Lichte voertuigen")*SUMIFS(TableECFTransport[EnergieConsumptieFactor (PJ per km)],TableECFTransport[Index],CONCATENATE($A10,"_CNG_CNG"))</f>
        <v>7.3301791194379444E-4</v>
      </c>
      <c r="E10" s="451">
        <f>vkm_2011_SW_PW*SUMIFS(TableVerdeelsleutelVkm[LPG],TableVerdeelsleutelVkm[Voertuigtype],"Lichte voertuigen")*SUMIFS(TableECFTransport[EnergieConsumptieFactor (PJ per km)],TableECFTransport[Index],CONCATENATE($A10,"_LPG_LPG"))</f>
        <v>1.2471306357967993E-3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0.28746643717203479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8.6848191162989724E-2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1.9357146741367574E-2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0.26836608074667651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8.8326934787317737E-5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1.5682601043369562E-2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152.72922089122153</v>
      </c>
      <c r="C14" s="21"/>
      <c r="D14" s="21">
        <f t="shared" ref="D14:M14" si="0">((D5)*10^9/3600)+D12</f>
        <v>511.66530037050239</v>
      </c>
      <c r="E14" s="21">
        <f t="shared" si="0"/>
        <v>756.97565151031324</v>
      </c>
      <c r="F14" s="21"/>
      <c r="G14" s="21">
        <f t="shared" si="0"/>
        <v>283918.34020104038</v>
      </c>
      <c r="H14" s="21">
        <f t="shared" si="0"/>
        <v>58866.732534902578</v>
      </c>
      <c r="I14" s="21"/>
      <c r="J14" s="21"/>
      <c r="K14" s="21"/>
      <c r="L14" s="21"/>
      <c r="M14" s="21">
        <f t="shared" si="0"/>
        <v>18324.663830818252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0.18056324861196124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27.577284282092776</v>
      </c>
      <c r="C18" s="23"/>
      <c r="D18" s="23">
        <f t="shared" ref="D18:M18" si="1">D14*D16</f>
        <v>103.35639067484149</v>
      </c>
      <c r="E18" s="23">
        <f t="shared" si="1"/>
        <v>171.83347289284112</v>
      </c>
      <c r="F18" s="23"/>
      <c r="G18" s="23">
        <f t="shared" si="1"/>
        <v>75806.196833677779</v>
      </c>
      <c r="H18" s="23">
        <f t="shared" si="1"/>
        <v>14657.816401190741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5.1370174821513216E-2</v>
      </c>
      <c r="H50" s="321">
        <f t="shared" si="2"/>
        <v>0</v>
      </c>
      <c r="I50" s="321">
        <f t="shared" si="2"/>
        <v>0</v>
      </c>
      <c r="J50" s="321">
        <f t="shared" si="2"/>
        <v>0</v>
      </c>
      <c r="K50" s="321">
        <f t="shared" si="2"/>
        <v>0</v>
      </c>
      <c r="L50" s="321">
        <f t="shared" si="2"/>
        <v>0</v>
      </c>
      <c r="M50" s="321">
        <f t="shared" si="2"/>
        <v>2.9175991523013125E-3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5.1370174821513216E-2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2.9175991523013125E-3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14269.493005975892</v>
      </c>
      <c r="H54" s="21">
        <f t="shared" si="3"/>
        <v>0</v>
      </c>
      <c r="I54" s="21">
        <f t="shared" si="3"/>
        <v>0</v>
      </c>
      <c r="J54" s="21">
        <f t="shared" si="3"/>
        <v>0</v>
      </c>
      <c r="K54" s="21">
        <f t="shared" si="3"/>
        <v>0</v>
      </c>
      <c r="L54" s="21">
        <f t="shared" si="3"/>
        <v>0</v>
      </c>
      <c r="M54" s="21">
        <f t="shared" si="3"/>
        <v>810.44420897258681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0.18056324861196124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3809.9546325955635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169115.78157700002</v>
      </c>
      <c r="D10" s="1013">
        <f ca="1">tertiair!C16</f>
        <v>96.428571428571431</v>
      </c>
      <c r="E10" s="1013">
        <f ca="1">tertiair!D16</f>
        <v>121516.88042746484</v>
      </c>
      <c r="F10" s="1013">
        <f>tertiair!E16</f>
        <v>2285.9706813733701</v>
      </c>
      <c r="G10" s="1013">
        <f ca="1">tertiair!F16</f>
        <v>28410.494436688612</v>
      </c>
      <c r="H10" s="1013">
        <f>tertiair!G16</f>
        <v>0</v>
      </c>
      <c r="I10" s="1013">
        <f>tertiair!H16</f>
        <v>0</v>
      </c>
      <c r="J10" s="1013">
        <f>tertiair!I16</f>
        <v>0</v>
      </c>
      <c r="K10" s="1013">
        <f>tertiair!J16</f>
        <v>0.34768792355928296</v>
      </c>
      <c r="L10" s="1013">
        <f>tertiair!K16</f>
        <v>0</v>
      </c>
      <c r="M10" s="1013">
        <f ca="1">tertiair!L16</f>
        <v>0</v>
      </c>
      <c r="N10" s="1013">
        <f>tertiair!M16</f>
        <v>0</v>
      </c>
      <c r="O10" s="1013">
        <f ca="1">tertiair!N16</f>
        <v>9554.513470728456</v>
      </c>
      <c r="P10" s="1013">
        <f>tertiair!O16</f>
        <v>4.6900000000000004</v>
      </c>
      <c r="Q10" s="1014">
        <f>tertiair!P16</f>
        <v>133.46666666666667</v>
      </c>
      <c r="R10" s="700">
        <f ca="1">SUM(C10:Q10)</f>
        <v>331118.57351927413</v>
      </c>
      <c r="S10" s="67"/>
    </row>
    <row r="11" spans="1:19" s="473" customFormat="1">
      <c r="A11" s="809" t="s">
        <v>225</v>
      </c>
      <c r="B11" s="814"/>
      <c r="C11" s="1013">
        <f>huishoudens!B8</f>
        <v>120361.35603999531</v>
      </c>
      <c r="D11" s="1013">
        <f>huishoudens!C8</f>
        <v>0</v>
      </c>
      <c r="E11" s="1013">
        <f>huishoudens!D8</f>
        <v>169175.09498465399</v>
      </c>
      <c r="F11" s="1013">
        <f>huishoudens!E8</f>
        <v>2737.0788338491852</v>
      </c>
      <c r="G11" s="1013">
        <f>huishoudens!F8</f>
        <v>133415.28520693799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11627.825523143376</v>
      </c>
      <c r="P11" s="1013">
        <f>huishoudens!O8</f>
        <v>1394.4933333333333</v>
      </c>
      <c r="Q11" s="1014">
        <f>huishoudens!P8</f>
        <v>2745.6</v>
      </c>
      <c r="R11" s="700">
        <f>SUM(C11:Q11)</f>
        <v>441456.7339219132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219371.664639</v>
      </c>
      <c r="D13" s="1013">
        <f>industrie!C18</f>
        <v>0</v>
      </c>
      <c r="E13" s="1013">
        <f>industrie!D18</f>
        <v>79015.400208822015</v>
      </c>
      <c r="F13" s="1013">
        <f>industrie!E18</f>
        <v>33578.190317052344</v>
      </c>
      <c r="G13" s="1013">
        <f>industrie!F18</f>
        <v>96806.218204040182</v>
      </c>
      <c r="H13" s="1013">
        <f>industrie!G18</f>
        <v>0</v>
      </c>
      <c r="I13" s="1013">
        <f>industrie!H18</f>
        <v>0</v>
      </c>
      <c r="J13" s="1013">
        <f>industrie!I18</f>
        <v>0</v>
      </c>
      <c r="K13" s="1013">
        <f>industrie!J18</f>
        <v>3.5889721750030663</v>
      </c>
      <c r="L13" s="1013">
        <f>industrie!K18</f>
        <v>0</v>
      </c>
      <c r="M13" s="1013">
        <f>industrie!L18</f>
        <v>0</v>
      </c>
      <c r="N13" s="1013">
        <f>industrie!M18</f>
        <v>0</v>
      </c>
      <c r="O13" s="1013">
        <f>industrie!N18</f>
        <v>89178.12638060379</v>
      </c>
      <c r="P13" s="1013">
        <f>industrie!O18</f>
        <v>0</v>
      </c>
      <c r="Q13" s="1014">
        <f>industrie!P18</f>
        <v>0</v>
      </c>
      <c r="R13" s="700">
        <f>SUM(C13:Q13)</f>
        <v>517953.18872169335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508848.80225599534</v>
      </c>
      <c r="D16" s="732">
        <f t="shared" ref="D16:R16" ca="1" si="0">SUM(D9:D15)</f>
        <v>96.428571428571431</v>
      </c>
      <c r="E16" s="732">
        <f t="shared" ca="1" si="0"/>
        <v>369707.37562094082</v>
      </c>
      <c r="F16" s="732">
        <f t="shared" si="0"/>
        <v>38601.2398322749</v>
      </c>
      <c r="G16" s="732">
        <f t="shared" ca="1" si="0"/>
        <v>258631.99784766679</v>
      </c>
      <c r="H16" s="732">
        <f t="shared" si="0"/>
        <v>0</v>
      </c>
      <c r="I16" s="732">
        <f t="shared" si="0"/>
        <v>0</v>
      </c>
      <c r="J16" s="732">
        <f t="shared" si="0"/>
        <v>0</v>
      </c>
      <c r="K16" s="732">
        <f t="shared" si="0"/>
        <v>3.9366600985623492</v>
      </c>
      <c r="L16" s="732">
        <f t="shared" si="0"/>
        <v>0</v>
      </c>
      <c r="M16" s="732">
        <f t="shared" ca="1" si="0"/>
        <v>0</v>
      </c>
      <c r="N16" s="732">
        <f t="shared" si="0"/>
        <v>0</v>
      </c>
      <c r="O16" s="732">
        <f t="shared" ca="1" si="0"/>
        <v>110360.46537447562</v>
      </c>
      <c r="P16" s="732">
        <f t="shared" si="0"/>
        <v>1399.1833333333334</v>
      </c>
      <c r="Q16" s="732">
        <f t="shared" si="0"/>
        <v>2879.0666666666666</v>
      </c>
      <c r="R16" s="732">
        <f t="shared" ca="1" si="0"/>
        <v>1290528.4961628807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14269.493005975892</v>
      </c>
      <c r="I19" s="1013">
        <f>transport!H54</f>
        <v>0</v>
      </c>
      <c r="J19" s="1013">
        <f>transport!I54</f>
        <v>0</v>
      </c>
      <c r="K19" s="1013">
        <f>transport!J54</f>
        <v>0</v>
      </c>
      <c r="L19" s="1013">
        <f>transport!K54</f>
        <v>0</v>
      </c>
      <c r="M19" s="1013">
        <f>transport!L54</f>
        <v>0</v>
      </c>
      <c r="N19" s="1013">
        <f>transport!M54</f>
        <v>810.44420897258681</v>
      </c>
      <c r="O19" s="1013">
        <f>transport!N54</f>
        <v>0</v>
      </c>
      <c r="P19" s="1013">
        <f>transport!O54</f>
        <v>0</v>
      </c>
      <c r="Q19" s="1014">
        <f>transport!P54</f>
        <v>0</v>
      </c>
      <c r="R19" s="700">
        <f>SUM(C19:Q19)</f>
        <v>15079.937214948479</v>
      </c>
      <c r="S19" s="67"/>
    </row>
    <row r="20" spans="1:19" s="473" customFormat="1">
      <c r="A20" s="809" t="s">
        <v>307</v>
      </c>
      <c r="B20" s="814"/>
      <c r="C20" s="1013">
        <f>transport!B14</f>
        <v>152.72922089122153</v>
      </c>
      <c r="D20" s="1013">
        <f>transport!C14</f>
        <v>0</v>
      </c>
      <c r="E20" s="1013">
        <f>transport!D14</f>
        <v>511.66530037050239</v>
      </c>
      <c r="F20" s="1013">
        <f>transport!E14</f>
        <v>756.97565151031324</v>
      </c>
      <c r="G20" s="1013">
        <f>transport!F14</f>
        <v>0</v>
      </c>
      <c r="H20" s="1013">
        <f>transport!G14</f>
        <v>283918.34020104038</v>
      </c>
      <c r="I20" s="1013">
        <f>transport!H14</f>
        <v>58866.732534902578</v>
      </c>
      <c r="J20" s="1013">
        <f>transport!I14</f>
        <v>0</v>
      </c>
      <c r="K20" s="1013">
        <f>transport!J14</f>
        <v>0</v>
      </c>
      <c r="L20" s="1013">
        <f>transport!K14</f>
        <v>0</v>
      </c>
      <c r="M20" s="1013">
        <f>transport!L14</f>
        <v>0</v>
      </c>
      <c r="N20" s="1013">
        <f>transport!M14</f>
        <v>18324.663830818252</v>
      </c>
      <c r="O20" s="1013">
        <f>transport!N14</f>
        <v>0</v>
      </c>
      <c r="P20" s="1013">
        <f>transport!O14</f>
        <v>0</v>
      </c>
      <c r="Q20" s="1014">
        <f>transport!P14</f>
        <v>0</v>
      </c>
      <c r="R20" s="700">
        <f>SUM(C20:Q20)</f>
        <v>362531.10673953325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152.72922089122153</v>
      </c>
      <c r="D22" s="812">
        <f t="shared" ref="D22:R22" si="1">SUM(D18:D21)</f>
        <v>0</v>
      </c>
      <c r="E22" s="812">
        <f t="shared" si="1"/>
        <v>511.66530037050239</v>
      </c>
      <c r="F22" s="812">
        <f t="shared" si="1"/>
        <v>756.97565151031324</v>
      </c>
      <c r="G22" s="812">
        <f t="shared" si="1"/>
        <v>0</v>
      </c>
      <c r="H22" s="812">
        <f t="shared" si="1"/>
        <v>298187.83320701629</v>
      </c>
      <c r="I22" s="812">
        <f t="shared" si="1"/>
        <v>58866.732534902578</v>
      </c>
      <c r="J22" s="812">
        <f t="shared" si="1"/>
        <v>0</v>
      </c>
      <c r="K22" s="812">
        <f t="shared" si="1"/>
        <v>0</v>
      </c>
      <c r="L22" s="812">
        <f t="shared" si="1"/>
        <v>0</v>
      </c>
      <c r="M22" s="812">
        <f t="shared" si="1"/>
        <v>0</v>
      </c>
      <c r="N22" s="812">
        <f t="shared" si="1"/>
        <v>19135.108039790837</v>
      </c>
      <c r="O22" s="812">
        <f t="shared" si="1"/>
        <v>0</v>
      </c>
      <c r="P22" s="812">
        <f t="shared" si="1"/>
        <v>0</v>
      </c>
      <c r="Q22" s="812">
        <f t="shared" si="1"/>
        <v>0</v>
      </c>
      <c r="R22" s="812">
        <f t="shared" si="1"/>
        <v>377611.04395448172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381.16590000000002</v>
      </c>
      <c r="D24" s="1013">
        <f>+landbouw!C8</f>
        <v>0</v>
      </c>
      <c r="E24" s="1013">
        <f>+landbouw!D8</f>
        <v>278.77663000000001</v>
      </c>
      <c r="F24" s="1013">
        <f>+landbouw!E8</f>
        <v>11.203630016034047</v>
      </c>
      <c r="G24" s="1013">
        <f>+landbouw!F8</f>
        <v>1587.916542275859</v>
      </c>
      <c r="H24" s="1013">
        <f>+landbouw!G8</f>
        <v>0</v>
      </c>
      <c r="I24" s="1013">
        <f>+landbouw!H8</f>
        <v>0</v>
      </c>
      <c r="J24" s="1013">
        <f>+landbouw!I8</f>
        <v>0</v>
      </c>
      <c r="K24" s="1013">
        <f>+landbouw!J8</f>
        <v>55.222753278597509</v>
      </c>
      <c r="L24" s="1013">
        <f>+landbouw!K8</f>
        <v>0</v>
      </c>
      <c r="M24" s="1013">
        <f>+landbouw!L8</f>
        <v>0</v>
      </c>
      <c r="N24" s="1013">
        <f>+landbouw!M8</f>
        <v>0</v>
      </c>
      <c r="O24" s="1013">
        <f>+landbouw!N8</f>
        <v>0</v>
      </c>
      <c r="P24" s="1013">
        <f>+landbouw!O8</f>
        <v>0</v>
      </c>
      <c r="Q24" s="1014">
        <f>+landbouw!P8</f>
        <v>0</v>
      </c>
      <c r="R24" s="700">
        <f>SUM(C24:Q24)</f>
        <v>2314.2854555704903</v>
      </c>
      <c r="S24" s="67"/>
    </row>
    <row r="25" spans="1:19" s="473" customFormat="1" ht="15" thickBot="1">
      <c r="A25" s="831" t="s">
        <v>836</v>
      </c>
      <c r="B25" s="1016"/>
      <c r="C25" s="1017">
        <f>IF(Onbekend_ele_kWh="---",0,Onbekend_ele_kWh)/1000+IF(REST_rest_ele_kWh="---",0,REST_rest_ele_kWh)/1000</f>
        <v>17294.813200000001</v>
      </c>
      <c r="D25" s="1017"/>
      <c r="E25" s="1017">
        <f>IF(onbekend_gas_kWh="---",0,onbekend_gas_kWh)/1000+IF(REST_rest_gas_kWh="---",0,REST_rest_gas_kWh)/1000</f>
        <v>15252.367237</v>
      </c>
      <c r="F25" s="1017"/>
      <c r="G25" s="1017"/>
      <c r="H25" s="1017"/>
      <c r="I25" s="1017"/>
      <c r="J25" s="1017"/>
      <c r="K25" s="1017"/>
      <c r="L25" s="1017"/>
      <c r="M25" s="1017"/>
      <c r="N25" s="1017"/>
      <c r="O25" s="1017"/>
      <c r="P25" s="1017"/>
      <c r="Q25" s="1018"/>
      <c r="R25" s="700">
        <f>SUM(C25:Q25)</f>
        <v>32547.180437000003</v>
      </c>
      <c r="S25" s="67"/>
    </row>
    <row r="26" spans="1:19" s="473" customFormat="1" ht="15.75" thickBot="1">
      <c r="A26" s="705" t="s">
        <v>837</v>
      </c>
      <c r="B26" s="817"/>
      <c r="C26" s="812">
        <f>SUM(C24:C25)</f>
        <v>17675.9791</v>
      </c>
      <c r="D26" s="812">
        <f t="shared" ref="D26:R26" si="2">SUM(D24:D25)</f>
        <v>0</v>
      </c>
      <c r="E26" s="812">
        <f t="shared" si="2"/>
        <v>15531.143867000001</v>
      </c>
      <c r="F26" s="812">
        <f t="shared" si="2"/>
        <v>11.203630016034047</v>
      </c>
      <c r="G26" s="812">
        <f t="shared" si="2"/>
        <v>1587.916542275859</v>
      </c>
      <c r="H26" s="812">
        <f t="shared" si="2"/>
        <v>0</v>
      </c>
      <c r="I26" s="812">
        <f t="shared" si="2"/>
        <v>0</v>
      </c>
      <c r="J26" s="812">
        <f t="shared" si="2"/>
        <v>0</v>
      </c>
      <c r="K26" s="812">
        <f t="shared" si="2"/>
        <v>55.222753278597509</v>
      </c>
      <c r="L26" s="812">
        <f t="shared" si="2"/>
        <v>0</v>
      </c>
      <c r="M26" s="812">
        <f t="shared" si="2"/>
        <v>0</v>
      </c>
      <c r="N26" s="812">
        <f t="shared" si="2"/>
        <v>0</v>
      </c>
      <c r="O26" s="812">
        <f t="shared" si="2"/>
        <v>0</v>
      </c>
      <c r="P26" s="812">
        <f t="shared" si="2"/>
        <v>0</v>
      </c>
      <c r="Q26" s="812">
        <f t="shared" si="2"/>
        <v>0</v>
      </c>
      <c r="R26" s="812">
        <f t="shared" si="2"/>
        <v>34861.465892570493</v>
      </c>
      <c r="S26" s="67"/>
    </row>
    <row r="27" spans="1:19" s="473" customFormat="1" ht="17.25" thickTop="1" thickBot="1">
      <c r="A27" s="706" t="s">
        <v>116</v>
      </c>
      <c r="B27" s="805"/>
      <c r="C27" s="707">
        <f ca="1">C22+C16+C26</f>
        <v>526677.51057688659</v>
      </c>
      <c r="D27" s="707">
        <f t="shared" ref="D27:R27" ca="1" si="3">D22+D16+D26</f>
        <v>96.428571428571431</v>
      </c>
      <c r="E27" s="707">
        <f t="shared" ca="1" si="3"/>
        <v>385750.18478831131</v>
      </c>
      <c r="F27" s="707">
        <f t="shared" si="3"/>
        <v>39369.419113801247</v>
      </c>
      <c r="G27" s="707">
        <f t="shared" ca="1" si="3"/>
        <v>260219.91438994266</v>
      </c>
      <c r="H27" s="707">
        <f t="shared" si="3"/>
        <v>298187.83320701629</v>
      </c>
      <c r="I27" s="707">
        <f t="shared" si="3"/>
        <v>58866.732534902578</v>
      </c>
      <c r="J27" s="707">
        <f t="shared" si="3"/>
        <v>0</v>
      </c>
      <c r="K27" s="707">
        <f t="shared" si="3"/>
        <v>59.159413377159858</v>
      </c>
      <c r="L27" s="707">
        <f t="shared" si="3"/>
        <v>0</v>
      </c>
      <c r="M27" s="707">
        <f t="shared" ca="1" si="3"/>
        <v>0</v>
      </c>
      <c r="N27" s="707">
        <f t="shared" si="3"/>
        <v>19135.108039790837</v>
      </c>
      <c r="O27" s="707">
        <f t="shared" ca="1" si="3"/>
        <v>110360.46537447562</v>
      </c>
      <c r="P27" s="707">
        <f t="shared" si="3"/>
        <v>1399.1833333333334</v>
      </c>
      <c r="Q27" s="707">
        <f t="shared" si="3"/>
        <v>2879.0666666666666</v>
      </c>
      <c r="R27" s="707">
        <f t="shared" ca="1" si="3"/>
        <v>1703001.0060099331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30536.094913093988</v>
      </c>
      <c r="D40" s="1013">
        <f ca="1">tertiair!C20</f>
        <v>22.915966386554619</v>
      </c>
      <c r="E40" s="1013">
        <f ca="1">tertiair!D20</f>
        <v>24546.409846347899</v>
      </c>
      <c r="F40" s="1013">
        <f>tertiair!E20</f>
        <v>518.91534467175507</v>
      </c>
      <c r="G40" s="1013">
        <f ca="1">tertiair!F20</f>
        <v>7585.6020145958601</v>
      </c>
      <c r="H40" s="1013">
        <f>tertiair!G20</f>
        <v>0</v>
      </c>
      <c r="I40" s="1013">
        <f>tertiair!H20</f>
        <v>0</v>
      </c>
      <c r="J40" s="1013">
        <f>tertiair!I20</f>
        <v>0</v>
      </c>
      <c r="K40" s="1013">
        <f>tertiair!J20</f>
        <v>0.12308152493998616</v>
      </c>
      <c r="L40" s="1013">
        <f>tertiair!K20</f>
        <v>0</v>
      </c>
      <c r="M40" s="1013">
        <f ca="1">tertiair!L20</f>
        <v>0</v>
      </c>
      <c r="N40" s="1013">
        <f>tertiair!M20</f>
        <v>0</v>
      </c>
      <c r="O40" s="1013">
        <f ca="1">tertiair!N20</f>
        <v>0</v>
      </c>
      <c r="P40" s="1013">
        <f>tertiair!O20</f>
        <v>0</v>
      </c>
      <c r="Q40" s="774">
        <f>tertiair!P20</f>
        <v>0</v>
      </c>
      <c r="R40" s="850">
        <f t="shared" ca="1" si="4"/>
        <v>63210.061166620995</v>
      </c>
    </row>
    <row r="41" spans="1:18">
      <c r="A41" s="822" t="s">
        <v>225</v>
      </c>
      <c r="B41" s="829"/>
      <c r="C41" s="1013">
        <f ca="1">huishoudens!B12</f>
        <v>21732.837453922457</v>
      </c>
      <c r="D41" s="1013">
        <f ca="1">huishoudens!C12</f>
        <v>0</v>
      </c>
      <c r="E41" s="1013">
        <f>huishoudens!D12</f>
        <v>34173.369186900105</v>
      </c>
      <c r="F41" s="1013">
        <f>huishoudens!E12</f>
        <v>621.31689528376512</v>
      </c>
      <c r="G41" s="1013">
        <f>huishoudens!F12</f>
        <v>35621.881150252448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92149.404686358786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39610.460420631542</v>
      </c>
      <c r="D43" s="1013">
        <f ca="1">industrie!C22</f>
        <v>0</v>
      </c>
      <c r="E43" s="1013">
        <f>industrie!D22</f>
        <v>15961.110842182048</v>
      </c>
      <c r="F43" s="1013">
        <f>industrie!E22</f>
        <v>7622.2492019708825</v>
      </c>
      <c r="G43" s="1013">
        <f>industrie!F22</f>
        <v>25847.260260478732</v>
      </c>
      <c r="H43" s="1013">
        <f>industrie!G22</f>
        <v>0</v>
      </c>
      <c r="I43" s="1013">
        <f>industrie!H22</f>
        <v>0</v>
      </c>
      <c r="J43" s="1013">
        <f>industrie!I22</f>
        <v>0</v>
      </c>
      <c r="K43" s="1013">
        <f>industrie!J22</f>
        <v>1.2704961499510854</v>
      </c>
      <c r="L43" s="1013">
        <f>industrie!K22</f>
        <v>0</v>
      </c>
      <c r="M43" s="1013">
        <f>industrie!L22</f>
        <v>0</v>
      </c>
      <c r="N43" s="1013">
        <f>industrie!M22</f>
        <v>0</v>
      </c>
      <c r="O43" s="1013">
        <f>industrie!N22</f>
        <v>0</v>
      </c>
      <c r="P43" s="1013">
        <f>industrie!O22</f>
        <v>0</v>
      </c>
      <c r="Q43" s="774">
        <f>industrie!P22</f>
        <v>0</v>
      </c>
      <c r="R43" s="849">
        <f t="shared" ca="1" si="4"/>
        <v>89042.351221413148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91879.392787647987</v>
      </c>
      <c r="D46" s="732">
        <f t="shared" ref="D46:Q46" ca="1" si="5">SUM(D39:D45)</f>
        <v>22.915966386554619</v>
      </c>
      <c r="E46" s="732">
        <f t="shared" ca="1" si="5"/>
        <v>74680.889875430061</v>
      </c>
      <c r="F46" s="732">
        <f t="shared" si="5"/>
        <v>8762.4814419264021</v>
      </c>
      <c r="G46" s="732">
        <f t="shared" ca="1" si="5"/>
        <v>69054.743425327033</v>
      </c>
      <c r="H46" s="732">
        <f t="shared" si="5"/>
        <v>0</v>
      </c>
      <c r="I46" s="732">
        <f t="shared" si="5"/>
        <v>0</v>
      </c>
      <c r="J46" s="732">
        <f t="shared" si="5"/>
        <v>0</v>
      </c>
      <c r="K46" s="732">
        <f t="shared" si="5"/>
        <v>1.3935776748910715</v>
      </c>
      <c r="L46" s="732">
        <f t="shared" si="5"/>
        <v>0</v>
      </c>
      <c r="M46" s="732">
        <f t="shared" ca="1" si="5"/>
        <v>0</v>
      </c>
      <c r="N46" s="732">
        <f t="shared" si="5"/>
        <v>0</v>
      </c>
      <c r="O46" s="732">
        <f t="shared" ca="1" si="5"/>
        <v>0</v>
      </c>
      <c r="P46" s="732">
        <f t="shared" si="5"/>
        <v>0</v>
      </c>
      <c r="Q46" s="732">
        <f t="shared" si="5"/>
        <v>0</v>
      </c>
      <c r="R46" s="732">
        <f ca="1">SUM(R39:R45)</f>
        <v>244401.81707439292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3809.9546325955635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3809.9546325955635</v>
      </c>
    </row>
    <row r="50" spans="1:18">
      <c r="A50" s="825" t="s">
        <v>307</v>
      </c>
      <c r="B50" s="835"/>
      <c r="C50" s="703">
        <f ca="1">transport!B18</f>
        <v>27.577284282092776</v>
      </c>
      <c r="D50" s="703">
        <f>transport!C18</f>
        <v>0</v>
      </c>
      <c r="E50" s="703">
        <f>transport!D18</f>
        <v>103.35639067484149</v>
      </c>
      <c r="F50" s="703">
        <f>transport!E18</f>
        <v>171.83347289284112</v>
      </c>
      <c r="G50" s="703">
        <f>transport!F18</f>
        <v>0</v>
      </c>
      <c r="H50" s="703">
        <f>transport!G18</f>
        <v>75806.196833677779</v>
      </c>
      <c r="I50" s="703">
        <f>transport!H18</f>
        <v>14657.816401190741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90766.780382718294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27.577284282092776</v>
      </c>
      <c r="D52" s="732">
        <f t="shared" ref="D52:Q52" ca="1" si="6">SUM(D48:D51)</f>
        <v>0</v>
      </c>
      <c r="E52" s="732">
        <f t="shared" si="6"/>
        <v>103.35639067484149</v>
      </c>
      <c r="F52" s="732">
        <f t="shared" si="6"/>
        <v>171.83347289284112</v>
      </c>
      <c r="G52" s="732">
        <f t="shared" si="6"/>
        <v>0</v>
      </c>
      <c r="H52" s="732">
        <f t="shared" si="6"/>
        <v>79616.151466273339</v>
      </c>
      <c r="I52" s="732">
        <f t="shared" si="6"/>
        <v>14657.816401190741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94576.735015313854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68.824553164101957</v>
      </c>
      <c r="D54" s="703">
        <f ca="1">+landbouw!C12</f>
        <v>0</v>
      </c>
      <c r="E54" s="703">
        <f>+landbouw!D12</f>
        <v>56.312879260000003</v>
      </c>
      <c r="F54" s="703">
        <f>+landbouw!E12</f>
        <v>2.5432240136397288</v>
      </c>
      <c r="G54" s="703">
        <f>+landbouw!F12</f>
        <v>423.97371678765438</v>
      </c>
      <c r="H54" s="703">
        <f>+landbouw!G12</f>
        <v>0</v>
      </c>
      <c r="I54" s="703">
        <f>+landbouw!H12</f>
        <v>0</v>
      </c>
      <c r="J54" s="703">
        <f>+landbouw!I12</f>
        <v>0</v>
      </c>
      <c r="K54" s="703">
        <f>+landbouw!J12</f>
        <v>19.548854660623515</v>
      </c>
      <c r="L54" s="703">
        <f>+landbouw!K12</f>
        <v>0</v>
      </c>
      <c r="M54" s="703">
        <f>+landbouw!L12</f>
        <v>0</v>
      </c>
      <c r="N54" s="703">
        <f>+landbouw!M12</f>
        <v>0</v>
      </c>
      <c r="O54" s="703">
        <f>+landbouw!N12</f>
        <v>0</v>
      </c>
      <c r="P54" s="703">
        <f>+landbouw!O12</f>
        <v>0</v>
      </c>
      <c r="Q54" s="704">
        <f>+landbouw!P12</f>
        <v>0</v>
      </c>
      <c r="R54" s="731">
        <f ca="1">SUM(C54:Q54)</f>
        <v>571.20322788601959</v>
      </c>
    </row>
    <row r="55" spans="1:18" ht="15" thickBot="1">
      <c r="A55" s="825" t="s">
        <v>836</v>
      </c>
      <c r="B55" s="835"/>
      <c r="C55" s="703">
        <f ca="1">C25*'EF ele_warmte'!B12</f>
        <v>3122.807655529029</v>
      </c>
      <c r="D55" s="703"/>
      <c r="E55" s="703">
        <f>E25*EF_CO2_aardgas</f>
        <v>3080.9781818740003</v>
      </c>
      <c r="F55" s="703"/>
      <c r="G55" s="703"/>
      <c r="H55" s="703"/>
      <c r="I55" s="703"/>
      <c r="J55" s="703"/>
      <c r="K55" s="703"/>
      <c r="L55" s="703"/>
      <c r="M55" s="703"/>
      <c r="N55" s="703"/>
      <c r="O55" s="703"/>
      <c r="P55" s="703"/>
      <c r="Q55" s="704"/>
      <c r="R55" s="731">
        <f ca="1">SUM(C55:Q55)</f>
        <v>6203.7858374030293</v>
      </c>
    </row>
    <row r="56" spans="1:18" ht="15.75" thickBot="1">
      <c r="A56" s="823" t="s">
        <v>837</v>
      </c>
      <c r="B56" s="836"/>
      <c r="C56" s="732">
        <f ca="1">SUM(C54:C55)</f>
        <v>3191.6322086931309</v>
      </c>
      <c r="D56" s="732">
        <f t="shared" ref="D56:Q56" ca="1" si="7">SUM(D54:D55)</f>
        <v>0</v>
      </c>
      <c r="E56" s="732">
        <f t="shared" si="7"/>
        <v>3137.2910611340003</v>
      </c>
      <c r="F56" s="732">
        <f t="shared" si="7"/>
        <v>2.5432240136397288</v>
      </c>
      <c r="G56" s="732">
        <f t="shared" si="7"/>
        <v>423.97371678765438</v>
      </c>
      <c r="H56" s="732">
        <f t="shared" si="7"/>
        <v>0</v>
      </c>
      <c r="I56" s="732">
        <f t="shared" si="7"/>
        <v>0</v>
      </c>
      <c r="J56" s="732">
        <f t="shared" si="7"/>
        <v>0</v>
      </c>
      <c r="K56" s="732">
        <f t="shared" si="7"/>
        <v>19.548854660623515</v>
      </c>
      <c r="L56" s="732">
        <f t="shared" si="7"/>
        <v>0</v>
      </c>
      <c r="M56" s="732">
        <f t="shared" si="7"/>
        <v>0</v>
      </c>
      <c r="N56" s="732">
        <f t="shared" si="7"/>
        <v>0</v>
      </c>
      <c r="O56" s="732">
        <f t="shared" si="7"/>
        <v>0</v>
      </c>
      <c r="P56" s="732">
        <f t="shared" si="7"/>
        <v>0</v>
      </c>
      <c r="Q56" s="733">
        <f t="shared" si="7"/>
        <v>0</v>
      </c>
      <c r="R56" s="734">
        <f ca="1">SUM(R54:R55)</f>
        <v>6774.989065289049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95098.602280623207</v>
      </c>
      <c r="D61" s="740">
        <f t="shared" ref="D61:Q61" ca="1" si="8">D46+D52+D56</f>
        <v>22.915966386554619</v>
      </c>
      <c r="E61" s="740">
        <f t="shared" ca="1" si="8"/>
        <v>77921.537327238912</v>
      </c>
      <c r="F61" s="740">
        <f t="shared" si="8"/>
        <v>8936.8581388328821</v>
      </c>
      <c r="G61" s="740">
        <f t="shared" ca="1" si="8"/>
        <v>69478.717142114692</v>
      </c>
      <c r="H61" s="740">
        <f t="shared" si="8"/>
        <v>79616.151466273339</v>
      </c>
      <c r="I61" s="740">
        <f t="shared" si="8"/>
        <v>14657.816401190741</v>
      </c>
      <c r="J61" s="740">
        <f t="shared" si="8"/>
        <v>0</v>
      </c>
      <c r="K61" s="740">
        <f t="shared" si="8"/>
        <v>20.942432335514589</v>
      </c>
      <c r="L61" s="740">
        <f t="shared" si="8"/>
        <v>0</v>
      </c>
      <c r="M61" s="740">
        <f t="shared" ca="1" si="8"/>
        <v>0</v>
      </c>
      <c r="N61" s="740">
        <f t="shared" si="8"/>
        <v>0</v>
      </c>
      <c r="O61" s="740">
        <f t="shared" ca="1" si="8"/>
        <v>0</v>
      </c>
      <c r="P61" s="740">
        <f t="shared" si="8"/>
        <v>0</v>
      </c>
      <c r="Q61" s="740">
        <f t="shared" si="8"/>
        <v>0</v>
      </c>
      <c r="R61" s="740">
        <f ca="1">R46+R52+R56</f>
        <v>345753.54115499579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0.18056324861196121</v>
      </c>
      <c r="D63" s="781">
        <f t="shared" ca="1" si="9"/>
        <v>0.23764705882352938</v>
      </c>
      <c r="E63" s="1024">
        <f t="shared" ca="1" si="9"/>
        <v>0.20200000000000007</v>
      </c>
      <c r="F63" s="781">
        <f t="shared" si="9"/>
        <v>0.22699999999999998</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59166.093102496619</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35586.084423925568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67.5</v>
      </c>
      <c r="D76" s="1034">
        <f>'lokale energieproductie'!C8</f>
        <v>79.411764705882348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16.041176470588237</v>
      </c>
      <c r="R76" s="852">
        <v>0</v>
      </c>
    </row>
    <row r="77" spans="1:18" ht="30.75" thickBot="1">
      <c r="A77" s="753" t="s">
        <v>353</v>
      </c>
      <c r="B77" s="750">
        <f>'lokale energieproductie'!B9*IFERROR(SUM(I77:O77)/SUM(D77:O77),0)</f>
        <v>1620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4628.5714285714284</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96372.177526422194</v>
      </c>
      <c r="C78" s="755">
        <f>SUM(C72:C77)</f>
        <v>67.5</v>
      </c>
      <c r="D78" s="756">
        <f t="shared" ref="D78:H78" si="10">SUM(D76:D77)</f>
        <v>79.411764705882348</v>
      </c>
      <c r="E78" s="756">
        <f t="shared" si="10"/>
        <v>0</v>
      </c>
      <c r="F78" s="756">
        <f t="shared" si="10"/>
        <v>0</v>
      </c>
      <c r="G78" s="756">
        <f t="shared" si="10"/>
        <v>0</v>
      </c>
      <c r="H78" s="756">
        <f t="shared" si="10"/>
        <v>0</v>
      </c>
      <c r="I78" s="756">
        <f>SUM(I76:I77)</f>
        <v>0</v>
      </c>
      <c r="J78" s="756">
        <f>SUM(J76:J77)</f>
        <v>4628.5714285714284</v>
      </c>
      <c r="K78" s="756">
        <f t="shared" ref="K78:L78" si="11">SUM(K76:K77)</f>
        <v>0</v>
      </c>
      <c r="L78" s="756">
        <f t="shared" si="11"/>
        <v>0</v>
      </c>
      <c r="M78" s="756">
        <f>SUM(M76:M77)</f>
        <v>0</v>
      </c>
      <c r="N78" s="756">
        <f>SUM(N76:N77)</f>
        <v>0</v>
      </c>
      <c r="O78" s="860">
        <f>SUM(O76:O77)</f>
        <v>0</v>
      </c>
      <c r="P78" s="757">
        <v>0</v>
      </c>
      <c r="Q78" s="757">
        <f>SUM(Q76:Q77)</f>
        <v>16.041176470588237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96.428571428571431</v>
      </c>
      <c r="D87" s="777">
        <f>'lokale energieproductie'!C17</f>
        <v>113.44537815126048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22.915966386554619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96.428571428571431</v>
      </c>
      <c r="D90" s="755">
        <f t="shared" ref="D90:H90" si="12">SUM(D87:D89)</f>
        <v>113.44537815126048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22.915966386554619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59166.093102496619</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35586.084423925568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67.5</v>
      </c>
      <c r="C8" s="570">
        <f>B101</f>
        <v>79.411764705882348</v>
      </c>
      <c r="D8" s="1044"/>
      <c r="E8" s="1044">
        <f>E101</f>
        <v>0</v>
      </c>
      <c r="F8" s="1045"/>
      <c r="G8" s="571"/>
      <c r="H8" s="1044">
        <f>I101</f>
        <v>0</v>
      </c>
      <c r="I8" s="1044">
        <f>G101+F101</f>
        <v>0</v>
      </c>
      <c r="J8" s="1044">
        <f>H101+D101+C101</f>
        <v>0</v>
      </c>
      <c r="K8" s="1044"/>
      <c r="L8" s="1044"/>
      <c r="M8" s="1044"/>
      <c r="N8" s="572"/>
      <c r="O8" s="573">
        <f>C8*$C$12+D8*$D$12+E8*$E$12+F8*$F$12+G8*$G$12+H8*$H$12+I8*$I$12+J8*$J$12</f>
        <v>16.041176470588237</v>
      </c>
      <c r="P8" s="1238"/>
      <c r="Q8" s="1239"/>
      <c r="S8" s="1007"/>
      <c r="T8" s="1275"/>
      <c r="U8" s="1275"/>
    </row>
    <row r="9" spans="1:21" s="559" customFormat="1" ht="17.45" customHeight="1" thickBot="1">
      <c r="A9" s="574" t="s">
        <v>248</v>
      </c>
      <c r="B9" s="575">
        <f>N89+'Eigen informatie GS &amp; warmtenet'!B12</f>
        <v>1620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96439.677526422194</v>
      </c>
      <c r="C10" s="583">
        <f t="shared" ref="C10:L10" si="0">SUM(C8:C9)</f>
        <v>79.411764705882348</v>
      </c>
      <c r="D10" s="583">
        <f t="shared" si="0"/>
        <v>0</v>
      </c>
      <c r="E10" s="583">
        <f t="shared" si="0"/>
        <v>0</v>
      </c>
      <c r="F10" s="583">
        <f t="shared" si="0"/>
        <v>0</v>
      </c>
      <c r="G10" s="583">
        <f t="shared" si="0"/>
        <v>0</v>
      </c>
      <c r="H10" s="583">
        <f t="shared" si="0"/>
        <v>0</v>
      </c>
      <c r="I10" s="583">
        <f t="shared" si="0"/>
        <v>0</v>
      </c>
      <c r="J10" s="583">
        <f t="shared" si="0"/>
        <v>4628.5714285714284</v>
      </c>
      <c r="K10" s="583">
        <f t="shared" si="0"/>
        <v>0</v>
      </c>
      <c r="L10" s="583">
        <f t="shared" si="0"/>
        <v>0</v>
      </c>
      <c r="M10" s="1047"/>
      <c r="N10" s="1047"/>
      <c r="O10" s="584">
        <f>SUM(O4:O9)</f>
        <v>16.041176470588237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96.428571428571431</v>
      </c>
      <c r="C17" s="595">
        <f>B102</f>
        <v>113.44537815126048</v>
      </c>
      <c r="D17" s="596"/>
      <c r="E17" s="596">
        <f>E102</f>
        <v>0</v>
      </c>
      <c r="F17" s="1050"/>
      <c r="G17" s="597"/>
      <c r="H17" s="595">
        <f>I102</f>
        <v>0</v>
      </c>
      <c r="I17" s="596">
        <f>G102+F102</f>
        <v>0</v>
      </c>
      <c r="J17" s="596">
        <f>H102+D102+C102</f>
        <v>0</v>
      </c>
      <c r="K17" s="596"/>
      <c r="L17" s="596"/>
      <c r="M17" s="596"/>
      <c r="N17" s="1051"/>
      <c r="O17" s="598">
        <f>C17*$C$22+E17*$E$22+H17*$H$22+I17*$I$22+J17*$J$22+D17*$D$22+F17*$F$22+G17*$G$22+K17*$K$22+L17*$L$22</f>
        <v>22.915966386554619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96.428571428571431</v>
      </c>
      <c r="C20" s="582">
        <f>SUM(C17:C19)</f>
        <v>113.44537815126048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22.915966386554619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71016</v>
      </c>
      <c r="C28" s="796">
        <v>3600</v>
      </c>
      <c r="D28" s="653" t="s">
        <v>881</v>
      </c>
      <c r="E28" s="652" t="s">
        <v>882</v>
      </c>
      <c r="F28" s="652" t="s">
        <v>883</v>
      </c>
      <c r="G28" s="652" t="s">
        <v>884</v>
      </c>
      <c r="H28" s="652" t="s">
        <v>885</v>
      </c>
      <c r="I28" s="652" t="s">
        <v>886</v>
      </c>
      <c r="J28" s="795">
        <v>41099</v>
      </c>
      <c r="K28" s="795">
        <v>41244</v>
      </c>
      <c r="L28" s="652" t="s">
        <v>887</v>
      </c>
      <c r="M28" s="652">
        <v>15</v>
      </c>
      <c r="N28" s="652">
        <v>67.5</v>
      </c>
      <c r="O28" s="652">
        <v>96.428571428571431</v>
      </c>
      <c r="P28" s="652">
        <v>192.85714285714286</v>
      </c>
      <c r="Q28" s="652">
        <v>0</v>
      </c>
      <c r="R28" s="652">
        <v>0</v>
      </c>
      <c r="S28" s="652">
        <v>0</v>
      </c>
      <c r="T28" s="652">
        <v>0</v>
      </c>
      <c r="U28" s="652">
        <v>0</v>
      </c>
      <c r="V28" s="652">
        <v>0</v>
      </c>
      <c r="W28" s="652">
        <v>0</v>
      </c>
      <c r="X28" s="652">
        <v>1300</v>
      </c>
      <c r="Y28" s="652" t="s">
        <v>54</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v>
      </c>
      <c r="N58" s="610">
        <f>SUM(N28:N57)</f>
        <v>67.5</v>
      </c>
      <c r="O58" s="610">
        <f t="shared" ref="O58:W58" si="2">SUM(O28:O57)</f>
        <v>96.428571428571431</v>
      </c>
      <c r="P58" s="610">
        <f t="shared" si="2"/>
        <v>192.85714285714286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15</v>
      </c>
      <c r="N60" s="610">
        <f ca="1">SUMIF($Z$28:AD57,"tertiair",N28:N57)</f>
        <v>67.5</v>
      </c>
      <c r="O60" s="610">
        <f ca="1">SUMIF($Z$28:AE57,"tertiair",O28:O57)</f>
        <v>96.428571428571431</v>
      </c>
      <c r="P60" s="610">
        <f ca="1">SUMIF($Z$28:AF57,"tertiair",P28:P57)</f>
        <v>192.85714285714286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71016</v>
      </c>
      <c r="C64" s="796">
        <v>3600</v>
      </c>
      <c r="D64" s="655" t="s">
        <v>888</v>
      </c>
      <c r="E64" s="655" t="s">
        <v>889</v>
      </c>
      <c r="F64" s="655" t="s">
        <v>890</v>
      </c>
      <c r="G64" s="655" t="s">
        <v>891</v>
      </c>
      <c r="H64" s="655" t="s">
        <v>892</v>
      </c>
      <c r="I64" s="655" t="s">
        <v>893</v>
      </c>
      <c r="J64" s="795">
        <v>33970</v>
      </c>
      <c r="K64" s="795">
        <v>37316</v>
      </c>
      <c r="L64" s="655" t="s">
        <v>887</v>
      </c>
      <c r="M64" s="655">
        <v>360</v>
      </c>
      <c r="N64" s="655">
        <v>1620</v>
      </c>
      <c r="O64" s="655">
        <v>0</v>
      </c>
      <c r="P64" s="655">
        <v>0</v>
      </c>
      <c r="Q64" s="655">
        <v>4628.5714285714284</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360</v>
      </c>
      <c r="N89" s="610">
        <f t="shared" ref="N89:W89" si="5">SUM(N64:N88)</f>
        <v>1620</v>
      </c>
      <c r="O89" s="610">
        <f t="shared" si="5"/>
        <v>0</v>
      </c>
      <c r="P89" s="610">
        <f t="shared" si="5"/>
        <v>0</v>
      </c>
      <c r="Q89" s="610">
        <f t="shared" si="5"/>
        <v>4628.5714285714284</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360</v>
      </c>
      <c r="N91" s="610">
        <f t="shared" si="7"/>
        <v>1620</v>
      </c>
      <c r="O91" s="610">
        <f t="shared" si="7"/>
        <v>0</v>
      </c>
      <c r="P91" s="610">
        <f t="shared" si="7"/>
        <v>0</v>
      </c>
      <c r="Q91" s="610">
        <f t="shared" si="7"/>
        <v>4628.5714285714284</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79.411764705882348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113.44537815126048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120361.35603999531</v>
      </c>
      <c r="C4" s="477">
        <f>huishoudens!C8</f>
        <v>0</v>
      </c>
      <c r="D4" s="477">
        <f>huishoudens!D8</f>
        <v>169175.09498465399</v>
      </c>
      <c r="E4" s="477">
        <f>huishoudens!E8</f>
        <v>2737.0788338491852</v>
      </c>
      <c r="F4" s="477">
        <f>huishoudens!F8</f>
        <v>133415.28520693799</v>
      </c>
      <c r="G4" s="477">
        <f>huishoudens!G8</f>
        <v>0</v>
      </c>
      <c r="H4" s="477">
        <f>huishoudens!H8</f>
        <v>0</v>
      </c>
      <c r="I4" s="477">
        <f>huishoudens!I8</f>
        <v>0</v>
      </c>
      <c r="J4" s="477">
        <f>huishoudens!J8</f>
        <v>0</v>
      </c>
      <c r="K4" s="477">
        <f>huishoudens!K8</f>
        <v>0</v>
      </c>
      <c r="L4" s="477">
        <f>huishoudens!L8</f>
        <v>0</v>
      </c>
      <c r="M4" s="477">
        <f>huishoudens!M8</f>
        <v>0</v>
      </c>
      <c r="N4" s="477">
        <f>huishoudens!N8</f>
        <v>11627.825523143376</v>
      </c>
      <c r="O4" s="477">
        <f>huishoudens!O8</f>
        <v>1394.4933333333333</v>
      </c>
      <c r="P4" s="478">
        <f>huishoudens!P8</f>
        <v>2745.6</v>
      </c>
      <c r="Q4" s="479">
        <f>SUM(B4:P4)</f>
        <v>441456.7339219132</v>
      </c>
    </row>
    <row r="5" spans="1:17">
      <c r="A5" s="476" t="s">
        <v>156</v>
      </c>
      <c r="B5" s="477">
        <f ca="1">tertiair!B16</f>
        <v>165109.57557700001</v>
      </c>
      <c r="C5" s="477">
        <f ca="1">tertiair!C16</f>
        <v>96.428571428571431</v>
      </c>
      <c r="D5" s="477">
        <f ca="1">tertiair!D16</f>
        <v>121516.88042746484</v>
      </c>
      <c r="E5" s="477">
        <f>tertiair!E16</f>
        <v>2285.9706813733701</v>
      </c>
      <c r="F5" s="477">
        <f ca="1">tertiair!F16</f>
        <v>28410.494436688612</v>
      </c>
      <c r="G5" s="477">
        <f>tertiair!G16</f>
        <v>0</v>
      </c>
      <c r="H5" s="477">
        <f>tertiair!H16</f>
        <v>0</v>
      </c>
      <c r="I5" s="477">
        <f>tertiair!I16</f>
        <v>0</v>
      </c>
      <c r="J5" s="477">
        <f>tertiair!J16</f>
        <v>0.34768792355928296</v>
      </c>
      <c r="K5" s="477">
        <f>tertiair!K16</f>
        <v>0</v>
      </c>
      <c r="L5" s="477">
        <f ca="1">tertiair!L16</f>
        <v>0</v>
      </c>
      <c r="M5" s="477">
        <f>tertiair!M16</f>
        <v>0</v>
      </c>
      <c r="N5" s="477">
        <f ca="1">tertiair!N16</f>
        <v>9554.513470728456</v>
      </c>
      <c r="O5" s="477">
        <f>tertiair!O16</f>
        <v>4.6900000000000004</v>
      </c>
      <c r="P5" s="478">
        <f>tertiair!P16</f>
        <v>133.46666666666667</v>
      </c>
      <c r="Q5" s="476">
        <f t="shared" ref="Q5:Q14" ca="1" si="0">SUM(B5:P5)</f>
        <v>327112.36751927412</v>
      </c>
    </row>
    <row r="6" spans="1:17">
      <c r="A6" s="476" t="s">
        <v>194</v>
      </c>
      <c r="B6" s="477">
        <f>'openbare verlichting'!B8</f>
        <v>4006.2060000000001</v>
      </c>
      <c r="C6" s="477"/>
      <c r="D6" s="477"/>
      <c r="E6" s="477"/>
      <c r="F6" s="477"/>
      <c r="G6" s="477"/>
      <c r="H6" s="477"/>
      <c r="I6" s="477"/>
      <c r="J6" s="477"/>
      <c r="K6" s="477"/>
      <c r="L6" s="477"/>
      <c r="M6" s="477"/>
      <c r="N6" s="477"/>
      <c r="O6" s="477"/>
      <c r="P6" s="478"/>
      <c r="Q6" s="476">
        <f t="shared" si="0"/>
        <v>4006.2060000000001</v>
      </c>
    </row>
    <row r="7" spans="1:17">
      <c r="A7" s="476" t="s">
        <v>112</v>
      </c>
      <c r="B7" s="477">
        <f>landbouw!B8</f>
        <v>381.16590000000002</v>
      </c>
      <c r="C7" s="477">
        <f>landbouw!C8</f>
        <v>0</v>
      </c>
      <c r="D7" s="477">
        <f>landbouw!D8</f>
        <v>278.77663000000001</v>
      </c>
      <c r="E7" s="477">
        <f>landbouw!E8</f>
        <v>11.203630016034047</v>
      </c>
      <c r="F7" s="477">
        <f>landbouw!F8</f>
        <v>1587.916542275859</v>
      </c>
      <c r="G7" s="477">
        <f>landbouw!G8</f>
        <v>0</v>
      </c>
      <c r="H7" s="477">
        <f>landbouw!H8</f>
        <v>0</v>
      </c>
      <c r="I7" s="477">
        <f>landbouw!I8</f>
        <v>0</v>
      </c>
      <c r="J7" s="477">
        <f>landbouw!J8</f>
        <v>55.222753278597509</v>
      </c>
      <c r="K7" s="477">
        <f>landbouw!K8</f>
        <v>0</v>
      </c>
      <c r="L7" s="477">
        <f>landbouw!L8</f>
        <v>0</v>
      </c>
      <c r="M7" s="477">
        <f>landbouw!M8</f>
        <v>0</v>
      </c>
      <c r="N7" s="477">
        <f>landbouw!N8</f>
        <v>0</v>
      </c>
      <c r="O7" s="477">
        <f>landbouw!O8</f>
        <v>0</v>
      </c>
      <c r="P7" s="478">
        <f>landbouw!P8</f>
        <v>0</v>
      </c>
      <c r="Q7" s="476">
        <f t="shared" si="0"/>
        <v>2314.2854555704903</v>
      </c>
    </row>
    <row r="8" spans="1:17">
      <c r="A8" s="476" t="s">
        <v>635</v>
      </c>
      <c r="B8" s="477">
        <f>industrie!B18</f>
        <v>219371.664639</v>
      </c>
      <c r="C8" s="477">
        <f>industrie!C18</f>
        <v>0</v>
      </c>
      <c r="D8" s="477">
        <f>industrie!D18</f>
        <v>79015.400208822015</v>
      </c>
      <c r="E8" s="477">
        <f>industrie!E18</f>
        <v>33578.190317052344</v>
      </c>
      <c r="F8" s="477">
        <f>industrie!F18</f>
        <v>96806.218204040182</v>
      </c>
      <c r="G8" s="477">
        <f>industrie!G18</f>
        <v>0</v>
      </c>
      <c r="H8" s="477">
        <f>industrie!H18</f>
        <v>0</v>
      </c>
      <c r="I8" s="477">
        <f>industrie!I18</f>
        <v>0</v>
      </c>
      <c r="J8" s="477">
        <f>industrie!J18</f>
        <v>3.5889721750030663</v>
      </c>
      <c r="K8" s="477">
        <f>industrie!K18</f>
        <v>0</v>
      </c>
      <c r="L8" s="477">
        <f>industrie!L18</f>
        <v>0</v>
      </c>
      <c r="M8" s="477">
        <f>industrie!M18</f>
        <v>0</v>
      </c>
      <c r="N8" s="477">
        <f>industrie!N18</f>
        <v>89178.12638060379</v>
      </c>
      <c r="O8" s="477">
        <f>industrie!O18</f>
        <v>0</v>
      </c>
      <c r="P8" s="478">
        <f>industrie!P18</f>
        <v>0</v>
      </c>
      <c r="Q8" s="476">
        <f t="shared" si="0"/>
        <v>517953.18872169335</v>
      </c>
    </row>
    <row r="9" spans="1:17" s="482" customFormat="1">
      <c r="A9" s="480" t="s">
        <v>561</v>
      </c>
      <c r="B9" s="481">
        <f>transport!B14</f>
        <v>152.72922089122153</v>
      </c>
      <c r="C9" s="481">
        <f>transport!C14</f>
        <v>0</v>
      </c>
      <c r="D9" s="481">
        <f>transport!D14</f>
        <v>511.66530037050239</v>
      </c>
      <c r="E9" s="481">
        <f>transport!E14</f>
        <v>756.97565151031324</v>
      </c>
      <c r="F9" s="481">
        <f>transport!F14</f>
        <v>0</v>
      </c>
      <c r="G9" s="481">
        <f>transport!G14</f>
        <v>283918.34020104038</v>
      </c>
      <c r="H9" s="481">
        <f>transport!H14</f>
        <v>58866.732534902578</v>
      </c>
      <c r="I9" s="481">
        <f>transport!I14</f>
        <v>0</v>
      </c>
      <c r="J9" s="481">
        <f>transport!J14</f>
        <v>0</v>
      </c>
      <c r="K9" s="481">
        <f>transport!K14</f>
        <v>0</v>
      </c>
      <c r="L9" s="481">
        <f>transport!L14</f>
        <v>0</v>
      </c>
      <c r="M9" s="481">
        <f>transport!M14</f>
        <v>18324.663830818252</v>
      </c>
      <c r="N9" s="481">
        <f>transport!N14</f>
        <v>0</v>
      </c>
      <c r="O9" s="481">
        <f>transport!O14</f>
        <v>0</v>
      </c>
      <c r="P9" s="481">
        <f>transport!P14</f>
        <v>0</v>
      </c>
      <c r="Q9" s="480">
        <f>SUM(B9:P9)</f>
        <v>362531.10673953325</v>
      </c>
    </row>
    <row r="10" spans="1:17">
      <c r="A10" s="476" t="s">
        <v>551</v>
      </c>
      <c r="B10" s="477">
        <f>transport!B54</f>
        <v>0</v>
      </c>
      <c r="C10" s="477">
        <f>transport!C54</f>
        <v>0</v>
      </c>
      <c r="D10" s="477">
        <f>transport!D54</f>
        <v>0</v>
      </c>
      <c r="E10" s="477">
        <f>transport!E54</f>
        <v>0</v>
      </c>
      <c r="F10" s="477">
        <f>transport!F54</f>
        <v>0</v>
      </c>
      <c r="G10" s="477">
        <f>transport!G54</f>
        <v>14269.493005975892</v>
      </c>
      <c r="H10" s="477">
        <f>transport!H54</f>
        <v>0</v>
      </c>
      <c r="I10" s="477">
        <f>transport!I54</f>
        <v>0</v>
      </c>
      <c r="J10" s="477">
        <f>transport!J54</f>
        <v>0</v>
      </c>
      <c r="K10" s="477">
        <f>transport!K54</f>
        <v>0</v>
      </c>
      <c r="L10" s="477">
        <f>transport!L54</f>
        <v>0</v>
      </c>
      <c r="M10" s="477">
        <f>transport!M54</f>
        <v>810.44420897258681</v>
      </c>
      <c r="N10" s="477">
        <f>transport!N54</f>
        <v>0</v>
      </c>
      <c r="O10" s="477">
        <f>transport!O54</f>
        <v>0</v>
      </c>
      <c r="P10" s="478">
        <f>transport!P54</f>
        <v>0</v>
      </c>
      <c r="Q10" s="476">
        <f t="shared" si="0"/>
        <v>15079.937214948479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17294.813200000001</v>
      </c>
      <c r="C14" s="484"/>
      <c r="D14" s="484">
        <f>'SEAP template'!E25</f>
        <v>15252.367237</v>
      </c>
      <c r="E14" s="484"/>
      <c r="F14" s="484"/>
      <c r="G14" s="484"/>
      <c r="H14" s="484"/>
      <c r="I14" s="484"/>
      <c r="J14" s="484"/>
      <c r="K14" s="484"/>
      <c r="L14" s="484"/>
      <c r="M14" s="484"/>
      <c r="N14" s="484"/>
      <c r="O14" s="484"/>
      <c r="P14" s="485"/>
      <c r="Q14" s="476">
        <f t="shared" si="0"/>
        <v>32547.180437000003</v>
      </c>
    </row>
    <row r="15" spans="1:17" s="486" customFormat="1">
      <c r="A15" s="1039" t="s">
        <v>555</v>
      </c>
      <c r="B15" s="987">
        <f ca="1">SUM(B4:B14)</f>
        <v>526677.51057688659</v>
      </c>
      <c r="C15" s="987">
        <f t="shared" ref="C15:Q15" ca="1" si="1">SUM(C4:C14)</f>
        <v>96.428571428571431</v>
      </c>
      <c r="D15" s="987">
        <f t="shared" ca="1" si="1"/>
        <v>385750.18478831131</v>
      </c>
      <c r="E15" s="987">
        <f t="shared" si="1"/>
        <v>39369.419113801247</v>
      </c>
      <c r="F15" s="987">
        <f t="shared" ca="1" si="1"/>
        <v>260219.91438994266</v>
      </c>
      <c r="G15" s="987">
        <f t="shared" si="1"/>
        <v>298187.83320701629</v>
      </c>
      <c r="H15" s="987">
        <f t="shared" si="1"/>
        <v>58866.732534902578</v>
      </c>
      <c r="I15" s="987">
        <f t="shared" si="1"/>
        <v>0</v>
      </c>
      <c r="J15" s="987">
        <f t="shared" si="1"/>
        <v>59.159413377159858</v>
      </c>
      <c r="K15" s="987">
        <f t="shared" si="1"/>
        <v>0</v>
      </c>
      <c r="L15" s="987">
        <f t="shared" ca="1" si="1"/>
        <v>0</v>
      </c>
      <c r="M15" s="987">
        <f t="shared" si="1"/>
        <v>19135.108039790837</v>
      </c>
      <c r="N15" s="987">
        <f t="shared" ca="1" si="1"/>
        <v>110360.46537447562</v>
      </c>
      <c r="O15" s="987">
        <f t="shared" si="1"/>
        <v>1399.1833333333334</v>
      </c>
      <c r="P15" s="987">
        <f t="shared" si="1"/>
        <v>2879.0666666666666</v>
      </c>
      <c r="Q15" s="987">
        <f t="shared" ca="1" si="1"/>
        <v>1703001.0060099328</v>
      </c>
    </row>
    <row r="17" spans="1:17">
      <c r="A17" s="487" t="s">
        <v>556</v>
      </c>
      <c r="B17" s="786">
        <f ca="1">huishoudens!B10</f>
        <v>0.18056324861196124</v>
      </c>
      <c r="C17" s="786">
        <f ca="1">huishoudens!C10</f>
        <v>0.23764705882352938</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21732.837453922457</v>
      </c>
      <c r="C22" s="477">
        <f t="shared" ref="C22:C32" ca="1" si="3">C4*$C$17</f>
        <v>0</v>
      </c>
      <c r="D22" s="477">
        <f t="shared" ref="D22:D32" si="4">D4*$D$17</f>
        <v>34173.369186900105</v>
      </c>
      <c r="E22" s="477">
        <f t="shared" ref="E22:E32" si="5">E4*$E$17</f>
        <v>621.31689528376512</v>
      </c>
      <c r="F22" s="477">
        <f t="shared" ref="F22:F32" si="6">F4*$F$17</f>
        <v>35621.881150252448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92149.404686358786</v>
      </c>
    </row>
    <row r="23" spans="1:17">
      <c r="A23" s="476" t="s">
        <v>156</v>
      </c>
      <c r="B23" s="477">
        <f t="shared" ca="1" si="2"/>
        <v>29812.721343125257</v>
      </c>
      <c r="C23" s="477">
        <f t="shared" ca="1" si="3"/>
        <v>22.915966386554619</v>
      </c>
      <c r="D23" s="477">
        <f t="shared" ca="1" si="4"/>
        <v>24546.409846347899</v>
      </c>
      <c r="E23" s="477">
        <f t="shared" si="5"/>
        <v>518.91534467175507</v>
      </c>
      <c r="F23" s="477">
        <f t="shared" ca="1" si="6"/>
        <v>7585.6020145958601</v>
      </c>
      <c r="G23" s="477">
        <f t="shared" si="7"/>
        <v>0</v>
      </c>
      <c r="H23" s="477">
        <f t="shared" si="8"/>
        <v>0</v>
      </c>
      <c r="I23" s="477">
        <f t="shared" si="9"/>
        <v>0</v>
      </c>
      <c r="J23" s="477">
        <f t="shared" si="10"/>
        <v>0.12308152493998616</v>
      </c>
      <c r="K23" s="477">
        <f t="shared" si="11"/>
        <v>0</v>
      </c>
      <c r="L23" s="477">
        <f t="shared" ca="1" si="12"/>
        <v>0</v>
      </c>
      <c r="M23" s="477">
        <f t="shared" si="13"/>
        <v>0</v>
      </c>
      <c r="N23" s="477">
        <f t="shared" ca="1" si="14"/>
        <v>0</v>
      </c>
      <c r="O23" s="477">
        <f t="shared" si="15"/>
        <v>0</v>
      </c>
      <c r="P23" s="478">
        <f t="shared" si="16"/>
        <v>0</v>
      </c>
      <c r="Q23" s="476">
        <f t="shared" ref="Q23:Q32" ca="1" si="17">SUM(B23:P23)</f>
        <v>62486.687596652257</v>
      </c>
    </row>
    <row r="24" spans="1:17">
      <c r="A24" s="476" t="s">
        <v>194</v>
      </c>
      <c r="B24" s="477">
        <f t="shared" ca="1" si="2"/>
        <v>723.37356996873086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723.37356996873086</v>
      </c>
    </row>
    <row r="25" spans="1:17">
      <c r="A25" s="476" t="s">
        <v>112</v>
      </c>
      <c r="B25" s="477">
        <f t="shared" ca="1" si="2"/>
        <v>68.824553164101957</v>
      </c>
      <c r="C25" s="477">
        <f t="shared" ca="1" si="3"/>
        <v>0</v>
      </c>
      <c r="D25" s="477">
        <f t="shared" si="4"/>
        <v>56.312879260000003</v>
      </c>
      <c r="E25" s="477">
        <f t="shared" si="5"/>
        <v>2.5432240136397288</v>
      </c>
      <c r="F25" s="477">
        <f t="shared" si="6"/>
        <v>423.97371678765438</v>
      </c>
      <c r="G25" s="477">
        <f t="shared" si="7"/>
        <v>0</v>
      </c>
      <c r="H25" s="477">
        <f t="shared" si="8"/>
        <v>0</v>
      </c>
      <c r="I25" s="477">
        <f t="shared" si="9"/>
        <v>0</v>
      </c>
      <c r="J25" s="477">
        <f t="shared" si="10"/>
        <v>19.548854660623515</v>
      </c>
      <c r="K25" s="477">
        <f t="shared" si="11"/>
        <v>0</v>
      </c>
      <c r="L25" s="477">
        <f t="shared" si="12"/>
        <v>0</v>
      </c>
      <c r="M25" s="477">
        <f t="shared" si="13"/>
        <v>0</v>
      </c>
      <c r="N25" s="477">
        <f t="shared" si="14"/>
        <v>0</v>
      </c>
      <c r="O25" s="477">
        <f t="shared" si="15"/>
        <v>0</v>
      </c>
      <c r="P25" s="478">
        <f t="shared" si="16"/>
        <v>0</v>
      </c>
      <c r="Q25" s="476">
        <f t="shared" ca="1" si="17"/>
        <v>571.20322788601959</v>
      </c>
    </row>
    <row r="26" spans="1:17">
      <c r="A26" s="476" t="s">
        <v>635</v>
      </c>
      <c r="B26" s="477">
        <f t="shared" ca="1" si="2"/>
        <v>39610.460420631542</v>
      </c>
      <c r="C26" s="477">
        <f t="shared" ca="1" si="3"/>
        <v>0</v>
      </c>
      <c r="D26" s="477">
        <f t="shared" si="4"/>
        <v>15961.110842182048</v>
      </c>
      <c r="E26" s="477">
        <f t="shared" si="5"/>
        <v>7622.2492019708825</v>
      </c>
      <c r="F26" s="477">
        <f t="shared" si="6"/>
        <v>25847.260260478732</v>
      </c>
      <c r="G26" s="477">
        <f t="shared" si="7"/>
        <v>0</v>
      </c>
      <c r="H26" s="477">
        <f t="shared" si="8"/>
        <v>0</v>
      </c>
      <c r="I26" s="477">
        <f t="shared" si="9"/>
        <v>0</v>
      </c>
      <c r="J26" s="477">
        <f t="shared" si="10"/>
        <v>1.2704961499510854</v>
      </c>
      <c r="K26" s="477">
        <f t="shared" si="11"/>
        <v>0</v>
      </c>
      <c r="L26" s="477">
        <f t="shared" si="12"/>
        <v>0</v>
      </c>
      <c r="M26" s="477">
        <f t="shared" si="13"/>
        <v>0</v>
      </c>
      <c r="N26" s="477">
        <f t="shared" si="14"/>
        <v>0</v>
      </c>
      <c r="O26" s="477">
        <f t="shared" si="15"/>
        <v>0</v>
      </c>
      <c r="P26" s="478">
        <f t="shared" si="16"/>
        <v>0</v>
      </c>
      <c r="Q26" s="476">
        <f t="shared" ca="1" si="17"/>
        <v>89042.351221413148</v>
      </c>
    </row>
    <row r="27" spans="1:17" s="482" customFormat="1">
      <c r="A27" s="480" t="s">
        <v>561</v>
      </c>
      <c r="B27" s="780">
        <f t="shared" ca="1" si="2"/>
        <v>27.577284282092776</v>
      </c>
      <c r="C27" s="481">
        <f t="shared" ca="1" si="3"/>
        <v>0</v>
      </c>
      <c r="D27" s="481">
        <f t="shared" si="4"/>
        <v>103.35639067484149</v>
      </c>
      <c r="E27" s="481">
        <f t="shared" si="5"/>
        <v>171.83347289284112</v>
      </c>
      <c r="F27" s="481">
        <f t="shared" si="6"/>
        <v>0</v>
      </c>
      <c r="G27" s="481">
        <f t="shared" si="7"/>
        <v>75806.196833677779</v>
      </c>
      <c r="H27" s="481">
        <f t="shared" si="8"/>
        <v>14657.816401190741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90766.780382718294</v>
      </c>
    </row>
    <row r="28" spans="1:17">
      <c r="A28" s="476" t="s">
        <v>551</v>
      </c>
      <c r="B28" s="477">
        <f t="shared" ca="1" si="2"/>
        <v>0</v>
      </c>
      <c r="C28" s="477">
        <f t="shared" ca="1" si="3"/>
        <v>0</v>
      </c>
      <c r="D28" s="477">
        <f t="shared" si="4"/>
        <v>0</v>
      </c>
      <c r="E28" s="477">
        <f t="shared" si="5"/>
        <v>0</v>
      </c>
      <c r="F28" s="477">
        <f t="shared" si="6"/>
        <v>0</v>
      </c>
      <c r="G28" s="477">
        <f t="shared" si="7"/>
        <v>3809.9546325955635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3809.9546325955635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3122.807655529029</v>
      </c>
      <c r="C32" s="477">
        <f t="shared" ca="1" si="3"/>
        <v>0</v>
      </c>
      <c r="D32" s="477">
        <f t="shared" si="4"/>
        <v>3080.9781818740003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6203.7858374030293</v>
      </c>
    </row>
    <row r="33" spans="1:17" s="486" customFormat="1">
      <c r="A33" s="1039" t="s">
        <v>555</v>
      </c>
      <c r="B33" s="987">
        <f ca="1">SUM(B22:B32)</f>
        <v>95098.602280623207</v>
      </c>
      <c r="C33" s="987">
        <f t="shared" ref="C33:Q33" ca="1" si="18">SUM(C22:C32)</f>
        <v>22.915966386554619</v>
      </c>
      <c r="D33" s="987">
        <f t="shared" ca="1" si="18"/>
        <v>77921.537327238897</v>
      </c>
      <c r="E33" s="987">
        <f t="shared" si="18"/>
        <v>8936.8581388328821</v>
      </c>
      <c r="F33" s="987">
        <f t="shared" ca="1" si="18"/>
        <v>69478.717142114692</v>
      </c>
      <c r="G33" s="987">
        <f t="shared" si="18"/>
        <v>79616.151466273339</v>
      </c>
      <c r="H33" s="987">
        <f t="shared" si="18"/>
        <v>14657.816401190741</v>
      </c>
      <c r="I33" s="987">
        <f t="shared" si="18"/>
        <v>0</v>
      </c>
      <c r="J33" s="987">
        <f t="shared" si="18"/>
        <v>20.942432335514589</v>
      </c>
      <c r="K33" s="987">
        <f t="shared" si="18"/>
        <v>0</v>
      </c>
      <c r="L33" s="987">
        <f t="shared" ca="1" si="18"/>
        <v>0</v>
      </c>
      <c r="M33" s="987">
        <f t="shared" si="18"/>
        <v>0</v>
      </c>
      <c r="N33" s="987">
        <f t="shared" ca="1" si="18"/>
        <v>0</v>
      </c>
      <c r="O33" s="987">
        <f t="shared" si="18"/>
        <v>0</v>
      </c>
      <c r="P33" s="987">
        <f t="shared" si="18"/>
        <v>0</v>
      </c>
      <c r="Q33" s="987">
        <f t="shared" ca="1" si="18"/>
        <v>345753.54115499585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59166.093102496619</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35586.084423925568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67.5</v>
      </c>
      <c r="D8" s="1056">
        <f>'SEAP template'!D76</f>
        <v>79.411764705882348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16.041176470588237</v>
      </c>
    </row>
    <row r="9" spans="1:16">
      <c r="A9" s="1059" t="s">
        <v>854</v>
      </c>
      <c r="B9" s="1056">
        <f>'SEAP template'!B77</f>
        <v>1620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4628.5714285714284</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96372.177526422194</v>
      </c>
      <c r="C10" s="1060">
        <f>SUM(C4:C9)</f>
        <v>67.5</v>
      </c>
      <c r="D10" s="1060">
        <f t="shared" ref="D10:H10" si="0">SUM(D8:D9)</f>
        <v>79.411764705882348</v>
      </c>
      <c r="E10" s="1060">
        <f t="shared" si="0"/>
        <v>0</v>
      </c>
      <c r="F10" s="1060">
        <f t="shared" si="0"/>
        <v>0</v>
      </c>
      <c r="G10" s="1060">
        <f t="shared" si="0"/>
        <v>0</v>
      </c>
      <c r="H10" s="1060">
        <f t="shared" si="0"/>
        <v>0</v>
      </c>
      <c r="I10" s="1060">
        <f>SUM(I8:I9)</f>
        <v>0</v>
      </c>
      <c r="J10" s="1060">
        <f>SUM(J8:J9)</f>
        <v>4628.5714285714284</v>
      </c>
      <c r="K10" s="1060">
        <f t="shared" ref="K10:L10" si="1">SUM(K8:K9)</f>
        <v>0</v>
      </c>
      <c r="L10" s="1060">
        <f t="shared" si="1"/>
        <v>0</v>
      </c>
      <c r="M10" s="1060">
        <f>SUM(M8:M9)</f>
        <v>0</v>
      </c>
      <c r="N10" s="1060">
        <f>SUM(N8:N9)</f>
        <v>0</v>
      </c>
      <c r="O10" s="1060">
        <f>SUM(O8:O9)</f>
        <v>0</v>
      </c>
      <c r="P10" s="1060">
        <f>SUM(P8:P9)</f>
        <v>16.041176470588237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0.18056324861196124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96.428571428571431</v>
      </c>
      <c r="D17" s="1057">
        <f>'SEAP template'!D87</f>
        <v>113.44537815126048</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22.915966386554619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96.428571428571431</v>
      </c>
      <c r="D20" s="1060">
        <f t="shared" ref="D20:H20" si="2">SUM(D17:D19)</f>
        <v>113.44537815126048</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22.915966386554619</v>
      </c>
    </row>
    <row r="22" spans="1:16">
      <c r="A22" s="487" t="s">
        <v>862</v>
      </c>
      <c r="B22" s="786" t="s">
        <v>856</v>
      </c>
      <c r="C22" s="786">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0.18056324861196124</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2019-08-12T08:35:09Z</dcterms:modified>
</cp:coreProperties>
</file>