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G19"/>
  <c r="H89" i="14" s="1"/>
  <c r="H19" i="61" s="1"/>
  <c r="F19" i="18"/>
  <c r="G89" i="14" s="1"/>
  <c r="G19" i="61" s="1"/>
  <c r="E19" i="18"/>
  <c r="F89" i="14" s="1"/>
  <c r="F19" i="61" s="1"/>
  <c r="D19" i="18"/>
  <c r="C19"/>
  <c r="D89" i="14" s="1"/>
  <c r="D19" i="61" s="1"/>
  <c r="B19" i="18"/>
  <c r="N18"/>
  <c r="L88" i="14" s="1"/>
  <c r="M18" i="18"/>
  <c r="L18"/>
  <c r="K18"/>
  <c r="J18"/>
  <c r="I18"/>
  <c r="H18"/>
  <c r="G18"/>
  <c r="H88" i="14" s="1"/>
  <c r="H18" i="61" s="1"/>
  <c r="F18" i="18"/>
  <c r="G88" i="14" s="1"/>
  <c r="G18" i="61" s="1"/>
  <c r="E18" i="18"/>
  <c r="D18"/>
  <c r="D20" s="1"/>
  <c r="C18"/>
  <c r="B18"/>
  <c r="L9"/>
  <c r="K9"/>
  <c r="N77" i="14" s="1"/>
  <c r="G9" i="18"/>
  <c r="G10" s="1"/>
  <c r="F9"/>
  <c r="F10" s="1"/>
  <c r="E9"/>
  <c r="D9"/>
  <c r="C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R89"/>
  <c r="Q89"/>
  <c r="P89"/>
  <c r="O89"/>
  <c r="N89"/>
  <c r="B9" s="1"/>
  <c r="M89"/>
  <c r="W61"/>
  <c r="V61"/>
  <c r="U61"/>
  <c r="L6" i="17" s="1"/>
  <c r="T61" i="18"/>
  <c r="S61"/>
  <c r="F6" i="17" s="1"/>
  <c r="R61" i="18"/>
  <c r="Q61"/>
  <c r="P61"/>
  <c r="D6" i="17" s="1"/>
  <c r="O61" i="18"/>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88" i="14"/>
  <c r="D18" i="61" s="1"/>
  <c r="B17" i="18"/>
  <c r="B20" s="1"/>
  <c r="G12"/>
  <c r="F12"/>
  <c r="E12"/>
  <c r="D12"/>
  <c r="C12"/>
  <c r="L10"/>
  <c r="K10"/>
  <c r="E77" i="14"/>
  <c r="E9" i="61" s="1"/>
  <c r="B8" i="18"/>
  <c r="B6"/>
  <c r="B74" i="14" s="1"/>
  <c r="B6" i="61" s="1"/>
  <c r="B5" i="18"/>
  <c r="B4"/>
  <c r="N6" i="17"/>
  <c r="B19" i="6"/>
  <c r="B18"/>
  <c r="B5"/>
  <c r="B6"/>
  <c r="C64" i="14" s="1"/>
  <c r="D14" i="48"/>
  <c r="Q14" s="1"/>
  <c r="B14"/>
  <c r="P7"/>
  <c r="P25" s="1"/>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89" i="14"/>
  <c r="O19" i="61" s="1"/>
  <c r="N89" i="14"/>
  <c r="N19" i="61" s="1"/>
  <c r="M89" i="14"/>
  <c r="M19" i="61" s="1"/>
  <c r="L89" i="14"/>
  <c r="L19" i="61" s="1"/>
  <c r="K89" i="14"/>
  <c r="K19" i="61" s="1"/>
  <c r="J89" i="14"/>
  <c r="J19" i="61" s="1"/>
  <c r="E89" i="14"/>
  <c r="E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Q26" s="1"/>
  <c r="P24"/>
  <c r="P26" s="1"/>
  <c r="N24"/>
  <c r="L24"/>
  <c r="L26" s="1"/>
  <c r="J24"/>
  <c r="J26" s="1"/>
  <c r="I24"/>
  <c r="I26" s="1"/>
  <c r="H24"/>
  <c r="Q50"/>
  <c r="P50"/>
  <c r="O50"/>
  <c r="M50"/>
  <c r="L50"/>
  <c r="K50"/>
  <c r="J50"/>
  <c r="G50"/>
  <c r="D50"/>
  <c r="Q49"/>
  <c r="Q52" s="1"/>
  <c r="P49"/>
  <c r="Q20"/>
  <c r="P20"/>
  <c r="O20"/>
  <c r="M20"/>
  <c r="L20"/>
  <c r="K20"/>
  <c r="J20"/>
  <c r="G20"/>
  <c r="D20"/>
  <c r="Q19"/>
  <c r="Q22" s="1"/>
  <c r="P19"/>
  <c r="O19"/>
  <c r="M19"/>
  <c r="M22" s="1"/>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N26"/>
  <c r="E25"/>
  <c r="C25"/>
  <c r="H26"/>
  <c r="L22"/>
  <c r="D5" i="17"/>
  <c r="N78" i="14" l="1"/>
  <c r="N9" i="61"/>
  <c r="G10"/>
  <c r="P22" i="14"/>
  <c r="O22"/>
  <c r="G77"/>
  <c r="G9" i="61" s="1"/>
  <c r="H20"/>
  <c r="O10"/>
  <c r="G20"/>
  <c r="K20"/>
  <c r="Q11" i="48"/>
  <c r="O25"/>
  <c r="B98" i="18"/>
  <c r="I102" s="1"/>
  <c r="H17" s="1"/>
  <c r="L78" i="14"/>
  <c r="L8" i="61"/>
  <c r="L10" s="1"/>
  <c r="K78" i="14"/>
  <c r="K8" i="61"/>
  <c r="K10" s="1"/>
  <c r="L90" i="14"/>
  <c r="L18" i="61"/>
  <c r="L20" s="1"/>
  <c r="N10"/>
  <c r="E88" i="14"/>
  <c r="O30" i="48"/>
  <c r="N20" i="61"/>
  <c r="K90" i="14"/>
  <c r="K22"/>
  <c r="I9" i="18"/>
  <c r="I77" i="14" s="1"/>
  <c r="I9" i="61" s="1"/>
  <c r="B10" i="18"/>
  <c r="M77" i="14"/>
  <c r="M9" i="61" s="1"/>
  <c r="H9" i="18"/>
  <c r="O9" s="1"/>
  <c r="L13" i="15"/>
  <c r="B13"/>
  <c r="H90" i="14"/>
  <c r="N13" i="15"/>
  <c r="F77" i="14"/>
  <c r="F9" i="61" s="1"/>
  <c r="I101" i="18"/>
  <c r="H8" s="1"/>
  <c r="E101"/>
  <c r="E8" s="1"/>
  <c r="G101"/>
  <c r="I8" s="1"/>
  <c r="F101"/>
  <c r="H101"/>
  <c r="D101"/>
  <c r="C101"/>
  <c r="B101"/>
  <c r="C8" s="1"/>
  <c r="E102"/>
  <c r="E17" s="1"/>
  <c r="D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E90" l="1"/>
  <c r="E18" i="61"/>
  <c r="E20" s="1"/>
  <c r="C102" i="18"/>
  <c r="B102"/>
  <c r="C17" s="1"/>
  <c r="D10" i="61"/>
  <c r="H102" i="18"/>
  <c r="J17" s="1"/>
  <c r="H78" i="14"/>
  <c r="H9" i="61"/>
  <c r="H10" s="1"/>
  <c r="O90" i="14"/>
  <c r="O18" i="61"/>
  <c r="O20" s="1"/>
  <c r="G102" i="18"/>
  <c r="F102"/>
  <c r="B88" i="14"/>
  <c r="B18" i="61" s="1"/>
  <c r="B77" i="14"/>
  <c r="B9" i="61" s="1"/>
  <c r="Q77" i="14"/>
  <c r="P9" i="61" s="1"/>
  <c r="H20" i="18"/>
  <c r="M87" i="14"/>
  <c r="J8" i="18"/>
  <c r="O8" s="1"/>
  <c r="O10" s="1"/>
  <c r="M76" i="14"/>
  <c r="H10" i="18"/>
  <c r="E20"/>
  <c r="F87" i="14"/>
  <c r="C77"/>
  <c r="C9" i="61" s="1"/>
  <c r="C20" i="18"/>
  <c r="D87" i="14"/>
  <c r="D17" i="61" s="1"/>
  <c r="D20" s="1"/>
  <c r="D76" i="14"/>
  <c r="D8" i="61"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30" i="48" l="1"/>
  <c r="D28"/>
  <c r="D29"/>
  <c r="D31"/>
  <c r="D32"/>
  <c r="D24"/>
  <c r="K32"/>
  <c r="K24"/>
  <c r="K27"/>
  <c r="K26"/>
  <c r="K25"/>
  <c r="K29"/>
  <c r="K28"/>
  <c r="K30"/>
  <c r="K31"/>
  <c r="K22"/>
  <c r="J30"/>
  <c r="J32"/>
  <c r="J24"/>
  <c r="J29"/>
  <c r="J27"/>
  <c r="J31"/>
  <c r="J28"/>
  <c r="O4"/>
  <c r="P11" i="14"/>
  <c r="E11"/>
  <c r="D4" i="48"/>
  <c r="D22" s="1"/>
  <c r="H29"/>
  <c r="H32"/>
  <c r="H25"/>
  <c r="H28"/>
  <c r="H30"/>
  <c r="H24"/>
  <c r="H26"/>
  <c r="H22"/>
  <c r="H23"/>
  <c r="D11" i="14"/>
  <c r="C4" i="48"/>
  <c r="G23"/>
  <c r="G32"/>
  <c r="G30"/>
  <c r="G24"/>
  <c r="G26"/>
  <c r="G22"/>
  <c r="G25"/>
  <c r="G29"/>
  <c r="K5"/>
  <c r="L10" i="14"/>
  <c r="L16" s="1"/>
  <c r="L27" s="1"/>
  <c r="L29" i="48"/>
  <c r="L32"/>
  <c r="L27"/>
  <c r="L30"/>
  <c r="L28"/>
  <c r="L24"/>
  <c r="L31"/>
  <c r="L22"/>
  <c r="P5"/>
  <c r="P23" s="1"/>
  <c r="Q10" i="14"/>
  <c r="B7" i="48"/>
  <c r="C24" i="14"/>
  <c r="C26" s="1"/>
  <c r="P4" i="48"/>
  <c r="Q11" i="14"/>
  <c r="I25" i="48"/>
  <c r="I31"/>
  <c r="I24"/>
  <c r="I28"/>
  <c r="I30"/>
  <c r="I22"/>
  <c r="I32"/>
  <c r="I26"/>
  <c r="I27"/>
  <c r="I29"/>
  <c r="C11" i="14"/>
  <c r="B4" i="48"/>
  <c r="F24"/>
  <c r="F31"/>
  <c r="F27"/>
  <c r="F30"/>
  <c r="F32"/>
  <c r="F29"/>
  <c r="F28"/>
  <c r="N30"/>
  <c r="N32"/>
  <c r="N24"/>
  <c r="N31"/>
  <c r="N29"/>
  <c r="N27"/>
  <c r="N28"/>
  <c r="C19" i="14"/>
  <c r="B10" i="48"/>
  <c r="E29"/>
  <c r="E31"/>
  <c r="E24"/>
  <c r="E30"/>
  <c r="E28"/>
  <c r="E32"/>
  <c r="M29"/>
  <c r="M25"/>
  <c r="M22"/>
  <c r="M26"/>
  <c r="M24"/>
  <c r="M30"/>
  <c r="M32"/>
  <c r="M23"/>
  <c r="B8" i="9"/>
  <c r="B6" i="48" s="1"/>
  <c r="Q6" s="1"/>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D9" i="48" l="1"/>
  <c r="D27" s="1"/>
  <c r="E20" i="14"/>
  <c r="E22" s="1"/>
  <c r="O5" i="48"/>
  <c r="O23" s="1"/>
  <c r="P10" i="14"/>
  <c r="J7" i="48"/>
  <c r="J25" s="1"/>
  <c r="K24" i="14"/>
  <c r="K26" s="1"/>
  <c r="P22" i="48"/>
  <c r="F4"/>
  <c r="F22" s="1"/>
  <c r="G11" i="14"/>
  <c r="O22" i="48"/>
  <c r="K23"/>
  <c r="K15"/>
  <c r="G13"/>
  <c r="G31" s="1"/>
  <c r="H18" i="14"/>
  <c r="B9" i="48"/>
  <c r="C20" i="14"/>
  <c r="C22" s="1"/>
  <c r="J10"/>
  <c r="J16" s="1"/>
  <c r="J27" s="1"/>
  <c r="J63" s="1"/>
  <c r="I5" i="48"/>
  <c r="E9"/>
  <c r="E27" s="1"/>
  <c r="F20" i="14"/>
  <c r="F22" s="1"/>
  <c r="P8" i="48"/>
  <c r="P26" s="1"/>
  <c r="Q13" i="14"/>
  <c r="K33" i="48"/>
  <c r="I20" i="15"/>
  <c r="J40" i="14" s="1"/>
  <c r="J46" s="1"/>
  <c r="J61" s="1"/>
  <c r="Q16"/>
  <c r="Q27"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D18" i="16"/>
  <c r="G31" i="20"/>
  <c r="H48" i="14" s="1"/>
  <c r="G12" i="22"/>
  <c r="D16" i="15"/>
  <c r="E8" i="17"/>
  <c r="E12" s="1"/>
  <c r="F54" i="14" s="1"/>
  <c r="F56" s="1"/>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G10" i="48" l="1"/>
  <c r="H19" i="14"/>
  <c r="E4" i="48"/>
  <c r="F11" i="14"/>
  <c r="N4" i="48"/>
  <c r="N22" s="1"/>
  <c r="O11" i="14"/>
  <c r="I23" i="48"/>
  <c r="I33" s="1"/>
  <c r="I15"/>
  <c r="Q63" i="14"/>
  <c r="M10" i="48"/>
  <c r="M28" s="1"/>
  <c r="N19" i="14"/>
  <c r="E7" i="48"/>
  <c r="E25" s="1"/>
  <c r="F24" i="14"/>
  <c r="F26" s="1"/>
  <c r="O8" i="48"/>
  <c r="P13" i="14"/>
  <c r="K11"/>
  <c r="J4" i="48"/>
  <c r="P33"/>
  <c r="P15"/>
  <c r="M14" i="22"/>
  <c r="P16" i="14"/>
  <c r="P27" s="1"/>
  <c r="I20"/>
  <c r="I22" s="1"/>
  <c r="I27" s="1"/>
  <c r="H9" i="48"/>
  <c r="M9"/>
  <c r="N20" i="14"/>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H52" l="1"/>
  <c r="H61" s="1"/>
  <c r="O26" i="48"/>
  <c r="O33" s="1"/>
  <c r="O15"/>
  <c r="G28"/>
  <c r="Q10"/>
  <c r="H22" i="14"/>
  <c r="H27" s="1"/>
  <c r="R19"/>
  <c r="J5" i="48"/>
  <c r="J23" s="1"/>
  <c r="K10" i="14"/>
  <c r="E22" i="48"/>
  <c r="Q4"/>
  <c r="Q7"/>
  <c r="J22"/>
  <c r="G9"/>
  <c r="H20" i="14"/>
  <c r="R20" s="1"/>
  <c r="E5" i="48"/>
  <c r="E23" s="1"/>
  <c r="F10" i="14"/>
  <c r="R11"/>
  <c r="M15" i="48"/>
  <c r="M27"/>
  <c r="M33" s="1"/>
  <c r="Q9"/>
  <c r="H15"/>
  <c r="H27"/>
  <c r="H33" s="1"/>
  <c r="N63" i="14"/>
  <c r="R24"/>
  <c r="R26" s="1"/>
  <c r="N18" i="16"/>
  <c r="E20" i="15"/>
  <c r="F40" i="14" s="1"/>
  <c r="F18" i="16"/>
  <c r="J18"/>
  <c r="E18"/>
  <c r="G18" i="22"/>
  <c r="H50" i="14" s="1"/>
  <c r="H18" i="22"/>
  <c r="I50" i="14" s="1"/>
  <c r="I52" s="1"/>
  <c r="I61" s="1"/>
  <c r="I63" s="1"/>
  <c r="R22" l="1"/>
  <c r="E8" i="48"/>
  <c r="F13" i="14"/>
  <c r="F16" s="1"/>
  <c r="F27" s="1"/>
  <c r="F63" s="1"/>
  <c r="H63"/>
  <c r="G27" i="48"/>
  <c r="G33" s="1"/>
  <c r="G15"/>
  <c r="K13" i="14"/>
  <c r="K16" s="1"/>
  <c r="K27" s="1"/>
  <c r="K63" s="1"/>
  <c r="J8" i="48"/>
  <c r="N8"/>
  <c r="N26" s="1"/>
  <c r="O13" i="14"/>
  <c r="F8" i="48"/>
  <c r="G13" i="14"/>
  <c r="E22" i="16"/>
  <c r="F43" i="14" s="1"/>
  <c r="F46" s="1"/>
  <c r="F61" s="1"/>
  <c r="F22" i="16"/>
  <c r="G43" i="14" s="1"/>
  <c r="N22" i="16"/>
  <c r="O43" i="14" s="1"/>
  <c r="J22" i="16"/>
  <c r="K43" i="14" s="1"/>
  <c r="K46" s="1"/>
  <c r="K61" s="1"/>
  <c r="J26" i="48" l="1"/>
  <c r="J33" s="1"/>
  <c r="J15"/>
  <c r="E26"/>
  <c r="E33" s="1"/>
  <c r="E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<sst xmlns="http://schemas.openxmlformats.org/spreadsheetml/2006/main" count="2392" uniqueCount="887">
  <si>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</si>
  <si>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</si>
  <si>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</si>
  <si>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</si>
  <si>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</si>
  <si>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</si>
  <si>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</si>
  <si>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</si>
  <si>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</si>
  <si>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</si>
  <si>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</si>
  <si>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</si>
  <si>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</si>
  <si>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</si>
  <si>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</si>
  <si>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</si>
  <si>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</si>
  <si>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</si>
  <si>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</si>
  <si>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</si>
  <si>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</si>
  <si>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</si>
  <si>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</si>
  <si>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</si>
  <si>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</si>
  <si>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</si>
  <si>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</si>
  <si>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</si>
  <si>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</si>
  <si>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</si>
  <si>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</si>
  <si>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</si>
  <si>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</si>
  <si>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</si>
  <si>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</si>
  <si>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</si>
  <si>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</si>
  <si>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</si>
  <si>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</si>
  <si>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</si>
  <si>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</si>
  <si>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</si>
  <si>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</si>
  <si>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</si>
  <si>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</si>
  <si>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</si>
  <si>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</si>
  <si>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</si>
  <si>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</si>
  <si>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</si>
  <si>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</si>
  <si>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</si>
  <si>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</si>
  <si>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</si>
  <si>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</si>
  <si>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</si>
  <si>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</si>
  <si>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</si>
  <si>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</si>
  <si>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</si>
  <si>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</si>
  <si>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</si>
  <si>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</si>
  <si>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</si>
  <si>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</si>
  <si>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</si>
  <si>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</si>
  <si>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</si>
  <si>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</si>
  <si>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</si>
  <si>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</si>
  <si>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</si>
  <si>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</si>
  <si>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</si>
  <si>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</si>
  <si>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</si>
  <si>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</si>
  <si>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</si>
  <si>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</si>
  <si>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</si>
  <si>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</si>
  <si>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</si>
  <si>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</si>
  <si>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</si>
  <si>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</si>
  <si>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</si>
  <si>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</si>
  <si>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</si>
  <si>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</si>
  <si>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</si>
  <si>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</si>
  <si>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</si>
  <si>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</si>
  <si>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</si>
  <si>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</si>
  <si>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</si>
  <si>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</si>
  <si>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</si>
  <si>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</si>
  <si>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</si>
  <si>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</si>
  <si>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</si>
  <si>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</si>
  <si>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</si>
  <si>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</si>
  <si>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</si>
  <si>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</si>
  <si>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</si>
  <si>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</si>
  <si>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</si>
  <si>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</si>
  <si>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</si>
  <si>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</si>
  <si>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</si>
  <si>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</si>
  <si>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</si>
  <si>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</si>
  <si>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</si>
  <si>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</si>
  <si>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</si>
  <si>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</si>
  <si>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</si>
  <si>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</si>
  <si>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</si>
  <si>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</si>
  <si>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</si>
  <si>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</si>
  <si>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</si>
  <si>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</si>
  <si>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</si>
  <si>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</si>
  <si>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</si>
  <si>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</si>
  <si>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</si>
  <si>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</si>
  <si>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</si>
  <si>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</si>
  <si>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</si>
  <si>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</si>
  <si>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</si>
  <si>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</si>
  <si>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</si>
  <si>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</si>
  <si>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</si>
  <si>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</si>
  <si>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</si>
  <si>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</si>
  <si>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</si>
  <si>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</si>
  <si>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</si>
  <si>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</si>
  <si>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</si>
  <si>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</si>
  <si>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</si>
  <si>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</si>
  <si>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</si>
  <si>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</si>
  <si>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</si>
  <si>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</si>
  <si>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</si>
  <si>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</si>
  <si>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</si>
  <si>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</si>
  <si>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</si>
  <si>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</si>
  <si>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</si>
  <si>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</si>
  <si>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</si>
  <si>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</si>
  <si>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</si>
  <si>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</si>
  <si>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</si>
  <si>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</si>
  <si>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</si>
  <si>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</si>
  <si>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</si>
  <si>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</si>
  <si>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</si>
  <si>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</si>
  <si>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</si>
  <si>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</si>
  <si>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</si>
  <si>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</si>
  <si>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</si>
  <si>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</si>
  <si>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</si>
  <si>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</si>
  <si>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</si>
  <si>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</si>
  <si>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</si>
  <si>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</si>
  <si>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</si>
  <si>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</si>
  <si>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</si>
  <si>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</si>
  <si>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</si>
  <si>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</si>
  <si>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</si>
  <si>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</si>
  <si>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</si>
  <si>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</si>
  <si>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</si>
  <si>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</si>
  <si>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</si>
  <si>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</si>
  <si>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</si>
  <si>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</si>
  <si>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</si>
  <si>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</si>
  <si>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</si>
  <si>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</si>
  <si>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</si>
  <si>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</si>
  <si>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</si>
  <si>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</si>
  <si>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</si>
  <si>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</si>
  <si>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</si>
  <si>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</si>
  <si>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</si>
  <si>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</si>
  <si>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</si>
  <si>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</si>
  <si>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</si>
  <si>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</si>
  <si>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</si>
  <si>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</si>
  <si>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</si>
  <si>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</si>
  <si>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</si>
  <si>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</si>
  <si>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</si>
  <si>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</si>
  <si>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</si>
  <si>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</si>
  <si>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</si>
  <si>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</si>
  <si>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</si>
  <si>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</si>
  <si>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</si>
  <si>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</si>
  <si>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</si>
  <si>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</si>
  <si>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</si>
  <si>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</si>
  <si>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</si>
  <si>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</si>
  <si>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</si>
  <si>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</si>
  <si>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</si>
  <si>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</si>
  <si>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</si>
  <si>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</si>
  <si>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</si>
  <si>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</si>
  <si>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</si>
  <si>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</si>
  <si>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</si>
  <si>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</si>
  <si>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</si>
  <si>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</si>
  <si>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</si>
  <si>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</si>
  <si>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</si>
  <si>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</si>
  <si>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</si>
  <si>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</si>
  <si>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</si>
  <si>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</si>
  <si>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</si>
  <si>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</si>
  <si>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</si>
  <si>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</si>
  <si>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</si>
  <si>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</si>
  <si>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</si>
  <si>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</si>
  <si>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</si>
  <si>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</si>
  <si>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</si>
  <si>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</si>
  <si>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</si>
  <si>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</si>
  <si>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</si>
  <si>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</si>
  <si>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</si>
  <si>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</si>
  <si>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</si>
  <si>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</si>
  <si>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</si>
  <si>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</si>
  <si>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</si>
  <si>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</si>
  <si>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</si>
  <si>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</si>
  <si>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</si>
  <si>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</si>
  <si>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</si>
  <si>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</si>
  <si>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</si>
  <si>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</si>
  <si>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</si>
  <si>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</si>
  <si>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</si>
  <si>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</si>
  <si>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</si>
  <si>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</si>
  <si>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</si>
  <si>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</si>
  <si>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</si>
  <si>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</si>
  <si>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</si>
  <si>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</si>
  <si>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</si>
  <si>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</si>
  <si>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</si>
  <si>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</si>
  <si>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</si>
  <si>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</si>
  <si>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</si>
  <si>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</si>
  <si>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</si>
  <si>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</si>
  <si>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</si>
  <si>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</si>
  <si>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</si>
  <si>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</si>
  <si>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</si>
  <si>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</si>
  <si>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</si>
  <si>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</si>
  <si>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</si>
  <si>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</si>
  <si>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</si>
  <si>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</si>
  <si>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</si>
  <si>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</si>
  <si>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</si>
  <si>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</si>
  <si>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</si>
  <si>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</si>
  <si>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</si>
  <si>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</si>
  <si>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</si>
  <si>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</si>
  <si>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</si>
  <si>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</si>
  <si>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</si>
  <si>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</si>
  <si>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</si>
  <si>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</si>
  <si>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</si>
  <si>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</si>
  <si>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</si>
  <si>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</si>
  <si>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</si>
  <si>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</si>
  <si>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</si>
  <si>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</si>
  <si>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</si>
  <si>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</si>
  <si>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</si>
  <si>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</si>
  <si>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</si>
  <si>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</si>
  <si>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</si>
  <si>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</si>
  <si>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</si>
  <si>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</si>
  <si>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</si>
  <si>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</si>
  <si>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</si>
  <si>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</si>
  <si>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</si>
  <si>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</si>
  <si>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</si>
  <si>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</si>
  <si>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</si>
  <si>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</si>
  <si>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</si>
  <si>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</si>
  <si>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</si>
  <si>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</si>
  <si>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</si>
  <si>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</si>
  <si>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</si>
  <si>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</si>
  <si>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</si>
  <si>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</si>
  <si>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</si>
  <si>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</si>
  <si>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</si>
  <si>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</si>
  <si>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</si>
  <si>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</si>
  <si>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</si>
  <si>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</si>
  <si>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</si>
  <si>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</si>
  <si>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</si>
  <si>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</si>
  <si>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</si>
  <si>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</si>
  <si>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</si>
  <si>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</si>
  <si>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</si>
  <si>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</si>
  <si>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</si>
  <si>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</si>
  <si>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</si>
  <si>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</si>
  <si>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</si>
  <si>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</si>
  <si>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</si>
  <si>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</si>
  <si>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</si>
  <si>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</si>
  <si>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</si>
  <si>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</si>
  <si>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</si>
  <si>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</si>
  <si>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</si>
  <si>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</si>
  <si>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</si>
  <si>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</si>
  <si>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</si>
  <si>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</si>
  <si>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</si>
  <si>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</si>
  <si>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</si>
  <si>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</si>
  <si>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</si>
  <si>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</si>
  <si>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</si>
  <si>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</si>
  <si>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</si>
  <si>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</si>
  <si>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</si>
  <si>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</si>
  <si>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</si>
  <si>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</si>
  <si>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</si>
  <si>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</si>
  <si>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</si>
  <si>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</si>
  <si>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</si>
  <si>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</si>
  <si>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</si>
  <si>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</si>
  <si>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</si>
  <si>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</si>
  <si>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</si>
  <si>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</si>
  <si>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</si>
  <si>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</si>
  <si>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</si>
  <si>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</si>
  <si>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</si>
  <si>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</si>
  <si>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</si>
  <si>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</si>
  <si>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</si>
  <si>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</si>
  <si>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</si>
  <si>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</si>
  <si>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</si>
  <si>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</si>
  <si>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</si>
  <si>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</si>
  <si>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</si>
  <si>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</si>
  <si>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</si>
  <si>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</si>
  <si>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</si>
  <si>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</si>
  <si>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</si>
  <si>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</si>
  <si>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</si>
  <si>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</si>
  <si>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</si>
  <si>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</si>
  <si>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</si>
  <si>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</si>
  <si>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</si>
  <si>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</si>
  <si>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</si>
  <si>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</si>
  <si>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</si>
  <si>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</si>
  <si>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</si>
  <si>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</si>
  <si>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</si>
  <si>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</si>
  <si>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</si>
  <si>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</si>
  <si>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</si>
  <si>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</si>
  <si>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</si>
  <si>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</si>
  <si>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</si>
  <si>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</si>
  <si>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</si>
  <si>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</si>
  <si>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</si>
  <si>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</si>
  <si>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</si>
  <si>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</si>
  <si>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</si>
  <si>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</si>
  <si>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</si>
  <si>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</si>
  <si>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</si>
  <si>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</si>
  <si>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</si>
  <si>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</si>
  <si>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</si>
  <si>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</si>
  <si>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</si>
  <si>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</si>
  <si>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</si>
  <si>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</si>
  <si>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</si>
  <si>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</si>
  <si>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</si>
  <si>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</si>
  <si>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</si>
  <si>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</si>
  <si>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</si>
  <si>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</si>
  <si>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</si>
  <si>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</si>
  <si>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</si>
  <si>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</si>
  <si>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</si>
  <si>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</si>
  <si>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</si>
  <si>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</si>
  <si>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</si>
  <si>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</si>
  <si>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</si>
  <si>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</si>
  <si>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</si>
  <si>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</si>
  <si>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</si>
  <si>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</si>
  <si>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</si>
  <si>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</si>
  <si>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</si>
  <si>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</si>
  <si>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</si>
  <si>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</si>
  <si>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</si>
  <si>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</si>
  <si>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</si>
  <si>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</si>
  <si>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</si>
  <si>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</si>
  <si>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</si>
  <si>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</si>
  <si>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</si>
  <si>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</si>
  <si>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</si>
  <si>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</si>
  <si>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</si>
  <si>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</si>
  <si>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</si>
  <si>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</si>
  <si>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</si>
  <si>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</si>
  <si>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</si>
  <si>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</si>
  <si>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</si>
  <si>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</si>
  <si>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</si>
  <si>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</si>
  <si>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</si>
  <si>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</si>
  <si>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</si>
  <si>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</si>
  <si>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</si>
  <si>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</si>
  <si>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</si>
  <si>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</si>
  <si>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</si>
  <si>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</si>
  <si>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</si>
  <si>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</si>
  <si>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</si>
  <si>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</si>
  <si>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</si>
  <si>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</si>
  <si>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</si>
  <si>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</si>
  <si>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</si>
  <si>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</si>
  <si>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</si>
  <si>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</si>
  <si>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</si>
  <si>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</si>
  <si>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</si>
  <si>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</si>
  <si>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</si>
  <si>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</si>
  <si>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</si>
  <si>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</si>
  <si>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</si>
  <si>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</si>
  <si>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</si>
  <si>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</si>
  <si>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</si>
  <si>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</si>
  <si>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</si>
  <si>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</si>
  <si>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</si>
  <si>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</si>
  <si>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</si>
  <si>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</si>
  <si>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</si>
  <si>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</si>
  <si>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</si>
  <si>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</si>
  <si>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</si>
  <si>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</si>
  <si>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</si>
  <si>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</si>
  <si>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</si>
  <si>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</si>
  <si>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</si>
  <si>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</si>
  <si>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</si>
  <si>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</si>
  <si>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</si>
  <si>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</si>
  <si>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</si>
  <si>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</si>
  <si>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</si>
  <si>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</si>
  <si>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</si>
  <si>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</si>
  <si>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</si>
  <si>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</si>
  <si>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</si>
  <si>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</si>
  <si>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</si>
  <si>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</si>
  <si>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</si>
  <si>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</si>
  <si>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</si>
  <si>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</si>
  <si>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</si>
  <si>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</si>
  <si>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</si>
  <si>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</si>
  <si>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</si>
  <si>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</si>
  <si>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</si>
  <si>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</si>
  <si>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</si>
  <si>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</si>
  <si>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</si>
  <si>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</si>
  <si>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</si>
  <si>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</si>
  <si>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</si>
  <si>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</si>
  <si>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</si>
  <si>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</si>
  <si>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</si>
  <si>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</si>
  <si>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</si>
  <si>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</si>
  <si>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</si>
  <si>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</si>
  <si>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</si>
  <si>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</si>
  <si>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</si>
  <si>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</si>
  <si>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</si>
  <si>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</si>
  <si>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</si>
  <si>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</si>
  <si>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</si>
  <si>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</si>
  <si>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</si>
  <si>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</si>
  <si>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</si>
  <si>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</si>
  <si>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</si>
  <si>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</si>
  <si>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</si>
  <si>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</si>
  <si>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</si>
  <si>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</si>
  <si>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</si>
  <si>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</si>
  <si>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</si>
  <si>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</si>
  <si>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</si>
  <si>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</si>
  <si>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</si>
  <si>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</si>
  <si>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</si>
  <si>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</si>
  <si>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</si>
  <si>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</si>
  <si>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</si>
  <si>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</si>
  <si>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</si>
  <si>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</si>
  <si>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</si>
  <si>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</si>
  <si>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</si>
  <si>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</si>
  <si>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</si>
  <si>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</si>
  <si>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</si>
  <si>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</si>
  <si>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</si>
  <si>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</si>
  <si>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</si>
  <si>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</si>
  <si>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</si>
  <si>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</si>
  <si>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</si>
  <si>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</si>
  <si>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</si>
  <si>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</si>
  <si>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</si>
  <si>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</si>
  <si>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</si>
  <si>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</si>
  <si>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</si>
  <si>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</si>
  <si>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</si>
  <si>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</si>
  <si>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</si>
  <si>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</si>
  <si>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</si>
  <si>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</si>
  <si>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</si>
  <si>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</si>
  <si>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</si>
  <si>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</si>
  <si>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</si>
  <si>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</si>
  <si>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</si>
  <si>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</si>
  <si>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</si>
  <si>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</si>
  <si>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</si>
  <si>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</si>
  <si>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</si>
  <si>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</si>
  <si>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</si>
  <si>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</si>
  <si>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</si>
  <si>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</si>
  <si>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</si>
  <si>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</si>
  <si>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</si>
  <si>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</si>
  <si>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</si>
  <si>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</si>
  <si>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</si>
  <si>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</si>
  <si>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</si>
  <si>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</si>
  <si>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</si>
  <si>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</si>
  <si>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</si>
  <si>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</si>
  <si>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</si>
  <si>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</si>
  <si>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</si>
  <si>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</si>
  <si>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</si>
  <si>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</si>
  <si>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</si>
  <si>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</si>
  <si>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</si>
  <si>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</si>
  <si>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</si>
  <si>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</si>
  <si>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</si>
  <si>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</si>
  <si>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</si>
  <si>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</si>
  <si>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</si>
  <si>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</si>
  <si>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</si>
  <si>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</si>
  <si>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</si>
  <si>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</si>
  <si>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</si>
  <si>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</si>
  <si>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</si>
  <si>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</si>
  <si>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</si>
  <si>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</si>
  <si>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</si>
  <si>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</si>
  <si>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</si>
  <si>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</si>
  <si>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</si>
  <si>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</si>
  <si>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</si>
  <si>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</si>
  <si>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</si>
  <si>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</si>
  <si>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</si>
  <si>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</si>
  <si>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</si>
  <si>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</si>
  <si>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</si>
  <si>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</si>
  <si>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</si>
  <si>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</si>
  <si>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</si>
  <si>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</si>
  <si>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</si>
  <si>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</si>
  <si>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</si>
  <si>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</si>
  <si>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</si>
  <si>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</si>
  <si>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</si>
  <si>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</si>
  <si>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</si>
  <si>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</si>
  <si>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</si>
  <si>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</si>
  <si>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</si>
  <si>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</si>
  <si>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</si>
  <si>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</si>
  <si>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</si>
  <si>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</si>
  <si>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</si>
  <si>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</si>
  <si>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</si>
  <si>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</si>
  <si>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</si>
  <si>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</si>
  <si>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</si>
  <si>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</si>
  <si>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</si>
  <si>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</si>
  <si>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</si>
  <si>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</si>
  <si>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</si>
  <si>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</si>
  <si>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</si>
  <si>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</si>
  <si>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</si>
  <si>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</si>
  <si>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</si>
  <si>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</si>
  <si>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</si>
  <si>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</si>
  <si>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</si>
  <si>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</si>
  <si>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</si>
  <si>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</si>
  <si>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</si>
  <si>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</si>
  <si>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</si>
  <si>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</si>
  <si>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</si>
  <si>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</si>
  <si>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</si>
  <si>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</si>
  <si>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</si>
  <si>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</si>
  <si>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46025</t>
  </si>
  <si>
    <t>TEMSE</t>
  </si>
  <si>
    <t>Eandis (januari 2018); Infrax (juni 2018)</t>
  </si>
  <si>
    <t>MOW (september 2017)</t>
  </si>
  <si>
    <t>referentietaak LNE (2017); Jaarverslag De Lijn (2016)</t>
  </si>
  <si>
    <t>VEA (april 2018)</t>
  </si>
  <si>
    <t>VEA (januari 2017)</t>
  </si>
  <si>
    <t>VEA (juni 2018)</t>
  </si>
  <si>
    <t>Kris Heirbaut LV</t>
  </si>
  <si>
    <t>Veldstraat 218 , 9140 Temse</t>
  </si>
  <si>
    <t>WKK-0488 Kris Heirbaut</t>
  </si>
  <si>
    <t>interne verbrandingsmotor</t>
  </si>
  <si>
    <t>WKK interne verbrandinsgmotor (gas)</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</si>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</sst>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203905.69467107762</c:v>
                </c:pt>
                <c:pt idx="1">
                  <c:v>95586.238524924236</c:v>
                </c:pt>
                <c:pt idx="2">
                  <c:v>1651.29</c:v>
                </c:pt>
                <c:pt idx="3">
                  <c:v>8373.6957476484749</c:v>
                </c:pt>
                <c:pt idx="4">
                  <c:v>93553.412128091339</c:v>
                </c:pt>
                <c:pt idx="5">
                  <c:v>352648.84929454874</c:v>
                </c:pt>
                <c:pt idx="6">
                  <c:v>2405.3974895999345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96864"/>
        <c:axId val="75798400"/>
      </c:barChart>
      <c:catAx>
        <c:axId val="75796864"/>
        <c:scaling>
          <c:orientation val="minMax"/>
        </c:scaling>
        <c:axPos val="b"/>
        <c:numFmt formatCode="General" sourceLinked="0"/>
        <c:tickLblPos val="nextTo"/>
        <c:crossAx val="75798400"/>
        <c:crosses val="autoZero"/>
        <c:auto val="1"/>
        <c:lblAlgn val="ctr"/>
        <c:lblOffset val="100"/>
      </c:catAx>
      <c:valAx>
        <c:axId val="75798400"/>
        <c:scaling>
          <c:orientation val="minMax"/>
        </c:scaling>
        <c:axPos val="l"/>
        <c:majorGridlines>
          <c:spPr>
            <a:ln>
              <a:noFill/>
            </a:ln>
          </c:spPr>
        </c:majorGridlines>
        <c:numFmt formatCode="#,##0" sourceLinked="1"/>
        <c:tickLblPos val="nextTo"/>
        <c:crossAx val="75796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203905.69467107762</c:v>
                </c:pt>
                <c:pt idx="1">
                  <c:v>95586.238524924236</c:v>
                </c:pt>
                <c:pt idx="2">
                  <c:v>1651.29</c:v>
                </c:pt>
                <c:pt idx="3">
                  <c:v>8373.6957476484749</c:v>
                </c:pt>
                <c:pt idx="4">
                  <c:v>93553.412128091339</c:v>
                </c:pt>
                <c:pt idx="5">
                  <c:v>352648.84929454874</c:v>
                </c:pt>
                <c:pt idx="6">
                  <c:v>2405.3974895999345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36263.812609703687</c:v>
                </c:pt>
                <c:pt idx="2">
                  <c:v>18749.558687105058</c:v>
                </c:pt>
                <c:pt idx="3">
                  <c:v>319.97792296542241</c:v>
                </c:pt>
                <c:pt idx="4">
                  <c:v>2105.0520058076581</c:v>
                </c:pt>
                <c:pt idx="5">
                  <c:v>17141.300691109547</c:v>
                </c:pt>
                <c:pt idx="6">
                  <c:v>88353.509462434973</c:v>
                </c:pt>
                <c:pt idx="7">
                  <c:v>607.72503082111268</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9888"/>
        <c:axId val="156471680"/>
      </c:barChart>
      <c:catAx>
        <c:axId val="156469888"/>
        <c:scaling>
          <c:orientation val="minMax"/>
        </c:scaling>
        <c:axPos val="b"/>
        <c:numFmt formatCode="General" sourceLinked="0"/>
        <c:tickLblPos val="nextTo"/>
        <c:crossAx val="156471680"/>
        <c:crosses val="autoZero"/>
        <c:auto val="1"/>
        <c:lblAlgn val="ctr"/>
        <c:lblOffset val="100"/>
      </c:catAx>
      <c:valAx>
        <c:axId val="156471680"/>
        <c:scaling>
          <c:orientation val="minMax"/>
        </c:scaling>
        <c:axPos val="l"/>
        <c:majorGridlines>
          <c:spPr>
            <a:ln>
              <a:noFill/>
            </a:ln>
          </c:spPr>
        </c:majorGridlines>
        <c:numFmt formatCode="#,##0" sourceLinked="1"/>
        <c:tickLblPos val="nextTo"/>
        <c:crossAx val="15646988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36263.812609703687</c:v>
                </c:pt>
                <c:pt idx="2">
                  <c:v>18749.558687105058</c:v>
                </c:pt>
                <c:pt idx="3">
                  <c:v>319.97792296542241</c:v>
                </c:pt>
                <c:pt idx="4">
                  <c:v>2105.0520058076581</c:v>
                </c:pt>
                <c:pt idx="5">
                  <c:v>17141.300691109547</c:v>
                </c:pt>
                <c:pt idx="6">
                  <c:v>88353.509462434973</c:v>
                </c:pt>
                <c:pt idx="7">
                  <c:v>607.72503082111268</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46025</v>
      </c>
      <c r="B6" s="415"/>
      <c r="C6" s="416"/>
    </row>
    <row r="7" spans="1:7" s="413" customFormat="1" ht="15.75" customHeight="1">
      <c r="A7" s="417" t="str">
        <f>txtMunicipality</f>
        <v>TEMSE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41008.709258237279</v>
      </c>
      <c r="D10" s="1013">
        <f ca="1">tertiair!C16</f>
        <v>0</v>
      </c>
      <c r="E10" s="1013">
        <f ca="1">tertiair!D16</f>
        <v>45134.078703074607</v>
      </c>
      <c r="F10" s="1013">
        <f>tertiair!E16</f>
        <v>633.10430177198089</v>
      </c>
      <c r="G10" s="1013">
        <f ca="1">tertiair!F16</f>
        <v>6974.773810102577</v>
      </c>
      <c r="H10" s="1013">
        <f>tertiair!G16</f>
        <v>0</v>
      </c>
      <c r="I10" s="1013">
        <f>tertiair!H16</f>
        <v>0</v>
      </c>
      <c r="J10" s="1013">
        <f>tertiair!I16</f>
        <v>0</v>
      </c>
      <c r="K10" s="1013">
        <f>tertiair!J16</f>
        <v>8.6382372115842501E-2</v>
      </c>
      <c r="L10" s="1013">
        <f>tertiair!K16</f>
        <v>0</v>
      </c>
      <c r="M10" s="1013">
        <f ca="1">tertiair!L16</f>
        <v>0</v>
      </c>
      <c r="N10" s="1013">
        <f>tertiair!M16</f>
        <v>0</v>
      </c>
      <c r="O10" s="1013">
        <f ca="1">tertiair!N16</f>
        <v>3443.9527360323386</v>
      </c>
      <c r="P10" s="1013">
        <f>tertiair!O16</f>
        <v>4.6900000000000004</v>
      </c>
      <c r="Q10" s="1014">
        <f>tertiair!P16</f>
        <v>38.133333333333333</v>
      </c>
      <c r="R10" s="700">
        <f ca="1">SUM(C10:Q10)</f>
        <v>97237.52852492423</v>
      </c>
      <c r="S10" s="67"/>
    </row>
    <row r="11" spans="1:19" s="473" customFormat="1">
      <c r="A11" s="809" t="s">
        <v>225</v>
      </c>
      <c r="B11" s="814"/>
      <c r="C11" s="1013">
        <f>huishoudens!B8</f>
        <v>48849.016726456524</v>
      </c>
      <c r="D11" s="1013">
        <f>huishoudens!C8</f>
        <v>0</v>
      </c>
      <c r="E11" s="1013">
        <f>huishoudens!D8</f>
        <v>122967.4784440412</v>
      </c>
      <c r="F11" s="1013">
        <f>huishoudens!E8</f>
        <v>5422.808980468516</v>
      </c>
      <c r="G11" s="1013">
        <f>huishoudens!F8</f>
        <v>0</v>
      </c>
      <c r="H11" s="1013">
        <f>huishoudens!G8</f>
        <v>0</v>
      </c>
      <c r="I11" s="1013">
        <f>huishoudens!H8</f>
        <v>0</v>
      </c>
      <c r="J11" s="1013">
        <f>huishoudens!I8</f>
        <v>0</v>
      </c>
      <c r="K11" s="1013">
        <f>huishoudens!J8</f>
        <v>2055.677062207717</v>
      </c>
      <c r="L11" s="1013">
        <f>huishoudens!K8</f>
        <v>0</v>
      </c>
      <c r="M11" s="1013">
        <f>huishoudens!L8</f>
        <v>0</v>
      </c>
      <c r="N11" s="1013">
        <f>huishoudens!M8</f>
        <v>0</v>
      </c>
      <c r="O11" s="1013">
        <f>huishoudens!N8</f>
        <v>22802.723457903656</v>
      </c>
      <c r="P11" s="1013">
        <f>huishoudens!O8</f>
        <v>301.72333333333336</v>
      </c>
      <c r="Q11" s="1014">
        <f>huishoudens!P8</f>
        <v>1506.2666666666667</v>
      </c>
      <c r="R11" s="700">
        <f>SUM(C11:Q11)</f>
        <v>203905.69467107762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42075.860118382137</v>
      </c>
      <c r="D13" s="1013">
        <f>industrie!C18</f>
        <v>0</v>
      </c>
      <c r="E13" s="1013">
        <f>industrie!D18</f>
        <v>26853.106594354715</v>
      </c>
      <c r="F13" s="1013">
        <f>industrie!E18</f>
        <v>3148.3216338885259</v>
      </c>
      <c r="G13" s="1013">
        <f>industrie!F18</f>
        <v>10518.417132112199</v>
      </c>
      <c r="H13" s="1013">
        <f>industrie!G18</f>
        <v>0</v>
      </c>
      <c r="I13" s="1013">
        <f>industrie!H18</f>
        <v>0</v>
      </c>
      <c r="J13" s="1013">
        <f>industrie!I18</f>
        <v>0</v>
      </c>
      <c r="K13" s="1013">
        <f>industrie!J18</f>
        <v>114.85107907603934</v>
      </c>
      <c r="L13" s="1013">
        <f>industrie!K18</f>
        <v>0</v>
      </c>
      <c r="M13" s="1013">
        <f>industrie!L18</f>
        <v>0</v>
      </c>
      <c r="N13" s="1013">
        <f>industrie!M18</f>
        <v>0</v>
      </c>
      <c r="O13" s="1013">
        <f>industrie!N18</f>
        <v>10842.855570277741</v>
      </c>
      <c r="P13" s="1013">
        <f>industrie!O18</f>
        <v>0</v>
      </c>
      <c r="Q13" s="1014">
        <f>industrie!P18</f>
        <v>0</v>
      </c>
      <c r="R13" s="700">
        <f>SUM(C13:Q13)</f>
        <v>93553.412128091339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131933.58610307594</v>
      </c>
      <c r="D16" s="732">
        <f t="shared" ref="D16:R16" ca="1" si="0">SUM(D9:D15)</f>
        <v>0</v>
      </c>
      <c r="E16" s="732">
        <f t="shared" ca="1" si="0"/>
        <v>194954.66374147055</v>
      </c>
      <c r="F16" s="732">
        <f t="shared" si="0"/>
        <v>9204.2349161290222</v>
      </c>
      <c r="G16" s="732">
        <f t="shared" ca="1" si="0"/>
        <v>17493.190942214776</v>
      </c>
      <c r="H16" s="732">
        <f t="shared" si="0"/>
        <v>0</v>
      </c>
      <c r="I16" s="732">
        <f t="shared" si="0"/>
        <v>0</v>
      </c>
      <c r="J16" s="732">
        <f t="shared" si="0"/>
        <v>0</v>
      </c>
      <c r="K16" s="732">
        <f t="shared" si="0"/>
        <v>2170.6145236558718</v>
      </c>
      <c r="L16" s="732">
        <f t="shared" si="0"/>
        <v>0</v>
      </c>
      <c r="M16" s="732">
        <f t="shared" ca="1" si="0"/>
        <v>0</v>
      </c>
      <c r="N16" s="732">
        <f t="shared" si="0"/>
        <v>0</v>
      </c>
      <c r="O16" s="732">
        <f t="shared" ca="1" si="0"/>
        <v>37089.531764213738</v>
      </c>
      <c r="P16" s="732">
        <f t="shared" si="0"/>
        <v>306.41333333333336</v>
      </c>
      <c r="Q16" s="732">
        <f t="shared" si="0"/>
        <v>1544.4</v>
      </c>
      <c r="R16" s="732">
        <f t="shared" ca="1" si="0"/>
        <v>394696.63532409316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2276.1237109404969</v>
      </c>
      <c r="I19" s="1013">
        <f>transport!H54</f>
        <v>0</v>
      </c>
      <c r="J19" s="1013">
        <f>transport!I54</f>
        <v>0</v>
      </c>
      <c r="K19" s="1013">
        <f>transport!J54</f>
        <v>0</v>
      </c>
      <c r="L19" s="1013">
        <f>transport!K54</f>
        <v>0</v>
      </c>
      <c r="M19" s="1013">
        <f>transport!L54</f>
        <v>0</v>
      </c>
      <c r="N19" s="1013">
        <f>transport!M54</f>
        <v>129.27377865943754</v>
      </c>
      <c r="O19" s="1013">
        <f>transport!N54</f>
        <v>0</v>
      </c>
      <c r="P19" s="1013">
        <f>transport!O54</f>
        <v>0</v>
      </c>
      <c r="Q19" s="1014">
        <f>transport!P54</f>
        <v>0</v>
      </c>
      <c r="R19" s="700">
        <f>SUM(C19:Q19)</f>
        <v>2405.3974895999345</v>
      </c>
      <c r="S19" s="67"/>
    </row>
    <row r="20" spans="1:19" s="473" customFormat="1">
      <c r="A20" s="809" t="s">
        <v>307</v>
      </c>
      <c r="B20" s="814"/>
      <c r="C20" s="1013">
        <f>transport!B14</f>
        <v>125.03969508218604</v>
      </c>
      <c r="D20" s="1013">
        <f>transport!C14</f>
        <v>0</v>
      </c>
      <c r="E20" s="1013">
        <f>transport!D14</f>
        <v>457.36943133719916</v>
      </c>
      <c r="F20" s="1013">
        <f>transport!E14</f>
        <v>659.90404072987019</v>
      </c>
      <c r="G20" s="1013">
        <f>transport!F14</f>
        <v>0</v>
      </c>
      <c r="H20" s="1013">
        <f>transport!G14</f>
        <v>281188.29170776409</v>
      </c>
      <c r="I20" s="1013">
        <f>transport!H14</f>
        <v>52248.269989984212</v>
      </c>
      <c r="J20" s="1013">
        <f>transport!I14</f>
        <v>0</v>
      </c>
      <c r="K20" s="1013">
        <f>transport!J14</f>
        <v>0</v>
      </c>
      <c r="L20" s="1013">
        <f>transport!K14</f>
        <v>0</v>
      </c>
      <c r="M20" s="1013">
        <f>transport!L14</f>
        <v>0</v>
      </c>
      <c r="N20" s="1013">
        <f>transport!M14</f>
        <v>17969.97442965116</v>
      </c>
      <c r="O20" s="1013">
        <f>transport!N14</f>
        <v>0</v>
      </c>
      <c r="P20" s="1013">
        <f>transport!O14</f>
        <v>0</v>
      </c>
      <c r="Q20" s="1014">
        <f>transport!P14</f>
        <v>0</v>
      </c>
      <c r="R20" s="700">
        <f>SUM(C20:Q20)</f>
        <v>352648.84929454874</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125.03969508218604</v>
      </c>
      <c r="D22" s="812">
        <f t="shared" ref="D22:R22" si="1">SUM(D18:D21)</f>
        <v>0</v>
      </c>
      <c r="E22" s="812">
        <f t="shared" si="1"/>
        <v>457.36943133719916</v>
      </c>
      <c r="F22" s="812">
        <f t="shared" si="1"/>
        <v>659.90404072987019</v>
      </c>
      <c r="G22" s="812">
        <f t="shared" si="1"/>
        <v>0</v>
      </c>
      <c r="H22" s="812">
        <f t="shared" si="1"/>
        <v>283464.41541870456</v>
      </c>
      <c r="I22" s="812">
        <f t="shared" si="1"/>
        <v>52248.269989984212</v>
      </c>
      <c r="J22" s="812">
        <f t="shared" si="1"/>
        <v>0</v>
      </c>
      <c r="K22" s="812">
        <f t="shared" si="1"/>
        <v>0</v>
      </c>
      <c r="L22" s="812">
        <f t="shared" si="1"/>
        <v>0</v>
      </c>
      <c r="M22" s="812">
        <f t="shared" si="1"/>
        <v>0</v>
      </c>
      <c r="N22" s="812">
        <f t="shared" si="1"/>
        <v>18099.248208310597</v>
      </c>
      <c r="O22" s="812">
        <f t="shared" si="1"/>
        <v>0</v>
      </c>
      <c r="P22" s="812">
        <f t="shared" si="1"/>
        <v>0</v>
      </c>
      <c r="Q22" s="812">
        <f t="shared" si="1"/>
        <v>0</v>
      </c>
      <c r="R22" s="812">
        <f t="shared" si="1"/>
        <v>355054.24678414868</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1493.6406144741031</v>
      </c>
      <c r="D24" s="1013">
        <f>+landbouw!C8</f>
        <v>62.357142857142847</v>
      </c>
      <c r="E24" s="1013">
        <f>+landbouw!D8</f>
        <v>334.97279401820958</v>
      </c>
      <c r="F24" s="1013">
        <f>+landbouw!E8</f>
        <v>43.902659764395487</v>
      </c>
      <c r="G24" s="1013">
        <f>+landbouw!F8</f>
        <v>6222.4260877966963</v>
      </c>
      <c r="H24" s="1013">
        <f>+landbouw!G8</f>
        <v>0</v>
      </c>
      <c r="I24" s="1013">
        <f>+landbouw!H8</f>
        <v>0</v>
      </c>
      <c r="J24" s="1013">
        <f>+landbouw!I8</f>
        <v>0</v>
      </c>
      <c r="K24" s="1013">
        <f>+landbouw!J8</f>
        <v>216.3964487379279</v>
      </c>
      <c r="L24" s="1013">
        <f>+landbouw!K8</f>
        <v>0</v>
      </c>
      <c r="M24" s="1013">
        <f>+landbouw!L8</f>
        <v>0</v>
      </c>
      <c r="N24" s="1013">
        <f>+landbouw!M8</f>
        <v>0</v>
      </c>
      <c r="O24" s="1013">
        <f>+landbouw!N8</f>
        <v>0</v>
      </c>
      <c r="P24" s="1013">
        <f>+landbouw!O8</f>
        <v>0</v>
      </c>
      <c r="Q24" s="1014">
        <f>+landbouw!P8</f>
        <v>0</v>
      </c>
      <c r="R24" s="700">
        <f>SUM(C24:Q24)</f>
        <v>8373.6957476484749</v>
      </c>
      <c r="S24" s="67"/>
    </row>
    <row r="25" spans="1:19" s="473" customFormat="1" ht="15" thickBot="1">
      <c r="A25" s="831" t="s">
        <v>836</v>
      </c>
      <c r="B25" s="1016"/>
      <c r="C25" s="1017">
        <f>IF(Onbekend_ele_kWh="---",0,Onbekend_ele_kWh)/1000+IF(REST_rest_ele_kWh="---",0,REST_rest_ele_kWh)/1000</f>
        <v>1599.62625705096</v>
      </c>
      <c r="D25" s="1017"/>
      <c r="E25" s="1017">
        <f>IF(onbekend_gas_kWh="---",0,onbekend_gas_kWh)/1000+IF(REST_rest_gas_kWh="---",0,REST_rest_gas_kWh)/1000</f>
        <v>6350.5697452561208</v>
      </c>
      <c r="F25" s="1017"/>
      <c r="G25" s="1017"/>
      <c r="H25" s="1017"/>
      <c r="I25" s="1017"/>
      <c r="J25" s="1017"/>
      <c r="K25" s="1017"/>
      <c r="L25" s="1017"/>
      <c r="M25" s="1017"/>
      <c r="N25" s="1017"/>
      <c r="O25" s="1017"/>
      <c r="P25" s="1017"/>
      <c r="Q25" s="1018"/>
      <c r="R25" s="700">
        <f>SUM(C25:Q25)</f>
        <v>7950.1960023070806</v>
      </c>
      <c r="S25" s="67"/>
    </row>
    <row r="26" spans="1:19" s="473" customFormat="1" ht="15.75" thickBot="1">
      <c r="A26" s="705" t="s">
        <v>837</v>
      </c>
      <c r="B26" s="817"/>
      <c r="C26" s="812">
        <f>SUM(C24:C25)</f>
        <v>3093.2668715250629</v>
      </c>
      <c r="D26" s="812">
        <f t="shared" ref="D26:R26" si="2">SUM(D24:D25)</f>
        <v>62.357142857142847</v>
      </c>
      <c r="E26" s="812">
        <f t="shared" si="2"/>
        <v>6685.54253927433</v>
      </c>
      <c r="F26" s="812">
        <f t="shared" si="2"/>
        <v>43.902659764395487</v>
      </c>
      <c r="G26" s="812">
        <f t="shared" si="2"/>
        <v>6222.4260877966963</v>
      </c>
      <c r="H26" s="812">
        <f t="shared" si="2"/>
        <v>0</v>
      </c>
      <c r="I26" s="812">
        <f t="shared" si="2"/>
        <v>0</v>
      </c>
      <c r="J26" s="812">
        <f t="shared" si="2"/>
        <v>0</v>
      </c>
      <c r="K26" s="812">
        <f t="shared" si="2"/>
        <v>216.3964487379279</v>
      </c>
      <c r="L26" s="812">
        <f t="shared" si="2"/>
        <v>0</v>
      </c>
      <c r="M26" s="812">
        <f t="shared" si="2"/>
        <v>0</v>
      </c>
      <c r="N26" s="812">
        <f t="shared" si="2"/>
        <v>0</v>
      </c>
      <c r="O26" s="812">
        <f t="shared" si="2"/>
        <v>0</v>
      </c>
      <c r="P26" s="812">
        <f t="shared" si="2"/>
        <v>0</v>
      </c>
      <c r="Q26" s="812">
        <f t="shared" si="2"/>
        <v>0</v>
      </c>
      <c r="R26" s="812">
        <f t="shared" si="2"/>
        <v>16323.891749955555</v>
      </c>
      <c r="S26" s="67"/>
    </row>
    <row r="27" spans="1:19" s="473" customFormat="1" ht="17.25" thickTop="1" thickBot="1">
      <c r="A27" s="706" t="s">
        <v>116</v>
      </c>
      <c r="B27" s="805"/>
      <c r="C27" s="707">
        <f ca="1">C22+C16+C26</f>
        <v>135151.89266968318</v>
      </c>
      <c r="D27" s="707">
        <f t="shared" ref="D27:R27" ca="1" si="3">D22+D16+D26</f>
        <v>62.357142857142847</v>
      </c>
      <c r="E27" s="707">
        <f t="shared" ca="1" si="3"/>
        <v>202097.57571208206</v>
      </c>
      <c r="F27" s="707">
        <f t="shared" si="3"/>
        <v>9908.0416166232881</v>
      </c>
      <c r="G27" s="707">
        <f t="shared" ca="1" si="3"/>
        <v>23715.617030011472</v>
      </c>
      <c r="H27" s="707">
        <f t="shared" si="3"/>
        <v>283464.41541870456</v>
      </c>
      <c r="I27" s="707">
        <f t="shared" si="3"/>
        <v>52248.269989984212</v>
      </c>
      <c r="J27" s="707">
        <f t="shared" si="3"/>
        <v>0</v>
      </c>
      <c r="K27" s="707">
        <f t="shared" si="3"/>
        <v>2387.0109723937999</v>
      </c>
      <c r="L27" s="707">
        <f t="shared" si="3"/>
        <v>0</v>
      </c>
      <c r="M27" s="707">
        <f t="shared" ca="1" si="3"/>
        <v>0</v>
      </c>
      <c r="N27" s="707">
        <f t="shared" si="3"/>
        <v>18099.248208310597</v>
      </c>
      <c r="O27" s="707">
        <f t="shared" ca="1" si="3"/>
        <v>37089.531764213738</v>
      </c>
      <c r="P27" s="707">
        <f t="shared" si="3"/>
        <v>306.41333333333336</v>
      </c>
      <c r="Q27" s="707">
        <f t="shared" si="3"/>
        <v>1544.4</v>
      </c>
      <c r="R27" s="707">
        <f t="shared" ca="1" si="3"/>
        <v>766074.77385819738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7946.4428488900512</v>
      </c>
      <c r="D40" s="1013">
        <f ca="1">tertiair!C20</f>
        <v>0</v>
      </c>
      <c r="E40" s="1013">
        <f ca="1">tertiair!D20</f>
        <v>9117.0838980210719</v>
      </c>
      <c r="F40" s="1013">
        <f>tertiair!E20</f>
        <v>143.71467650223966</v>
      </c>
      <c r="G40" s="1013">
        <f ca="1">tertiair!F20</f>
        <v>1862.2646072973882</v>
      </c>
      <c r="H40" s="1013">
        <f>tertiair!G20</f>
        <v>0</v>
      </c>
      <c r="I40" s="1013">
        <f>tertiair!H20</f>
        <v>0</v>
      </c>
      <c r="J40" s="1013">
        <f>tertiair!I20</f>
        <v>0</v>
      </c>
      <c r="K40" s="1013">
        <f>tertiair!J20</f>
        <v>3.0579359729008243E-2</v>
      </c>
      <c r="L40" s="1013">
        <f>tertiair!K20</f>
        <v>0</v>
      </c>
      <c r="M40" s="1013">
        <f ca="1">tertiair!L20</f>
        <v>0</v>
      </c>
      <c r="N40" s="1013">
        <f>tertiair!M20</f>
        <v>0</v>
      </c>
      <c r="O40" s="1013">
        <f ca="1">tertiair!N20</f>
        <v>0</v>
      </c>
      <c r="P40" s="1013">
        <f>tertiair!O20</f>
        <v>0</v>
      </c>
      <c r="Q40" s="774">
        <f>tertiair!P20</f>
        <v>0</v>
      </c>
      <c r="R40" s="850">
        <f t="shared" ca="1" si="4"/>
        <v>19069.536610070481</v>
      </c>
    </row>
    <row r="41" spans="1:18">
      <c r="A41" s="822" t="s">
        <v>225</v>
      </c>
      <c r="B41" s="829"/>
      <c r="C41" s="1013">
        <f ca="1">huishoudens!B12</f>
        <v>9465.6946454194822</v>
      </c>
      <c r="D41" s="1013">
        <f ca="1">huishoudens!C12</f>
        <v>0</v>
      </c>
      <c r="E41" s="1013">
        <f>huishoudens!D12</f>
        <v>24839.430645696324</v>
      </c>
      <c r="F41" s="1013">
        <f>huishoudens!E12</f>
        <v>1230.9776385663531</v>
      </c>
      <c r="G41" s="1013">
        <f>huishoudens!F12</f>
        <v>0</v>
      </c>
      <c r="H41" s="1013">
        <f>huishoudens!G12</f>
        <v>0</v>
      </c>
      <c r="I41" s="1013">
        <f>huishoudens!H12</f>
        <v>0</v>
      </c>
      <c r="J41" s="1013">
        <f>huishoudens!I12</f>
        <v>0</v>
      </c>
      <c r="K41" s="1013">
        <f>huishoudens!J12</f>
        <v>727.70968002153177</v>
      </c>
      <c r="L41" s="1013">
        <f>huishoudens!K12</f>
        <v>0</v>
      </c>
      <c r="M41" s="1013">
        <f>huishoudens!L12</f>
        <v>0</v>
      </c>
      <c r="N41" s="1013">
        <f>huishoudens!M12</f>
        <v>0</v>
      </c>
      <c r="O41" s="1013">
        <f>huishoudens!N12</f>
        <v>0</v>
      </c>
      <c r="P41" s="1013">
        <f>huishoudens!O12</f>
        <v>0</v>
      </c>
      <c r="Q41" s="774">
        <f>huishoudens!P12</f>
        <v>0</v>
      </c>
      <c r="R41" s="850">
        <f t="shared" ca="1" si="4"/>
        <v>36263.812609703687</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8153.2294918903217</v>
      </c>
      <c r="D43" s="1013">
        <f ca="1">industrie!C22</f>
        <v>0</v>
      </c>
      <c r="E43" s="1013">
        <f>industrie!D22</f>
        <v>5424.3275320596531</v>
      </c>
      <c r="F43" s="1013">
        <f>industrie!E22</f>
        <v>714.66901089269538</v>
      </c>
      <c r="G43" s="1013">
        <f>industrie!F22</f>
        <v>2808.4173742739572</v>
      </c>
      <c r="H43" s="1013">
        <f>industrie!G22</f>
        <v>0</v>
      </c>
      <c r="I43" s="1013">
        <f>industrie!H22</f>
        <v>0</v>
      </c>
      <c r="J43" s="1013">
        <f>industrie!I22</f>
        <v>0</v>
      </c>
      <c r="K43" s="1013">
        <f>industrie!J22</f>
        <v>40.657281992917923</v>
      </c>
      <c r="L43" s="1013">
        <f>industrie!K22</f>
        <v>0</v>
      </c>
      <c r="M43" s="1013">
        <f>industrie!L22</f>
        <v>0</v>
      </c>
      <c r="N43" s="1013">
        <f>industrie!M22</f>
        <v>0</v>
      </c>
      <c r="O43" s="1013">
        <f>industrie!N22</f>
        <v>0</v>
      </c>
      <c r="P43" s="1013">
        <f>industrie!O22</f>
        <v>0</v>
      </c>
      <c r="Q43" s="774">
        <f>industrie!P22</f>
        <v>0</v>
      </c>
      <c r="R43" s="849">
        <f t="shared" ca="1" si="4"/>
        <v>17141.300691109547</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25565.366986199853</v>
      </c>
      <c r="D46" s="732">
        <f t="shared" ref="D46:Q46" ca="1" si="5">SUM(D39:D45)</f>
        <v>0</v>
      </c>
      <c r="E46" s="732">
        <f t="shared" ca="1" si="5"/>
        <v>39380.842075777044</v>
      </c>
      <c r="F46" s="732">
        <f t="shared" si="5"/>
        <v>2089.361325961288</v>
      </c>
      <c r="G46" s="732">
        <f t="shared" ca="1" si="5"/>
        <v>4670.6819815713452</v>
      </c>
      <c r="H46" s="732">
        <f t="shared" si="5"/>
        <v>0</v>
      </c>
      <c r="I46" s="732">
        <f t="shared" si="5"/>
        <v>0</v>
      </c>
      <c r="J46" s="732">
        <f t="shared" si="5"/>
        <v>0</v>
      </c>
      <c r="K46" s="732">
        <f t="shared" si="5"/>
        <v>768.39754137417867</v>
      </c>
      <c r="L46" s="732">
        <f t="shared" si="5"/>
        <v>0</v>
      </c>
      <c r="M46" s="732">
        <f t="shared" ca="1" si="5"/>
        <v>0</v>
      </c>
      <c r="N46" s="732">
        <f t="shared" si="5"/>
        <v>0</v>
      </c>
      <c r="O46" s="732">
        <f t="shared" ca="1" si="5"/>
        <v>0</v>
      </c>
      <c r="P46" s="732">
        <f t="shared" si="5"/>
        <v>0</v>
      </c>
      <c r="Q46" s="732">
        <f t="shared" si="5"/>
        <v>0</v>
      </c>
      <c r="R46" s="732">
        <f ca="1">SUM(R39:R45)</f>
        <v>72474.649910883716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607.72503082111268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607.72503082111268</v>
      </c>
    </row>
    <row r="50" spans="1:18">
      <c r="A50" s="825" t="s">
        <v>307</v>
      </c>
      <c r="B50" s="835"/>
      <c r="C50" s="703">
        <f ca="1">transport!B18</f>
        <v>24.22950658008444</v>
      </c>
      <c r="D50" s="703">
        <f>transport!C18</f>
        <v>0</v>
      </c>
      <c r="E50" s="703">
        <f>transport!D18</f>
        <v>92.388625130114235</v>
      </c>
      <c r="F50" s="703">
        <f>transport!E18</f>
        <v>149.79821724568055</v>
      </c>
      <c r="G50" s="703">
        <f>transport!F18</f>
        <v>0</v>
      </c>
      <c r="H50" s="703">
        <f>transport!G18</f>
        <v>75077.273885973016</v>
      </c>
      <c r="I50" s="703">
        <f>transport!H18</f>
        <v>13009.819227506068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88353.509462434973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24.22950658008444</v>
      </c>
      <c r="D52" s="732">
        <f t="shared" ref="D52:Q52" ca="1" si="6">SUM(D48:D51)</f>
        <v>0</v>
      </c>
      <c r="E52" s="732">
        <f t="shared" si="6"/>
        <v>92.388625130114235</v>
      </c>
      <c r="F52" s="732">
        <f t="shared" si="6"/>
        <v>149.79821724568055</v>
      </c>
      <c r="G52" s="732">
        <f t="shared" si="6"/>
        <v>0</v>
      </c>
      <c r="H52" s="732">
        <f t="shared" si="6"/>
        <v>75684.998916794124</v>
      </c>
      <c r="I52" s="732">
        <f t="shared" si="6"/>
        <v>13009.819227506068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88961.234493256081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289.42948935451727</v>
      </c>
      <c r="D54" s="703">
        <f ca="1">+landbouw!C12</f>
        <v>0</v>
      </c>
      <c r="E54" s="703">
        <f>+landbouw!D12</f>
        <v>67.664504391678335</v>
      </c>
      <c r="F54" s="703">
        <f>+landbouw!E12</f>
        <v>9.9659037665177763</v>
      </c>
      <c r="G54" s="703">
        <f>+landbouw!F12</f>
        <v>1661.3877654417181</v>
      </c>
      <c r="H54" s="703">
        <f>+landbouw!G12</f>
        <v>0</v>
      </c>
      <c r="I54" s="703">
        <f>+landbouw!H12</f>
        <v>0</v>
      </c>
      <c r="J54" s="703">
        <f>+landbouw!I12</f>
        <v>0</v>
      </c>
      <c r="K54" s="703">
        <f>+landbouw!J12</f>
        <v>76.60434285322647</v>
      </c>
      <c r="L54" s="703">
        <f>+landbouw!K12</f>
        <v>0</v>
      </c>
      <c r="M54" s="703">
        <f>+landbouw!L12</f>
        <v>0</v>
      </c>
      <c r="N54" s="703">
        <f>+landbouw!M12</f>
        <v>0</v>
      </c>
      <c r="O54" s="703">
        <f>+landbouw!N12</f>
        <v>0</v>
      </c>
      <c r="P54" s="703">
        <f>+landbouw!O12</f>
        <v>0</v>
      </c>
      <c r="Q54" s="704">
        <f>+landbouw!P12</f>
        <v>0</v>
      </c>
      <c r="R54" s="731">
        <f ca="1">SUM(C54:Q54)</f>
        <v>2105.0520058076581</v>
      </c>
    </row>
    <row r="55" spans="1:18" ht="15" thickBot="1">
      <c r="A55" s="825" t="s">
        <v>836</v>
      </c>
      <c r="B55" s="835"/>
      <c r="C55" s="703">
        <f ca="1">C25*'EF ele_warmte'!B12</f>
        <v>309.96680610439057</v>
      </c>
      <c r="D55" s="703"/>
      <c r="E55" s="703">
        <f>E25*EF_CO2_aardgas</f>
        <v>1282.8150885417365</v>
      </c>
      <c r="F55" s="703"/>
      <c r="G55" s="703"/>
      <c r="H55" s="703"/>
      <c r="I55" s="703"/>
      <c r="J55" s="703"/>
      <c r="K55" s="703"/>
      <c r="L55" s="703"/>
      <c r="M55" s="703"/>
      <c r="N55" s="703"/>
      <c r="O55" s="703"/>
      <c r="P55" s="703"/>
      <c r="Q55" s="704"/>
      <c r="R55" s="731">
        <f ca="1">SUM(C55:Q55)</f>
        <v>1592.7818946461271</v>
      </c>
    </row>
    <row r="56" spans="1:18" ht="15.75" thickBot="1">
      <c r="A56" s="823" t="s">
        <v>837</v>
      </c>
      <c r="B56" s="836"/>
      <c r="C56" s="732">
        <f ca="1">SUM(C54:C55)</f>
        <v>599.39629545890784</v>
      </c>
      <c r="D56" s="732">
        <f t="shared" ref="D56:Q56" ca="1" si="7">SUM(D54:D55)</f>
        <v>0</v>
      </c>
      <c r="E56" s="732">
        <f t="shared" si="7"/>
        <v>1350.4795929334148</v>
      </c>
      <c r="F56" s="732">
        <f t="shared" si="7"/>
        <v>9.9659037665177763</v>
      </c>
      <c r="G56" s="732">
        <f t="shared" si="7"/>
        <v>1661.3877654417181</v>
      </c>
      <c r="H56" s="732">
        <f t="shared" si="7"/>
        <v>0</v>
      </c>
      <c r="I56" s="732">
        <f t="shared" si="7"/>
        <v>0</v>
      </c>
      <c r="J56" s="732">
        <f t="shared" si="7"/>
        <v>0</v>
      </c>
      <c r="K56" s="732">
        <f t="shared" si="7"/>
        <v>76.60434285322647</v>
      </c>
      <c r="L56" s="732">
        <f t="shared" si="7"/>
        <v>0</v>
      </c>
      <c r="M56" s="732">
        <f t="shared" si="7"/>
        <v>0</v>
      </c>
      <c r="N56" s="732">
        <f t="shared" si="7"/>
        <v>0</v>
      </c>
      <c r="O56" s="732">
        <f t="shared" si="7"/>
        <v>0</v>
      </c>
      <c r="P56" s="732">
        <f t="shared" si="7"/>
        <v>0</v>
      </c>
      <c r="Q56" s="733">
        <f t="shared" si="7"/>
        <v>0</v>
      </c>
      <c r="R56" s="734">
        <f ca="1">SUM(R54:R55)</f>
        <v>3697.8339004537852</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26188.992788238844</v>
      </c>
      <c r="D61" s="740">
        <f t="shared" ref="D61:Q61" ca="1" si="8">D46+D52+D56</f>
        <v>0</v>
      </c>
      <c r="E61" s="740">
        <f t="shared" ca="1" si="8"/>
        <v>40823.710293840573</v>
      </c>
      <c r="F61" s="740">
        <f t="shared" si="8"/>
        <v>2249.1254469734863</v>
      </c>
      <c r="G61" s="740">
        <f t="shared" ca="1" si="8"/>
        <v>6332.0697470130635</v>
      </c>
      <c r="H61" s="740">
        <f t="shared" si="8"/>
        <v>75684.998916794124</v>
      </c>
      <c r="I61" s="740">
        <f t="shared" si="8"/>
        <v>13009.819227506068</v>
      </c>
      <c r="J61" s="740">
        <f t="shared" si="8"/>
        <v>0</v>
      </c>
      <c r="K61" s="740">
        <f t="shared" si="8"/>
        <v>845.00188422740518</v>
      </c>
      <c r="L61" s="740">
        <f t="shared" si="8"/>
        <v>0</v>
      </c>
      <c r="M61" s="740">
        <f t="shared" ca="1" si="8"/>
        <v>0</v>
      </c>
      <c r="N61" s="740">
        <f t="shared" si="8"/>
        <v>0</v>
      </c>
      <c r="O61" s="740">
        <f t="shared" ca="1" si="8"/>
        <v>0</v>
      </c>
      <c r="P61" s="740">
        <f t="shared" si="8"/>
        <v>0</v>
      </c>
      <c r="Q61" s="740">
        <f t="shared" si="8"/>
        <v>0</v>
      </c>
      <c r="R61" s="740">
        <f ca="1">R46+R52+R56</f>
        <v>165133.71830459358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0.19377451747750085</v>
      </c>
      <c r="D63" s="781">
        <f t="shared" ca="1" si="9"/>
        <v>0</v>
      </c>
      <c r="E63" s="1024">
        <f t="shared" ca="1" si="9"/>
        <v>0.20199999999999999</v>
      </c>
      <c r="F63" s="781">
        <f t="shared" si="9"/>
        <v>0.22699999999999998</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16606.012858647664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43.649999999999991</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51.35294117647058</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16649.662858647665</v>
      </c>
      <c r="C78" s="755">
        <f>SUM(C72:C77)</f>
        <v>0</v>
      </c>
      <c r="D78" s="756">
        <f t="shared" ref="D78:H78" si="10">SUM(D76:D77)</f>
        <v>0</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62.357142857142847</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62.357142857142847</v>
      </c>
      <c r="C90" s="755">
        <f>SUM(C87:C89)</f>
        <v>0</v>
      </c>
      <c r="D90" s="755">
        <f t="shared" ref="D90:H90" si="12">SUM(D87:D89)</f>
        <v>0</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48849.016726456524</v>
      </c>
      <c r="C4" s="477">
        <f>huishoudens!C8</f>
        <v>0</v>
      </c>
      <c r="D4" s="477">
        <f>huishoudens!D8</f>
        <v>122967.4784440412</v>
      </c>
      <c r="E4" s="477">
        <f>huishoudens!E8</f>
        <v>5422.808980468516</v>
      </c>
      <c r="F4" s="477">
        <f>huishoudens!F8</f>
        <v>0</v>
      </c>
      <c r="G4" s="477">
        <f>huishoudens!G8</f>
        <v>0</v>
      </c>
      <c r="H4" s="477">
        <f>huishoudens!H8</f>
        <v>0</v>
      </c>
      <c r="I4" s="477">
        <f>huishoudens!I8</f>
        <v>0</v>
      </c>
      <c r="J4" s="477">
        <f>huishoudens!J8</f>
        <v>2055.677062207717</v>
      </c>
      <c r="K4" s="477">
        <f>huishoudens!K8</f>
        <v>0</v>
      </c>
      <c r="L4" s="477">
        <f>huishoudens!L8</f>
        <v>0</v>
      </c>
      <c r="M4" s="477">
        <f>huishoudens!M8</f>
        <v>0</v>
      </c>
      <c r="N4" s="477">
        <f>huishoudens!N8</f>
        <v>22802.723457903656</v>
      </c>
      <c r="O4" s="477">
        <f>huishoudens!O8</f>
        <v>301.72333333333336</v>
      </c>
      <c r="P4" s="478">
        <f>huishoudens!P8</f>
        <v>1506.2666666666667</v>
      </c>
      <c r="Q4" s="479">
        <f>SUM(B4:P4)</f>
        <v>203905.69467107762</v>
      </c>
    </row>
    <row r="5" spans="1:17">
      <c r="A5" s="476" t="s">
        <v>156</v>
      </c>
      <c r="B5" s="477">
        <f ca="1">tertiair!B16</f>
        <v>39357.419258237278</v>
      </c>
      <c r="C5" s="477">
        <f ca="1">tertiair!C16</f>
        <v>0</v>
      </c>
      <c r="D5" s="477">
        <f ca="1">tertiair!D16</f>
        <v>45134.078703074607</v>
      </c>
      <c r="E5" s="477">
        <f>tertiair!E16</f>
        <v>633.10430177198089</v>
      </c>
      <c r="F5" s="477">
        <f ca="1">tertiair!F16</f>
        <v>6974.773810102577</v>
      </c>
      <c r="G5" s="477">
        <f>tertiair!G16</f>
        <v>0</v>
      </c>
      <c r="H5" s="477">
        <f>tertiair!H16</f>
        <v>0</v>
      </c>
      <c r="I5" s="477">
        <f>tertiair!I16</f>
        <v>0</v>
      </c>
      <c r="J5" s="477">
        <f>tertiair!J16</f>
        <v>8.6382372115842501E-2</v>
      </c>
      <c r="K5" s="477">
        <f>tertiair!K16</f>
        <v>0</v>
      </c>
      <c r="L5" s="477">
        <f ca="1">tertiair!L16</f>
        <v>0</v>
      </c>
      <c r="M5" s="477">
        <f>tertiair!M16</f>
        <v>0</v>
      </c>
      <c r="N5" s="477">
        <f ca="1">tertiair!N16</f>
        <v>3443.9527360323386</v>
      </c>
      <c r="O5" s="477">
        <f>tertiair!O16</f>
        <v>4.6900000000000004</v>
      </c>
      <c r="P5" s="478">
        <f>tertiair!P16</f>
        <v>38.133333333333333</v>
      </c>
      <c r="Q5" s="476">
        <f t="shared" ref="Q5:Q14" ca="1" si="0">SUM(B5:P5)</f>
        <v>95586.238524924236</v>
      </c>
    </row>
    <row r="6" spans="1:17">
      <c r="A6" s="476" t="s">
        <v>194</v>
      </c>
      <c r="B6" s="477">
        <f>'openbare verlichting'!B8</f>
        <v>1651.29</v>
      </c>
      <c r="C6" s="477"/>
      <c r="D6" s="477"/>
      <c r="E6" s="477"/>
      <c r="F6" s="477"/>
      <c r="G6" s="477"/>
      <c r="H6" s="477"/>
      <c r="I6" s="477"/>
      <c r="J6" s="477"/>
      <c r="K6" s="477"/>
      <c r="L6" s="477"/>
      <c r="M6" s="477"/>
      <c r="N6" s="477"/>
      <c r="O6" s="477"/>
      <c r="P6" s="478"/>
      <c r="Q6" s="476">
        <f t="shared" si="0"/>
        <v>1651.29</v>
      </c>
    </row>
    <row r="7" spans="1:17">
      <c r="A7" s="476" t="s">
        <v>112</v>
      </c>
      <c r="B7" s="477">
        <f>landbouw!B8</f>
        <v>1493.6406144741031</v>
      </c>
      <c r="C7" s="477">
        <f>landbouw!C8</f>
        <v>62.357142857142847</v>
      </c>
      <c r="D7" s="477">
        <f>landbouw!D8</f>
        <v>334.97279401820958</v>
      </c>
      <c r="E7" s="477">
        <f>landbouw!E8</f>
        <v>43.902659764395487</v>
      </c>
      <c r="F7" s="477">
        <f>landbouw!F8</f>
        <v>6222.4260877966963</v>
      </c>
      <c r="G7" s="477">
        <f>landbouw!G8</f>
        <v>0</v>
      </c>
      <c r="H7" s="477">
        <f>landbouw!H8</f>
        <v>0</v>
      </c>
      <c r="I7" s="477">
        <f>landbouw!I8</f>
        <v>0</v>
      </c>
      <c r="J7" s="477">
        <f>landbouw!J8</f>
        <v>216.3964487379279</v>
      </c>
      <c r="K7" s="477">
        <f>landbouw!K8</f>
        <v>0</v>
      </c>
      <c r="L7" s="477">
        <f>landbouw!L8</f>
        <v>0</v>
      </c>
      <c r="M7" s="477">
        <f>landbouw!M8</f>
        <v>0</v>
      </c>
      <c r="N7" s="477">
        <f>landbouw!N8</f>
        <v>0</v>
      </c>
      <c r="O7" s="477">
        <f>landbouw!O8</f>
        <v>0</v>
      </c>
      <c r="P7" s="478">
        <f>landbouw!P8</f>
        <v>0</v>
      </c>
      <c r="Q7" s="476">
        <f t="shared" si="0"/>
        <v>8373.6957476484749</v>
      </c>
    </row>
    <row r="8" spans="1:17">
      <c r="A8" s="476" t="s">
        <v>635</v>
      </c>
      <c r="B8" s="477">
        <f>industrie!B18</f>
        <v>42075.860118382137</v>
      </c>
      <c r="C8" s="477">
        <f>industrie!C18</f>
        <v>0</v>
      </c>
      <c r="D8" s="477">
        <f>industrie!D18</f>
        <v>26853.106594354715</v>
      </c>
      <c r="E8" s="477">
        <f>industrie!E18</f>
        <v>3148.3216338885259</v>
      </c>
      <c r="F8" s="477">
        <f>industrie!F18</f>
        <v>10518.417132112199</v>
      </c>
      <c r="G8" s="477">
        <f>industrie!G18</f>
        <v>0</v>
      </c>
      <c r="H8" s="477">
        <f>industrie!H18</f>
        <v>0</v>
      </c>
      <c r="I8" s="477">
        <f>industrie!I18</f>
        <v>0</v>
      </c>
      <c r="J8" s="477">
        <f>industrie!J18</f>
        <v>114.85107907603934</v>
      </c>
      <c r="K8" s="477">
        <f>industrie!K18</f>
        <v>0</v>
      </c>
      <c r="L8" s="477">
        <f>industrie!L18</f>
        <v>0</v>
      </c>
      <c r="M8" s="477">
        <f>industrie!M18</f>
        <v>0</v>
      </c>
      <c r="N8" s="477">
        <f>industrie!N18</f>
        <v>10842.855570277741</v>
      </c>
      <c r="O8" s="477">
        <f>industrie!O18</f>
        <v>0</v>
      </c>
      <c r="P8" s="478">
        <f>industrie!P18</f>
        <v>0</v>
      </c>
      <c r="Q8" s="476">
        <f t="shared" si="0"/>
        <v>93553.412128091339</v>
      </c>
    </row>
    <row r="9" spans="1:17" s="482" customFormat="1">
      <c r="A9" s="480" t="s">
        <v>561</v>
      </c>
      <c r="B9" s="481">
        <f>transport!B14</f>
        <v>125.03969508218604</v>
      </c>
      <c r="C9" s="481">
        <f>transport!C14</f>
        <v>0</v>
      </c>
      <c r="D9" s="481">
        <f>transport!D14</f>
        <v>457.36943133719916</v>
      </c>
      <c r="E9" s="481">
        <f>transport!E14</f>
        <v>659.90404072987019</v>
      </c>
      <c r="F9" s="481">
        <f>transport!F14</f>
        <v>0</v>
      </c>
      <c r="G9" s="481">
        <f>transport!G14</f>
        <v>281188.29170776409</v>
      </c>
      <c r="H9" s="481">
        <f>transport!H14</f>
        <v>52248.269989984212</v>
      </c>
      <c r="I9" s="481">
        <f>transport!I14</f>
        <v>0</v>
      </c>
      <c r="J9" s="481">
        <f>transport!J14</f>
        <v>0</v>
      </c>
      <c r="K9" s="481">
        <f>transport!K14</f>
        <v>0</v>
      </c>
      <c r="L9" s="481">
        <f>transport!L14</f>
        <v>0</v>
      </c>
      <c r="M9" s="481">
        <f>transport!M14</f>
        <v>17969.97442965116</v>
      </c>
      <c r="N9" s="481">
        <f>transport!N14</f>
        <v>0</v>
      </c>
      <c r="O9" s="481">
        <f>transport!O14</f>
        <v>0</v>
      </c>
      <c r="P9" s="481">
        <f>transport!P14</f>
        <v>0</v>
      </c>
      <c r="Q9" s="480">
        <f>SUM(B9:P9)</f>
        <v>352648.84929454874</v>
      </c>
    </row>
    <row r="10" spans="1:17">
      <c r="A10" s="476" t="s">
        <v>551</v>
      </c>
      <c r="B10" s="477">
        <f>transport!B54</f>
        <v>0</v>
      </c>
      <c r="C10" s="477">
        <f>transport!C54</f>
        <v>0</v>
      </c>
      <c r="D10" s="477">
        <f>transport!D54</f>
        <v>0</v>
      </c>
      <c r="E10" s="477">
        <f>transport!E54</f>
        <v>0</v>
      </c>
      <c r="F10" s="477">
        <f>transport!F54</f>
        <v>0</v>
      </c>
      <c r="G10" s="477">
        <f>transport!G54</f>
        <v>2276.1237109404969</v>
      </c>
      <c r="H10" s="477">
        <f>transport!H54</f>
        <v>0</v>
      </c>
      <c r="I10" s="477">
        <f>transport!I54</f>
        <v>0</v>
      </c>
      <c r="J10" s="477">
        <f>transport!J54</f>
        <v>0</v>
      </c>
      <c r="K10" s="477">
        <f>transport!K54</f>
        <v>0</v>
      </c>
      <c r="L10" s="477">
        <f>transport!L54</f>
        <v>0</v>
      </c>
      <c r="M10" s="477">
        <f>transport!M54</f>
        <v>129.27377865943754</v>
      </c>
      <c r="N10" s="477">
        <f>transport!N54</f>
        <v>0</v>
      </c>
      <c r="O10" s="477">
        <f>transport!O54</f>
        <v>0</v>
      </c>
      <c r="P10" s="478">
        <f>transport!P54</f>
        <v>0</v>
      </c>
      <c r="Q10" s="476">
        <f t="shared" si="0"/>
        <v>2405.3974895999345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1599.62625705096</v>
      </c>
      <c r="C14" s="484"/>
      <c r="D14" s="484">
        <f>'SEAP template'!E25</f>
        <v>6350.5697452561208</v>
      </c>
      <c r="E14" s="484"/>
      <c r="F14" s="484"/>
      <c r="G14" s="484"/>
      <c r="H14" s="484"/>
      <c r="I14" s="484"/>
      <c r="J14" s="484"/>
      <c r="K14" s="484"/>
      <c r="L14" s="484"/>
      <c r="M14" s="484"/>
      <c r="N14" s="484"/>
      <c r="O14" s="484"/>
      <c r="P14" s="485"/>
      <c r="Q14" s="476">
        <f t="shared" si="0"/>
        <v>7950.1960023070806</v>
      </c>
    </row>
    <row r="15" spans="1:17" s="486" customFormat="1">
      <c r="A15" s="1039" t="s">
        <v>555</v>
      </c>
      <c r="B15" s="987">
        <f ca="1">SUM(B4:B14)</f>
        <v>135151.89266968318</v>
      </c>
      <c r="C15" s="987">
        <f t="shared" ref="C15:Q15" ca="1" si="1">SUM(C4:C14)</f>
        <v>62.357142857142847</v>
      </c>
      <c r="D15" s="987">
        <f t="shared" ca="1" si="1"/>
        <v>202097.57571208209</v>
      </c>
      <c r="E15" s="987">
        <f t="shared" si="1"/>
        <v>9908.0416166232899</v>
      </c>
      <c r="F15" s="987">
        <f t="shared" ca="1" si="1"/>
        <v>23715.617030011475</v>
      </c>
      <c r="G15" s="987">
        <f t="shared" si="1"/>
        <v>283464.41541870456</v>
      </c>
      <c r="H15" s="987">
        <f t="shared" si="1"/>
        <v>52248.269989984212</v>
      </c>
      <c r="I15" s="987">
        <f t="shared" si="1"/>
        <v>0</v>
      </c>
      <c r="J15" s="987">
        <f t="shared" si="1"/>
        <v>2387.0109723937999</v>
      </c>
      <c r="K15" s="987">
        <f t="shared" si="1"/>
        <v>0</v>
      </c>
      <c r="L15" s="987">
        <f t="shared" ca="1" si="1"/>
        <v>0</v>
      </c>
      <c r="M15" s="987">
        <f t="shared" si="1"/>
        <v>18099.248208310597</v>
      </c>
      <c r="N15" s="987">
        <f t="shared" ca="1" si="1"/>
        <v>37089.531764213738</v>
      </c>
      <c r="O15" s="987">
        <f t="shared" si="1"/>
        <v>306.41333333333336</v>
      </c>
      <c r="P15" s="987">
        <f t="shared" si="1"/>
        <v>1544.4</v>
      </c>
      <c r="Q15" s="987">
        <f t="shared" ca="1" si="1"/>
        <v>766074.77385819738</v>
      </c>
    </row>
    <row r="17" spans="1:17">
      <c r="A17" s="487" t="s">
        <v>556</v>
      </c>
      <c r="B17" s="786">
        <f ca="1">huishoudens!B10</f>
        <v>0.19377451747750088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9465.6946454194822</v>
      </c>
      <c r="C22" s="477">
        <f t="shared" ref="C22:C32" ca="1" si="3">C4*$C$17</f>
        <v>0</v>
      </c>
      <c r="D22" s="477">
        <f t="shared" ref="D22:D32" si="4">D4*$D$17</f>
        <v>24839.430645696324</v>
      </c>
      <c r="E22" s="477">
        <f t="shared" ref="E22:E32" si="5">E4*$E$17</f>
        <v>1230.9776385663531</v>
      </c>
      <c r="F22" s="477">
        <f t="shared" ref="F22:F32" si="6">F4*$F$17</f>
        <v>0</v>
      </c>
      <c r="G22" s="477">
        <f t="shared" ref="G22:G32" si="7">G4*$G$17</f>
        <v>0</v>
      </c>
      <c r="H22" s="477">
        <f t="shared" ref="H22:H32" si="8">H4*$H$17</f>
        <v>0</v>
      </c>
      <c r="I22" s="477">
        <f t="shared" ref="I22:I32" si="9">I4*$I$17</f>
        <v>0</v>
      </c>
      <c r="J22" s="477">
        <f t="shared" ref="J22:J32" si="10">J4*$J$17</f>
        <v>727.70968002153177</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36263.812609703687</v>
      </c>
    </row>
    <row r="23" spans="1:17">
      <c r="A23" s="476" t="s">
        <v>156</v>
      </c>
      <c r="B23" s="477">
        <f t="shared" ca="1" si="2"/>
        <v>7626.4649259246289</v>
      </c>
      <c r="C23" s="477">
        <f t="shared" ca="1" si="3"/>
        <v>0</v>
      </c>
      <c r="D23" s="477">
        <f t="shared" ca="1" si="4"/>
        <v>9117.0838980210719</v>
      </c>
      <c r="E23" s="477">
        <f t="shared" si="5"/>
        <v>143.71467650223966</v>
      </c>
      <c r="F23" s="477">
        <f t="shared" ca="1" si="6"/>
        <v>1862.2646072973882</v>
      </c>
      <c r="G23" s="477">
        <f t="shared" si="7"/>
        <v>0</v>
      </c>
      <c r="H23" s="477">
        <f t="shared" si="8"/>
        <v>0</v>
      </c>
      <c r="I23" s="477">
        <f t="shared" si="9"/>
        <v>0</v>
      </c>
      <c r="J23" s="477">
        <f t="shared" si="10"/>
        <v>3.0579359729008243E-2</v>
      </c>
      <c r="K23" s="477">
        <f t="shared" si="11"/>
        <v>0</v>
      </c>
      <c r="L23" s="477">
        <f t="shared" ca="1" si="12"/>
        <v>0</v>
      </c>
      <c r="M23" s="477">
        <f t="shared" si="13"/>
        <v>0</v>
      </c>
      <c r="N23" s="477">
        <f t="shared" ca="1" si="14"/>
        <v>0</v>
      </c>
      <c r="O23" s="477">
        <f t="shared" si="15"/>
        <v>0</v>
      </c>
      <c r="P23" s="478">
        <f t="shared" si="16"/>
        <v>0</v>
      </c>
      <c r="Q23" s="476">
        <f t="shared" ref="Q23:Q32" ca="1" si="17">SUM(B23:P23)</f>
        <v>18749.558687105058</v>
      </c>
    </row>
    <row r="24" spans="1:17">
      <c r="A24" s="476" t="s">
        <v>194</v>
      </c>
      <c r="B24" s="477">
        <f t="shared" ca="1" si="2"/>
        <v>319.97792296542241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319.97792296542241</v>
      </c>
    </row>
    <row r="25" spans="1:17">
      <c r="A25" s="476" t="s">
        <v>112</v>
      </c>
      <c r="B25" s="477">
        <f t="shared" ca="1" si="2"/>
        <v>289.42948935451727</v>
      </c>
      <c r="C25" s="477">
        <f t="shared" ca="1" si="3"/>
        <v>0</v>
      </c>
      <c r="D25" s="477">
        <f t="shared" si="4"/>
        <v>67.664504391678335</v>
      </c>
      <c r="E25" s="477">
        <f t="shared" si="5"/>
        <v>9.9659037665177763</v>
      </c>
      <c r="F25" s="477">
        <f t="shared" si="6"/>
        <v>1661.3877654417181</v>
      </c>
      <c r="G25" s="477">
        <f t="shared" si="7"/>
        <v>0</v>
      </c>
      <c r="H25" s="477">
        <f t="shared" si="8"/>
        <v>0</v>
      </c>
      <c r="I25" s="477">
        <f t="shared" si="9"/>
        <v>0</v>
      </c>
      <c r="J25" s="477">
        <f t="shared" si="10"/>
        <v>76.60434285322647</v>
      </c>
      <c r="K25" s="477">
        <f t="shared" si="11"/>
        <v>0</v>
      </c>
      <c r="L25" s="477">
        <f t="shared" si="12"/>
        <v>0</v>
      </c>
      <c r="M25" s="477">
        <f t="shared" si="13"/>
        <v>0</v>
      </c>
      <c r="N25" s="477">
        <f t="shared" si="14"/>
        <v>0</v>
      </c>
      <c r="O25" s="477">
        <f t="shared" si="15"/>
        <v>0</v>
      </c>
      <c r="P25" s="478">
        <f t="shared" si="16"/>
        <v>0</v>
      </c>
      <c r="Q25" s="476">
        <f t="shared" ca="1" si="17"/>
        <v>2105.0520058076581</v>
      </c>
    </row>
    <row r="26" spans="1:17">
      <c r="A26" s="476" t="s">
        <v>635</v>
      </c>
      <c r="B26" s="477">
        <f t="shared" ca="1" si="2"/>
        <v>8153.2294918903217</v>
      </c>
      <c r="C26" s="477">
        <f t="shared" ca="1" si="3"/>
        <v>0</v>
      </c>
      <c r="D26" s="477">
        <f t="shared" si="4"/>
        <v>5424.3275320596531</v>
      </c>
      <c r="E26" s="477">
        <f t="shared" si="5"/>
        <v>714.66901089269538</v>
      </c>
      <c r="F26" s="477">
        <f t="shared" si="6"/>
        <v>2808.4173742739572</v>
      </c>
      <c r="G26" s="477">
        <f t="shared" si="7"/>
        <v>0</v>
      </c>
      <c r="H26" s="477">
        <f t="shared" si="8"/>
        <v>0</v>
      </c>
      <c r="I26" s="477">
        <f t="shared" si="9"/>
        <v>0</v>
      </c>
      <c r="J26" s="477">
        <f t="shared" si="10"/>
        <v>40.657281992917923</v>
      </c>
      <c r="K26" s="477">
        <f t="shared" si="11"/>
        <v>0</v>
      </c>
      <c r="L26" s="477">
        <f t="shared" si="12"/>
        <v>0</v>
      </c>
      <c r="M26" s="477">
        <f t="shared" si="13"/>
        <v>0</v>
      </c>
      <c r="N26" s="477">
        <f t="shared" si="14"/>
        <v>0</v>
      </c>
      <c r="O26" s="477">
        <f t="shared" si="15"/>
        <v>0</v>
      </c>
      <c r="P26" s="478">
        <f t="shared" si="16"/>
        <v>0</v>
      </c>
      <c r="Q26" s="476">
        <f t="shared" ca="1" si="17"/>
        <v>17141.300691109547</v>
      </c>
    </row>
    <row r="27" spans="1:17" s="482" customFormat="1">
      <c r="A27" s="480" t="s">
        <v>561</v>
      </c>
      <c r="B27" s="780">
        <f t="shared" ca="1" si="2"/>
        <v>24.22950658008444</v>
      </c>
      <c r="C27" s="481">
        <f t="shared" ca="1" si="3"/>
        <v>0</v>
      </c>
      <c r="D27" s="481">
        <f t="shared" si="4"/>
        <v>92.388625130114235</v>
      </c>
      <c r="E27" s="481">
        <f t="shared" si="5"/>
        <v>149.79821724568055</v>
      </c>
      <c r="F27" s="481">
        <f t="shared" si="6"/>
        <v>0</v>
      </c>
      <c r="G27" s="481">
        <f t="shared" si="7"/>
        <v>75077.273885973016</v>
      </c>
      <c r="H27" s="481">
        <f t="shared" si="8"/>
        <v>13009.819227506068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88353.509462434973</v>
      </c>
    </row>
    <row r="28" spans="1:17">
      <c r="A28" s="476" t="s">
        <v>551</v>
      </c>
      <c r="B28" s="477">
        <f t="shared" ca="1" si="2"/>
        <v>0</v>
      </c>
      <c r="C28" s="477">
        <f t="shared" ca="1" si="3"/>
        <v>0</v>
      </c>
      <c r="D28" s="477">
        <f t="shared" si="4"/>
        <v>0</v>
      </c>
      <c r="E28" s="477">
        <f t="shared" si="5"/>
        <v>0</v>
      </c>
      <c r="F28" s="477">
        <f t="shared" si="6"/>
        <v>0</v>
      </c>
      <c r="G28" s="477">
        <f t="shared" si="7"/>
        <v>607.72503082111268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607.72503082111268</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309.96680610439057</v>
      </c>
      <c r="C32" s="477">
        <f t="shared" ca="1" si="3"/>
        <v>0</v>
      </c>
      <c r="D32" s="477">
        <f t="shared" si="4"/>
        <v>1282.8150885417365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1592.7818946461271</v>
      </c>
    </row>
    <row r="33" spans="1:17" s="486" customFormat="1">
      <c r="A33" s="1039" t="s">
        <v>555</v>
      </c>
      <c r="B33" s="987">
        <f ca="1">SUM(B22:B32)</f>
        <v>26188.992788238847</v>
      </c>
      <c r="C33" s="987">
        <f t="shared" ref="C33:Q33" ca="1" si="18">SUM(C22:C32)</f>
        <v>0</v>
      </c>
      <c r="D33" s="987">
        <f t="shared" ca="1" si="18"/>
        <v>40823.710293840573</v>
      </c>
      <c r="E33" s="987">
        <f t="shared" si="18"/>
        <v>2249.1254469734863</v>
      </c>
      <c r="F33" s="987">
        <f t="shared" ca="1" si="18"/>
        <v>6332.0697470130635</v>
      </c>
      <c r="G33" s="987">
        <f t="shared" si="18"/>
        <v>75684.998916794124</v>
      </c>
      <c r="H33" s="987">
        <f t="shared" si="18"/>
        <v>13009.819227506068</v>
      </c>
      <c r="I33" s="987">
        <f t="shared" si="18"/>
        <v>0</v>
      </c>
      <c r="J33" s="987">
        <f t="shared" si="18"/>
        <v>845.00188422740518</v>
      </c>
      <c r="K33" s="987">
        <f t="shared" si="18"/>
        <v>0</v>
      </c>
      <c r="L33" s="987">
        <f t="shared" ca="1" si="18"/>
        <v>0</v>
      </c>
      <c r="M33" s="987">
        <f t="shared" si="18"/>
        <v>0</v>
      </c>
      <c r="N33" s="987">
        <f t="shared" ca="1" si="18"/>
        <v>0</v>
      </c>
      <c r="O33" s="987">
        <f t="shared" si="18"/>
        <v>0</v>
      </c>
      <c r="P33" s="987">
        <f t="shared" si="18"/>
        <v>0</v>
      </c>
      <c r="Q33" s="987">
        <f t="shared" ca="1" si="18"/>
        <v>165133.71830459358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16606.012858647664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43.649999999999991</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51.35294117647058</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16649.662858647665</v>
      </c>
      <c r="C10" s="1060">
        <f>SUM(C4:C9)</f>
        <v>0</v>
      </c>
      <c r="D10" s="1060">
        <f t="shared" ref="D10:H10" si="0">SUM(D8:D9)</f>
        <v>0</v>
      </c>
      <c r="E10" s="1060">
        <f t="shared" si="0"/>
        <v>0</v>
      </c>
      <c r="F10" s="1060">
        <f t="shared" si="0"/>
        <v>0</v>
      </c>
      <c r="G10" s="1060">
        <f t="shared" si="0"/>
        <v>0</v>
      </c>
      <c r="H10" s="1060">
        <f t="shared" si="0"/>
        <v>0</v>
      </c>
      <c r="I10" s="1060">
        <f>SUM(I8:I9)</f>
        <v>0</v>
      </c>
      <c r="J10" s="1060">
        <f>SUM(J8:J9)</f>
        <v>51.35294117647058</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0.19377451747750088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62.357142857142847</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73.361344537815114</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62.357142857142847</v>
      </c>
      <c r="C20" s="1060">
        <f>SUM(C17:C19)</f>
        <v>0</v>
      </c>
      <c r="D20" s="1060">
        <f t="shared" ref="D20:H20" si="2">SUM(D17:D19)</f>
        <v>0</v>
      </c>
      <c r="E20" s="1060">
        <f t="shared" si="2"/>
        <v>0</v>
      </c>
      <c r="F20" s="1060">
        <f t="shared" si="2"/>
        <v>0</v>
      </c>
      <c r="G20" s="1060">
        <f t="shared" si="2"/>
        <v>0</v>
      </c>
      <c r="H20" s="1060">
        <f t="shared" si="2"/>
        <v>0</v>
      </c>
      <c r="I20" s="1060">
        <f>SUM(I17:I19)</f>
        <v>0</v>
      </c>
      <c r="J20" s="1060">
        <f>SUM(J17:J19)</f>
        <v>73.361344537815114</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0.19377451747750088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0.19377451747750088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0.19377451747750088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46025</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12082</v>
      </c>
      <c r="C9" s="342">
        <v>12726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1839.34</v>
      </c>
    </row>
    <row r="15" spans="1:6">
      <c r="A15" s="348" t="s">
        <v>184</v>
      </c>
      <c r="B15" s="334">
        <v>500</v>
      </c>
    </row>
    <row r="16" spans="1:6">
      <c r="A16" s="348" t="s">
        <v>6</v>
      </c>
      <c r="B16" s="334">
        <v>1234</v>
      </c>
    </row>
    <row r="17" spans="1:6">
      <c r="A17" s="348" t="s">
        <v>7</v>
      </c>
      <c r="B17" s="334">
        <v>683</v>
      </c>
    </row>
    <row r="18" spans="1:6">
      <c r="A18" s="348" t="s">
        <v>8</v>
      </c>
      <c r="B18" s="334">
        <v>1134</v>
      </c>
    </row>
    <row r="19" spans="1:6">
      <c r="A19" s="348" t="s">
        <v>9</v>
      </c>
      <c r="B19" s="334">
        <v>833</v>
      </c>
    </row>
    <row r="20" spans="1:6">
      <c r="A20" s="348" t="s">
        <v>10</v>
      </c>
      <c r="B20" s="334">
        <v>588</v>
      </c>
    </row>
    <row r="21" spans="1:6">
      <c r="A21" s="348" t="s">
        <v>11</v>
      </c>
      <c r="B21" s="334">
        <v>4294</v>
      </c>
    </row>
    <row r="22" spans="1:6">
      <c r="A22" s="348" t="s">
        <v>12</v>
      </c>
      <c r="B22" s="334">
        <v>8262</v>
      </c>
    </row>
    <row r="23" spans="1:6">
      <c r="A23" s="348" t="s">
        <v>13</v>
      </c>
      <c r="B23" s="334">
        <v>230</v>
      </c>
    </row>
    <row r="24" spans="1:6">
      <c r="A24" s="348" t="s">
        <v>14</v>
      </c>
      <c r="B24" s="334">
        <v>9</v>
      </c>
    </row>
    <row r="25" spans="1:6">
      <c r="A25" s="348" t="s">
        <v>15</v>
      </c>
      <c r="B25" s="334">
        <v>1093</v>
      </c>
    </row>
    <row r="26" spans="1:6">
      <c r="A26" s="348" t="s">
        <v>16</v>
      </c>
      <c r="B26" s="334">
        <v>241</v>
      </c>
    </row>
    <row r="27" spans="1:6">
      <c r="A27" s="348" t="s">
        <v>17</v>
      </c>
      <c r="B27" s="334">
        <v>0</v>
      </c>
    </row>
    <row r="28" spans="1:6" s="356" customFormat="1">
      <c r="A28" s="355" t="s">
        <v>18</v>
      </c>
      <c r="B28" s="355">
        <v>63421</v>
      </c>
    </row>
    <row r="29" spans="1:6">
      <c r="A29" s="355" t="s">
        <v>744</v>
      </c>
      <c r="B29" s="355">
        <v>153</v>
      </c>
      <c r="C29" s="356"/>
      <c r="D29" s="356"/>
      <c r="E29" s="356"/>
      <c r="F29" s="356"/>
    </row>
    <row r="30" spans="1:6">
      <c r="A30" s="341" t="s">
        <v>745</v>
      </c>
      <c r="B30" s="341">
        <v>24</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14747.5814419376</v>
      </c>
    </row>
    <row r="37" spans="1:6">
      <c r="A37" s="348" t="s">
        <v>25</v>
      </c>
      <c r="B37" s="348" t="s">
        <v>28</v>
      </c>
      <c r="C37" s="334">
        <v>0</v>
      </c>
      <c r="D37" s="334">
        <v>0</v>
      </c>
      <c r="E37" s="334">
        <v>0</v>
      </c>
      <c r="F37" s="334">
        <v>0</v>
      </c>
    </row>
    <row r="38" spans="1:6">
      <c r="A38" s="348" t="s">
        <v>25</v>
      </c>
      <c r="B38" s="348" t="s">
        <v>29</v>
      </c>
      <c r="C38" s="334">
        <v>2</v>
      </c>
      <c r="D38" s="334">
        <v>182850.88185343301</v>
      </c>
      <c r="E38" s="334">
        <v>2</v>
      </c>
      <c r="F38" s="334">
        <v>9426.4932967479999</v>
      </c>
    </row>
    <row r="39" spans="1:6">
      <c r="A39" s="348" t="s">
        <v>30</v>
      </c>
      <c r="B39" s="348" t="s">
        <v>31</v>
      </c>
      <c r="C39" s="334">
        <v>9208</v>
      </c>
      <c r="D39" s="334">
        <v>136327581.423549</v>
      </c>
      <c r="E39" s="334">
        <v>11838</v>
      </c>
      <c r="F39" s="334">
        <v>43247521.357790701</v>
      </c>
    </row>
    <row r="40" spans="1:6">
      <c r="A40" s="348" t="s">
        <v>30</v>
      </c>
      <c r="B40" s="348" t="s">
        <v>29</v>
      </c>
      <c r="C40" s="334">
        <v>0</v>
      </c>
      <c r="D40" s="334">
        <v>0</v>
      </c>
      <c r="E40" s="334">
        <v>1</v>
      </c>
      <c r="F40" s="334">
        <v>20635.580146632699</v>
      </c>
    </row>
    <row r="41" spans="1:6">
      <c r="A41" s="348" t="s">
        <v>32</v>
      </c>
      <c r="B41" s="348" t="s">
        <v>33</v>
      </c>
      <c r="C41" s="334">
        <v>151</v>
      </c>
      <c r="D41" s="334">
        <v>7242152.8430110002</v>
      </c>
      <c r="E41" s="334">
        <v>269</v>
      </c>
      <c r="F41" s="334">
        <v>4630204.02458914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10</v>
      </c>
      <c r="D44" s="334">
        <v>949307.99264453701</v>
      </c>
      <c r="E44" s="334">
        <v>28</v>
      </c>
      <c r="F44" s="334">
        <v>1798114.5614601399</v>
      </c>
    </row>
    <row r="45" spans="1:6">
      <c r="A45" s="348" t="s">
        <v>32</v>
      </c>
      <c r="B45" s="348" t="s">
        <v>37</v>
      </c>
      <c r="C45" s="334">
        <v>0</v>
      </c>
      <c r="D45" s="334">
        <v>0</v>
      </c>
      <c r="E45" s="334">
        <v>4</v>
      </c>
      <c r="F45" s="334">
        <v>192049.04716073599</v>
      </c>
    </row>
    <row r="46" spans="1:6">
      <c r="A46" s="348" t="s">
        <v>32</v>
      </c>
      <c r="B46" s="348" t="s">
        <v>38</v>
      </c>
      <c r="C46" s="334">
        <v>0</v>
      </c>
      <c r="D46" s="334">
        <v>0</v>
      </c>
      <c r="E46" s="334">
        <v>0</v>
      </c>
      <c r="F46" s="334">
        <v>0</v>
      </c>
    </row>
    <row r="47" spans="1:6">
      <c r="A47" s="348" t="s">
        <v>32</v>
      </c>
      <c r="B47" s="348" t="s">
        <v>39</v>
      </c>
      <c r="C47" s="334">
        <v>4</v>
      </c>
      <c r="D47" s="334">
        <v>80669.518831141206</v>
      </c>
      <c r="E47" s="334">
        <v>8</v>
      </c>
      <c r="F47" s="334">
        <v>650926.24469539896</v>
      </c>
    </row>
    <row r="48" spans="1:6">
      <c r="A48" s="348" t="s">
        <v>32</v>
      </c>
      <c r="B48" s="348" t="s">
        <v>29</v>
      </c>
      <c r="C48" s="334">
        <v>54</v>
      </c>
      <c r="D48" s="334">
        <v>19356589.2301828</v>
      </c>
      <c r="E48" s="334">
        <v>54</v>
      </c>
      <c r="F48" s="334">
        <v>31965201.285417899</v>
      </c>
    </row>
    <row r="49" spans="1:6">
      <c r="A49" s="348" t="s">
        <v>32</v>
      </c>
      <c r="B49" s="348" t="s">
        <v>40</v>
      </c>
      <c r="C49" s="334">
        <v>3</v>
      </c>
      <c r="D49" s="334">
        <v>119860.417624366</v>
      </c>
      <c r="E49" s="334">
        <v>7</v>
      </c>
      <c r="F49" s="334">
        <v>942543.44567968103</v>
      </c>
    </row>
    <row r="50" spans="1:6">
      <c r="A50" s="348" t="s">
        <v>32</v>
      </c>
      <c r="B50" s="348" t="s">
        <v>41</v>
      </c>
      <c r="C50" s="334">
        <v>23</v>
      </c>
      <c r="D50" s="334">
        <v>2022048.15109276</v>
      </c>
      <c r="E50" s="334">
        <v>27</v>
      </c>
      <c r="F50" s="334">
        <v>1896821.5093791401</v>
      </c>
    </row>
    <row r="51" spans="1:6">
      <c r="A51" s="348" t="s">
        <v>42</v>
      </c>
      <c r="B51" s="348" t="s">
        <v>43</v>
      </c>
      <c r="C51" s="334">
        <v>3</v>
      </c>
      <c r="D51" s="334">
        <v>59589.306158608997</v>
      </c>
      <c r="E51" s="334">
        <v>92</v>
      </c>
      <c r="F51" s="334">
        <v>1434035.0706078501</v>
      </c>
    </row>
    <row r="52" spans="1:6">
      <c r="A52" s="348" t="s">
        <v>42</v>
      </c>
      <c r="B52" s="348" t="s">
        <v>29</v>
      </c>
      <c r="C52" s="334">
        <v>13</v>
      </c>
      <c r="D52" s="334">
        <v>311777.42778619099</v>
      </c>
      <c r="E52" s="334">
        <v>9</v>
      </c>
      <c r="F52" s="334">
        <v>59605.543866253</v>
      </c>
    </row>
    <row r="53" spans="1:6">
      <c r="A53" s="348" t="s">
        <v>44</v>
      </c>
      <c r="B53" s="348" t="s">
        <v>45</v>
      </c>
      <c r="C53" s="334">
        <v>213</v>
      </c>
      <c r="D53" s="334">
        <v>6350569.7452561203</v>
      </c>
      <c r="E53" s="334">
        <v>439</v>
      </c>
      <c r="F53" s="334">
        <v>1599626.2570509601</v>
      </c>
    </row>
    <row r="54" spans="1:6">
      <c r="A54" s="348" t="s">
        <v>46</v>
      </c>
      <c r="B54" s="348" t="s">
        <v>47</v>
      </c>
      <c r="C54" s="334">
        <v>0</v>
      </c>
      <c r="D54" s="334">
        <v>0</v>
      </c>
      <c r="E54" s="334">
        <v>1</v>
      </c>
      <c r="F54" s="334">
        <v>1651290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105</v>
      </c>
      <c r="D57" s="334">
        <v>4759226.6931093698</v>
      </c>
      <c r="E57" s="334">
        <v>186</v>
      </c>
      <c r="F57" s="334">
        <v>3346000.20472416</v>
      </c>
    </row>
    <row r="58" spans="1:6">
      <c r="A58" s="348" t="s">
        <v>49</v>
      </c>
      <c r="B58" s="348" t="s">
        <v>51</v>
      </c>
      <c r="C58" s="334">
        <v>48</v>
      </c>
      <c r="D58" s="334">
        <v>2771547.4518806399</v>
      </c>
      <c r="E58" s="334">
        <v>61</v>
      </c>
      <c r="F58" s="334">
        <v>1248526.33438006</v>
      </c>
    </row>
    <row r="59" spans="1:6">
      <c r="A59" s="348" t="s">
        <v>49</v>
      </c>
      <c r="B59" s="348" t="s">
        <v>52</v>
      </c>
      <c r="C59" s="334">
        <v>228</v>
      </c>
      <c r="D59" s="334">
        <v>14615307.7815951</v>
      </c>
      <c r="E59" s="334">
        <v>400</v>
      </c>
      <c r="F59" s="334">
        <v>14260371.8896662</v>
      </c>
    </row>
    <row r="60" spans="1:6">
      <c r="A60" s="348" t="s">
        <v>49</v>
      </c>
      <c r="B60" s="348" t="s">
        <v>53</v>
      </c>
      <c r="C60" s="334">
        <v>103</v>
      </c>
      <c r="D60" s="334">
        <v>5239432.9540611897</v>
      </c>
      <c r="E60" s="334">
        <v>105</v>
      </c>
      <c r="F60" s="334">
        <v>2337609.18825706</v>
      </c>
    </row>
    <row r="61" spans="1:6">
      <c r="A61" s="348" t="s">
        <v>49</v>
      </c>
      <c r="B61" s="348" t="s">
        <v>54</v>
      </c>
      <c r="C61" s="334">
        <v>263</v>
      </c>
      <c r="D61" s="334">
        <v>12140587.988152601</v>
      </c>
      <c r="E61" s="334">
        <v>565</v>
      </c>
      <c r="F61" s="334">
        <v>11972461.268071299</v>
      </c>
    </row>
    <row r="62" spans="1:6">
      <c r="A62" s="348" t="s">
        <v>49</v>
      </c>
      <c r="B62" s="348" t="s">
        <v>55</v>
      </c>
      <c r="C62" s="334">
        <v>16</v>
      </c>
      <c r="D62" s="334">
        <v>1742806.2796452499</v>
      </c>
      <c r="E62" s="334">
        <v>18</v>
      </c>
      <c r="F62" s="334">
        <v>512631.95848403999</v>
      </c>
    </row>
    <row r="63" spans="1:6">
      <c r="A63" s="348" t="s">
        <v>49</v>
      </c>
      <c r="B63" s="348" t="s">
        <v>29</v>
      </c>
      <c r="C63" s="334">
        <v>96</v>
      </c>
      <c r="D63" s="334">
        <v>8768872.1188226007</v>
      </c>
      <c r="E63" s="334">
        <v>87</v>
      </c>
      <c r="F63" s="334">
        <v>5679818.4146544598</v>
      </c>
    </row>
    <row r="64" spans="1:6">
      <c r="A64" s="348" t="s">
        <v>56</v>
      </c>
      <c r="B64" s="348" t="s">
        <v>57</v>
      </c>
      <c r="C64" s="334">
        <v>0</v>
      </c>
      <c r="D64" s="334">
        <v>0</v>
      </c>
      <c r="E64" s="334">
        <v>0</v>
      </c>
      <c r="F64" s="334">
        <v>0</v>
      </c>
    </row>
    <row r="65" spans="1:6">
      <c r="A65" s="348" t="s">
        <v>56</v>
      </c>
      <c r="B65" s="348" t="s">
        <v>29</v>
      </c>
      <c r="C65" s="334">
        <v>4</v>
      </c>
      <c r="D65" s="334">
        <v>168700.192664659</v>
      </c>
      <c r="E65" s="334">
        <v>2</v>
      </c>
      <c r="F65" s="334">
        <v>36393.1450028299</v>
      </c>
    </row>
    <row r="66" spans="1:6">
      <c r="A66" s="348" t="s">
        <v>56</v>
      </c>
      <c r="B66" s="348" t="s">
        <v>58</v>
      </c>
      <c r="C66" s="334">
        <v>0</v>
      </c>
      <c r="D66" s="334">
        <v>0</v>
      </c>
      <c r="E66" s="334">
        <v>17</v>
      </c>
      <c r="F66" s="334">
        <v>719016.30070247804</v>
      </c>
    </row>
    <row r="67" spans="1:6">
      <c r="A67" s="355" t="s">
        <v>56</v>
      </c>
      <c r="B67" s="355" t="s">
        <v>59</v>
      </c>
      <c r="C67" s="334">
        <v>0</v>
      </c>
      <c r="D67" s="334">
        <v>0</v>
      </c>
      <c r="E67" s="334">
        <v>0</v>
      </c>
      <c r="F67" s="334">
        <v>0</v>
      </c>
    </row>
    <row r="68" spans="1:6">
      <c r="A68" s="341" t="s">
        <v>56</v>
      </c>
      <c r="B68" s="341" t="s">
        <v>60</v>
      </c>
      <c r="C68" s="334">
        <v>10</v>
      </c>
      <c r="D68" s="334">
        <v>419364.52592230402</v>
      </c>
      <c r="E68" s="334">
        <v>21</v>
      </c>
      <c r="F68" s="334">
        <v>528716.41245959804</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108858377</v>
      </c>
      <c r="E73" s="475">
        <v>102920573.12230289</v>
      </c>
    </row>
    <row r="74" spans="1:6">
      <c r="A74" s="348" t="s">
        <v>64</v>
      </c>
      <c r="B74" s="348" t="s">
        <v>657</v>
      </c>
      <c r="C74" s="1295" t="s">
        <v>659</v>
      </c>
      <c r="D74" s="475">
        <v>11773396</v>
      </c>
      <c r="E74" s="475">
        <v>10834531.755290778</v>
      </c>
    </row>
    <row r="75" spans="1:6">
      <c r="A75" s="348" t="s">
        <v>65</v>
      </c>
      <c r="B75" s="348" t="s">
        <v>656</v>
      </c>
      <c r="C75" s="1295" t="s">
        <v>660</v>
      </c>
      <c r="D75" s="475">
        <v>82166505</v>
      </c>
      <c r="E75" s="475">
        <v>78300363.130996123</v>
      </c>
    </row>
    <row r="76" spans="1:6">
      <c r="A76" s="348" t="s">
        <v>65</v>
      </c>
      <c r="B76" s="348" t="s">
        <v>657</v>
      </c>
      <c r="C76" s="1295" t="s">
        <v>661</v>
      </c>
      <c r="D76" s="475">
        <v>3933688</v>
      </c>
      <c r="E76" s="475">
        <v>3622140.2443073476</v>
      </c>
    </row>
    <row r="77" spans="1:6">
      <c r="A77" s="348" t="s">
        <v>66</v>
      </c>
      <c r="B77" s="348" t="s">
        <v>656</v>
      </c>
      <c r="C77" s="1295" t="s">
        <v>662</v>
      </c>
      <c r="D77" s="475">
        <v>126816099</v>
      </c>
      <c r="E77" s="475">
        <v>131080361.03167737</v>
      </c>
    </row>
    <row r="78" spans="1:6">
      <c r="A78" s="341" t="s">
        <v>66</v>
      </c>
      <c r="B78" s="341" t="s">
        <v>657</v>
      </c>
      <c r="C78" s="341" t="s">
        <v>663</v>
      </c>
      <c r="D78" s="1296">
        <v>31414034</v>
      </c>
      <c r="E78" s="1296">
        <v>32600514.178485975</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652384</v>
      </c>
      <c r="C83" s="475">
        <v>649878.70788050245</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5580.8597885191948</v>
      </c>
    </row>
    <row r="92" spans="1:6">
      <c r="A92" s="341" t="s">
        <v>69</v>
      </c>
      <c r="B92" s="342">
        <v>11025.153070128468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5711</v>
      </c>
    </row>
    <row r="98" spans="1:6">
      <c r="A98" s="348" t="s">
        <v>72</v>
      </c>
      <c r="B98" s="334">
        <v>8</v>
      </c>
    </row>
    <row r="99" spans="1:6">
      <c r="A99" s="348" t="s">
        <v>73</v>
      </c>
      <c r="B99" s="334">
        <v>124</v>
      </c>
    </row>
    <row r="100" spans="1:6">
      <c r="A100" s="348" t="s">
        <v>74</v>
      </c>
      <c r="B100" s="334">
        <v>1048</v>
      </c>
    </row>
    <row r="101" spans="1:6">
      <c r="A101" s="348" t="s">
        <v>75</v>
      </c>
      <c r="B101" s="334">
        <v>153</v>
      </c>
    </row>
    <row r="102" spans="1:6">
      <c r="A102" s="348" t="s">
        <v>76</v>
      </c>
      <c r="B102" s="334">
        <v>273</v>
      </c>
    </row>
    <row r="103" spans="1:6">
      <c r="A103" s="348" t="s">
        <v>77</v>
      </c>
      <c r="B103" s="334">
        <v>408</v>
      </c>
    </row>
    <row r="104" spans="1:6">
      <c r="A104" s="348" t="s">
        <v>78</v>
      </c>
      <c r="B104" s="334">
        <v>2212</v>
      </c>
    </row>
    <row r="105" spans="1:6">
      <c r="A105" s="341" t="s">
        <v>79</v>
      </c>
      <c r="B105" s="341">
        <v>10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52</v>
      </c>
      <c r="C123" s="334">
        <v>28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165</v>
      </c>
    </row>
    <row r="130" spans="1:6">
      <c r="A130" s="348" t="s">
        <v>295</v>
      </c>
      <c r="B130" s="334">
        <v>3</v>
      </c>
    </row>
    <row r="131" spans="1:6">
      <c r="A131" s="348" t="s">
        <v>296</v>
      </c>
      <c r="B131" s="334">
        <v>2</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135151.89266968318</v>
      </c>
      <c r="C3" s="43" t="s">
        <v>170</v>
      </c>
      <c r="D3" s="43"/>
      <c r="E3" s="154"/>
      <c r="F3" s="43"/>
      <c r="G3" s="43"/>
      <c r="H3" s="43"/>
      <c r="I3" s="43"/>
      <c r="J3" s="43"/>
      <c r="K3" s="96"/>
    </row>
    <row r="4" spans="1:11">
      <c r="A4" s="383" t="s">
        <v>171</v>
      </c>
      <c r="B4" s="49">
        <f>IF(ISERROR('SEAP template'!B78+'SEAP template'!C78),0,'SEAP template'!B78+'SEAP template'!C78)</f>
        <v>16649.662858647665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0.19377451747750088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1651.29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1651.29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0.19377451747750088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319.97792296542241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43268.156937937332</v>
      </c>
      <c r="C5" s="17">
        <f>IF(ISERROR('Eigen informatie GS &amp; warmtenet'!B57),0,'Eigen informatie GS &amp; warmtenet'!B57)</f>
        <v>0</v>
      </c>
      <c r="D5" s="30">
        <f>(SUM(HH_hh_gas_kWh,HH_rest_gas_kWh)/1000)*0.902</f>
        <v>122967.4784440412</v>
      </c>
      <c r="E5" s="17">
        <f>B46*B57</f>
        <v>5422.808980468516</v>
      </c>
      <c r="F5" s="17">
        <f>B51*B62</f>
        <v>0</v>
      </c>
      <c r="G5" s="18"/>
      <c r="H5" s="17"/>
      <c r="I5" s="17"/>
      <c r="J5" s="17">
        <f>B50*B61+C50*C61</f>
        <v>2055.677062207717</v>
      </c>
      <c r="K5" s="17"/>
      <c r="L5" s="17"/>
      <c r="M5" s="17"/>
      <c r="N5" s="17">
        <f>B48*B59+C48*C59</f>
        <v>22802.723457903656</v>
      </c>
      <c r="O5" s="17">
        <f>B69*B70*B71</f>
        <v>301.72333333333336</v>
      </c>
      <c r="P5" s="17">
        <f>B77*B78*B79/1000-B77*B78*B79/1000/B80</f>
        <v>1506.2666666666667</v>
      </c>
    </row>
    <row r="6" spans="1:16">
      <c r="A6" s="16" t="s">
        <v>621</v>
      </c>
      <c r="B6" s="788">
        <f>kWh_PV_kleiner_dan_10kW</f>
        <v>5580.8597885191948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48849.016726456524</v>
      </c>
      <c r="C8" s="21">
        <f>C5</f>
        <v>0</v>
      </c>
      <c r="D8" s="21">
        <f>D5</f>
        <v>122967.4784440412</v>
      </c>
      <c r="E8" s="21">
        <f>E5</f>
        <v>5422.808980468516</v>
      </c>
      <c r="F8" s="21">
        <f>F5</f>
        <v>0</v>
      </c>
      <c r="G8" s="21"/>
      <c r="H8" s="21"/>
      <c r="I8" s="21"/>
      <c r="J8" s="21">
        <f>J5</f>
        <v>2055.677062207717</v>
      </c>
      <c r="K8" s="21"/>
      <c r="L8" s="21">
        <f>L5</f>
        <v>0</v>
      </c>
      <c r="M8" s="21">
        <f>M5</f>
        <v>0</v>
      </c>
      <c r="N8" s="21">
        <f>N5</f>
        <v>22802.723457903656</v>
      </c>
      <c r="O8" s="21">
        <f>O5</f>
        <v>301.72333333333336</v>
      </c>
      <c r="P8" s="21">
        <f>P5</f>
        <v>1506.2666666666667</v>
      </c>
    </row>
    <row r="9" spans="1:16">
      <c r="B9" s="19"/>
      <c r="C9" s="19"/>
      <c r="D9" s="258"/>
      <c r="E9" s="19"/>
      <c r="F9" s="19"/>
      <c r="G9" s="19"/>
      <c r="H9" s="19"/>
      <c r="I9" s="19"/>
      <c r="J9" s="19"/>
      <c r="K9" s="19"/>
      <c r="L9" s="19"/>
      <c r="M9" s="19"/>
      <c r="N9" s="19"/>
      <c r="O9" s="19"/>
      <c r="P9" s="19"/>
    </row>
    <row r="10" spans="1:16">
      <c r="A10" s="24" t="s">
        <v>214</v>
      </c>
      <c r="B10" s="25">
        <f ca="1">'EF ele_warmte'!B12</f>
        <v>0.19377451747750088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9465.6946454194822</v>
      </c>
      <c r="C12" s="23">
        <f ca="1">C10*C8</f>
        <v>0</v>
      </c>
      <c r="D12" s="23">
        <f>D8*D10</f>
        <v>24839.430645696324</v>
      </c>
      <c r="E12" s="23">
        <f>E10*E8</f>
        <v>1230.9776385663531</v>
      </c>
      <c r="F12" s="23">
        <f>F10*F8</f>
        <v>0</v>
      </c>
      <c r="G12" s="23"/>
      <c r="H12" s="23"/>
      <c r="I12" s="23"/>
      <c r="J12" s="23">
        <f>J10*J8</f>
        <v>727.70968002153177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5711</v>
      </c>
      <c r="C18" s="166" t="s">
        <v>111</v>
      </c>
      <c r="D18" s="228"/>
      <c r="E18" s="15"/>
    </row>
    <row r="19" spans="1:7">
      <c r="A19" s="171" t="s">
        <v>72</v>
      </c>
      <c r="B19" s="37">
        <f>aantalw2001_ander</f>
        <v>8</v>
      </c>
      <c r="C19" s="166" t="s">
        <v>111</v>
      </c>
      <c r="D19" s="229"/>
      <c r="E19" s="15"/>
    </row>
    <row r="20" spans="1:7">
      <c r="A20" s="171" t="s">
        <v>73</v>
      </c>
      <c r="B20" s="37">
        <f>aantalw2001_propaan</f>
        <v>124</v>
      </c>
      <c r="C20" s="167">
        <f>IF(ISERROR(B20/SUM($B$20,$B$21,$B$22)*100),0,B20/SUM($B$20,$B$21,$B$22)*100)</f>
        <v>9.3584905660377355</v>
      </c>
      <c r="D20" s="229"/>
      <c r="E20" s="15"/>
    </row>
    <row r="21" spans="1:7">
      <c r="A21" s="171" t="s">
        <v>74</v>
      </c>
      <c r="B21" s="37">
        <f>aantalw2001_elektriciteit</f>
        <v>1048</v>
      </c>
      <c r="C21" s="167">
        <f>IF(ISERROR(B21/SUM($B$20,$B$21,$B$22)*100),0,B21/SUM($B$20,$B$21,$B$22)*100)</f>
        <v>79.094339622641513</v>
      </c>
      <c r="D21" s="229"/>
      <c r="E21" s="15"/>
    </row>
    <row r="22" spans="1:7">
      <c r="A22" s="171" t="s">
        <v>75</v>
      </c>
      <c r="B22" s="37">
        <f>aantalw2001_hout</f>
        <v>153</v>
      </c>
      <c r="C22" s="167">
        <f>IF(ISERROR(B22/SUM($B$20,$B$21,$B$22)*100),0,B22/SUM($B$20,$B$21,$B$22)*100)</f>
        <v>11.547169811320755</v>
      </c>
      <c r="D22" s="229"/>
      <c r="E22" s="15"/>
    </row>
    <row r="23" spans="1:7">
      <c r="A23" s="171" t="s">
        <v>76</v>
      </c>
      <c r="B23" s="37">
        <f>aantalw2001_niet_gespec</f>
        <v>273</v>
      </c>
      <c r="C23" s="166" t="s">
        <v>111</v>
      </c>
      <c r="D23" s="228"/>
      <c r="E23" s="15"/>
    </row>
    <row r="24" spans="1:7">
      <c r="A24" s="171" t="s">
        <v>77</v>
      </c>
      <c r="B24" s="37">
        <f>aantalw2001_steenkool</f>
        <v>408</v>
      </c>
      <c r="C24" s="166" t="s">
        <v>111</v>
      </c>
      <c r="D24" s="229"/>
      <c r="E24" s="15"/>
    </row>
    <row r="25" spans="1:7">
      <c r="A25" s="171" t="s">
        <v>78</v>
      </c>
      <c r="B25" s="37">
        <f>aantalw2001_stookolie</f>
        <v>2212</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793</v>
      </c>
      <c r="B28" s="37">
        <f>aantalHuishoudens2011</f>
        <v>12082</v>
      </c>
      <c r="C28" s="36"/>
      <c r="D28" s="228"/>
    </row>
    <row r="29" spans="1:7" s="15" customFormat="1">
      <c r="A29" s="230" t="s">
        <v>794</v>
      </c>
      <c r="B29" s="37">
        <f>SUM(HH_hh_gas_aantal,HH_rest_gas_aantal)</f>
        <v>9208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9208</v>
      </c>
      <c r="C32" s="167">
        <f>IF(ISERROR(B32/SUM($B$32,$B$34,$B$35,$B$36,$B$38,$B$39)*100),0,B32/SUM($B$32,$B$34,$B$35,$B$36,$B$38,$B$39)*100)</f>
        <v>76.71415479463468</v>
      </c>
      <c r="D32" s="233"/>
      <c r="G32" s="15"/>
    </row>
    <row r="33" spans="1:7">
      <c r="A33" s="171" t="s">
        <v>72</v>
      </c>
      <c r="B33" s="34" t="s">
        <v>111</v>
      </c>
      <c r="C33" s="167"/>
      <c r="D33" s="233"/>
      <c r="G33" s="15"/>
    </row>
    <row r="34" spans="1:7">
      <c r="A34" s="171" t="s">
        <v>73</v>
      </c>
      <c r="B34" s="33">
        <f>IF((($B$28-$B$32-$B$39-$B$77-$B$38)*C20/100)&lt;0,0,($B$28-$B$32-$B$39-$B$77-$B$38)*C20/100)</f>
        <v>256.11381132075468</v>
      </c>
      <c r="C34" s="167">
        <f>IF(ISERROR(B34/SUM($B$32,$B$34,$B$35,$B$36,$B$38,$B$39)*100),0,B34/SUM($B$32,$B$34,$B$35,$B$36,$B$38,$B$39)*100)</f>
        <v>2.1337483239253081</v>
      </c>
      <c r="D34" s="233"/>
      <c r="G34" s="15"/>
    </row>
    <row r="35" spans="1:7">
      <c r="A35" s="171" t="s">
        <v>74</v>
      </c>
      <c r="B35" s="33">
        <f>IF((($B$28-$B$32-$B$39-$B$77-$B$38)*C21/100)&lt;0,0,($B$28-$B$32-$B$39-$B$77-$B$38)*C21/100)</f>
        <v>2164.57479245283</v>
      </c>
      <c r="C35" s="167">
        <f>IF(ISERROR(B35/SUM($B$32,$B$34,$B$35,$B$36,$B$38,$B$39)*100),0,B35/SUM($B$32,$B$34,$B$35,$B$36,$B$38,$B$39)*100)</f>
        <v>18.033614866723571</v>
      </c>
      <c r="D35" s="233"/>
      <c r="G35" s="15"/>
    </row>
    <row r="36" spans="1:7">
      <c r="A36" s="171" t="s">
        <v>75</v>
      </c>
      <c r="B36" s="33">
        <f>IF((($B$28-$B$32-$B$39-$B$77-$B$38)*C22/100)&lt;0,0,($B$28-$B$32-$B$39-$B$77-$B$38)*C22/100)</f>
        <v>316.01139622641512</v>
      </c>
      <c r="C36" s="167">
        <f>IF(ISERROR(B36/SUM($B$32,$B$34,$B$35,$B$36,$B$38,$B$39)*100),0,B36/SUM($B$32,$B$34,$B$35,$B$36,$B$38,$B$39)*100)</f>
        <v>2.6327701093594529</v>
      </c>
      <c r="D36" s="233"/>
      <c r="G36" s="15"/>
    </row>
    <row r="37" spans="1:7">
      <c r="A37" s="171" t="s">
        <v>76</v>
      </c>
      <c r="B37" s="34" t="s">
        <v>111</v>
      </c>
      <c r="C37" s="167"/>
      <c r="D37" s="173"/>
      <c r="G37" s="15"/>
    </row>
    <row r="38" spans="1:7">
      <c r="A38" s="171" t="s">
        <v>77</v>
      </c>
      <c r="B38" s="33">
        <f>IF((B24-(B29-B18)*0.1)&lt;0,0,B24-(B29-B18)*0.1)</f>
        <v>58.299999999999955</v>
      </c>
      <c r="C38" s="167">
        <f>IF(ISERROR(B38/SUM($B$32,$B$34,$B$35,$B$36,$B$38,$B$39)*100),0,B38/SUM($B$32,$B$34,$B$35,$B$36,$B$38,$B$39)*100)</f>
        <v>0.48571190535699377</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9208</v>
      </c>
      <c r="C44" s="34" t="s">
        <v>111</v>
      </c>
      <c r="D44" s="174"/>
    </row>
    <row r="45" spans="1:7">
      <c r="A45" s="171" t="s">
        <v>72</v>
      </c>
      <c r="B45" s="33" t="str">
        <f t="shared" si="0"/>
        <v>-</v>
      </c>
      <c r="C45" s="34" t="s">
        <v>111</v>
      </c>
      <c r="D45" s="174"/>
    </row>
    <row r="46" spans="1:7">
      <c r="A46" s="171" t="s">
        <v>73</v>
      </c>
      <c r="B46" s="33">
        <f t="shared" si="0"/>
        <v>256.11381132075468</v>
      </c>
      <c r="C46" s="34" t="s">
        <v>111</v>
      </c>
      <c r="D46" s="174"/>
    </row>
    <row r="47" spans="1:7">
      <c r="A47" s="171" t="s">
        <v>74</v>
      </c>
      <c r="B47" s="33">
        <f t="shared" si="0"/>
        <v>2164.57479245283</v>
      </c>
      <c r="C47" s="34" t="s">
        <v>111</v>
      </c>
      <c r="D47" s="174"/>
    </row>
    <row r="48" spans="1:7">
      <c r="A48" s="171" t="s">
        <v>75</v>
      </c>
      <c r="B48" s="33">
        <f t="shared" si="0"/>
        <v>316.01139622641512</v>
      </c>
      <c r="C48" s="33">
        <f>B48*10</f>
        <v>3160.1139622641513</v>
      </c>
      <c r="D48" s="234"/>
    </row>
    <row r="49" spans="1:6">
      <c r="A49" s="171" t="s">
        <v>76</v>
      </c>
      <c r="B49" s="33" t="str">
        <f t="shared" si="0"/>
        <v>-</v>
      </c>
      <c r="C49" s="34" t="s">
        <v>111</v>
      </c>
      <c r="D49" s="234"/>
    </row>
    <row r="50" spans="1:6">
      <c r="A50" s="171" t="s">
        <v>77</v>
      </c>
      <c r="B50" s="33">
        <f t="shared" si="0"/>
        <v>58.299999999999955</v>
      </c>
      <c r="C50" s="33">
        <f>B50*2</f>
        <v>116.59999999999991</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39357.419258237278</v>
      </c>
      <c r="C5" s="17">
        <f>IF(ISERROR('Eigen informatie GS &amp; warmtenet'!B58),0,'Eigen informatie GS &amp; warmtenet'!B58)</f>
        <v>0</v>
      </c>
      <c r="D5" s="30">
        <f>SUM(D6:D12)</f>
        <v>45134.078703074607</v>
      </c>
      <c r="E5" s="17">
        <f>SUM(E6:E12)</f>
        <v>633.10430177198089</v>
      </c>
      <c r="F5" s="17">
        <f>SUM(F6:F12)</f>
        <v>6974.773810102577</v>
      </c>
      <c r="G5" s="18"/>
      <c r="H5" s="17"/>
      <c r="I5" s="17"/>
      <c r="J5" s="17">
        <f>SUM(J6:J12)</f>
        <v>8.6382372115842501E-2</v>
      </c>
      <c r="K5" s="17"/>
      <c r="L5" s="17"/>
      <c r="M5" s="17"/>
      <c r="N5" s="17">
        <f>SUM(N6:N12)</f>
        <v>3443.9527360323386</v>
      </c>
      <c r="O5" s="17">
        <f>B38*B39*B40</f>
        <v>4.6900000000000004</v>
      </c>
      <c r="P5" s="17">
        <f>B46*B47*B48/1000-B46*B47*B48/1000/B49</f>
        <v>38.133333333333333</v>
      </c>
      <c r="R5" s="32"/>
    </row>
    <row r="6" spans="1:18">
      <c r="A6" s="32" t="s">
        <v>54</v>
      </c>
      <c r="B6" s="37">
        <f>B26</f>
        <v>11972.4612680713</v>
      </c>
      <c r="C6" s="33"/>
      <c r="D6" s="37">
        <f>IF(ISERROR(TER_kantoor_gas_kWh/1000),0,TER_kantoor_gas_kWh/1000)*0.902</f>
        <v>10950.810365313648</v>
      </c>
      <c r="E6" s="33">
        <f>$C$26*'E Balans VL '!I12/100/3.6*1000000</f>
        <v>7.5039405250036453E-2</v>
      </c>
      <c r="F6" s="33">
        <f>$C$26*('E Balans VL '!L12+'E Balans VL '!N12)/100/3.6*1000000</f>
        <v>1799.1263861167115</v>
      </c>
      <c r="G6" s="34"/>
      <c r="H6" s="33"/>
      <c r="I6" s="33"/>
      <c r="J6" s="33">
        <f>$C$26*('E Balans VL '!D12+'E Balans VL '!E12)/100/3.6*1000000</f>
        <v>0</v>
      </c>
      <c r="K6" s="33"/>
      <c r="L6" s="33"/>
      <c r="M6" s="33"/>
      <c r="N6" s="33">
        <f>$C$26*'E Balans VL '!Y12/100/3.6*1000000</f>
        <v>11.449884090719001</v>
      </c>
      <c r="O6" s="33"/>
      <c r="P6" s="33"/>
      <c r="R6" s="32"/>
    </row>
    <row r="7" spans="1:18">
      <c r="A7" s="32" t="s">
        <v>53</v>
      </c>
      <c r="B7" s="37">
        <f t="shared" ref="B7:B12" si="0">B27</f>
        <v>2337.6091882570599</v>
      </c>
      <c r="C7" s="33"/>
      <c r="D7" s="37">
        <f>IF(ISERROR(TER_horeca_gas_kWh/1000),0,TER_horeca_gas_kWh/1000)*0.902</f>
        <v>4725.9685245631936</v>
      </c>
      <c r="E7" s="33">
        <f>$C$27*'E Balans VL '!I9/100/3.6*1000000</f>
        <v>33.47417420448059</v>
      </c>
      <c r="F7" s="33">
        <f>$C$27*('E Balans VL '!L9+'E Balans VL '!N9)/100/3.6*1000000</f>
        <v>296.01842055461344</v>
      </c>
      <c r="G7" s="34"/>
      <c r="H7" s="33"/>
      <c r="I7" s="33"/>
      <c r="J7" s="33">
        <f>$C$27*('E Balans VL '!D9+'E Balans VL '!E9)/100/3.6*1000000</f>
        <v>0</v>
      </c>
      <c r="K7" s="33"/>
      <c r="L7" s="33"/>
      <c r="M7" s="33"/>
      <c r="N7" s="33">
        <f>$C$27*'E Balans VL '!Y9/100/3.6*1000000</f>
        <v>0.67201110176546786</v>
      </c>
      <c r="O7" s="33"/>
      <c r="P7" s="33"/>
      <c r="R7" s="32"/>
    </row>
    <row r="8" spans="1:18">
      <c r="A8" s="6" t="s">
        <v>52</v>
      </c>
      <c r="B8" s="37">
        <f t="shared" si="0"/>
        <v>14260.371889666199</v>
      </c>
      <c r="C8" s="33"/>
      <c r="D8" s="37">
        <f>IF(ISERROR(TER_handel_gas_kWh/1000),0,TER_handel_gas_kWh/1000)*0.902</f>
        <v>13183.007618998781</v>
      </c>
      <c r="E8" s="33">
        <f>$C$28*'E Balans VL '!I13/100/3.6*1000000</f>
        <v>517.22192992791565</v>
      </c>
      <c r="F8" s="33">
        <f>$C$28*('E Balans VL '!L13+'E Balans VL '!N13)/100/3.6*1000000</f>
        <v>2746.6920213954691</v>
      </c>
      <c r="G8" s="34"/>
      <c r="H8" s="33"/>
      <c r="I8" s="33"/>
      <c r="J8" s="33">
        <f>$C$28*('E Balans VL '!D13+'E Balans VL '!E13)/100/3.6*1000000</f>
        <v>0</v>
      </c>
      <c r="K8" s="33"/>
      <c r="L8" s="33"/>
      <c r="M8" s="33"/>
      <c r="N8" s="33">
        <f>$C$28*'E Balans VL '!Y13/100/3.6*1000000</f>
        <v>19.753896232423916</v>
      </c>
      <c r="O8" s="33"/>
      <c r="P8" s="33"/>
      <c r="R8" s="32"/>
    </row>
    <row r="9" spans="1:18">
      <c r="A9" s="32" t="s">
        <v>51</v>
      </c>
      <c r="B9" s="37">
        <f t="shared" si="0"/>
        <v>1248.52633438006</v>
      </c>
      <c r="C9" s="33"/>
      <c r="D9" s="37">
        <f>IF(ISERROR(TER_gezond_gas_kWh/1000),0,TER_gezond_gas_kWh/1000)*0.902</f>
        <v>2499.9358015963371</v>
      </c>
      <c r="E9" s="33">
        <f>$C$29*'E Balans VL '!I10/100/3.6*1000000</f>
        <v>7.8170075502747752E-2</v>
      </c>
      <c r="F9" s="33">
        <f>$C$29*('E Balans VL '!L10+'E Balans VL '!N10)/100/3.6*1000000</f>
        <v>185.47238837281981</v>
      </c>
      <c r="G9" s="34"/>
      <c r="H9" s="33"/>
      <c r="I9" s="33"/>
      <c r="J9" s="33">
        <f>$C$29*('E Balans VL '!D10+'E Balans VL '!E10)/100/3.6*1000000</f>
        <v>0</v>
      </c>
      <c r="K9" s="33"/>
      <c r="L9" s="33"/>
      <c r="M9" s="33"/>
      <c r="N9" s="33">
        <f>$C$29*'E Balans VL '!Y10/100/3.6*1000000</f>
        <v>19.312325812684023</v>
      </c>
      <c r="O9" s="33"/>
      <c r="P9" s="33"/>
      <c r="R9" s="32"/>
    </row>
    <row r="10" spans="1:18">
      <c r="A10" s="32" t="s">
        <v>50</v>
      </c>
      <c r="B10" s="37">
        <f t="shared" si="0"/>
        <v>3346.0002047241601</v>
      </c>
      <c r="C10" s="33"/>
      <c r="D10" s="37">
        <f>IF(ISERROR(TER_ander_gas_kWh/1000),0,TER_ander_gas_kWh/1000)*0.902</f>
        <v>4292.8224771846517</v>
      </c>
      <c r="E10" s="33">
        <f>$C$30*'E Balans VL '!I14/100/3.6*1000000</f>
        <v>3.9883126781869596</v>
      </c>
      <c r="F10" s="33">
        <f>$C$30*('E Balans VL '!L14+'E Balans VL '!N14)/100/3.6*1000000</f>
        <v>875.46240504153309</v>
      </c>
      <c r="G10" s="34"/>
      <c r="H10" s="33"/>
      <c r="I10" s="33"/>
      <c r="J10" s="33">
        <f>$C$30*('E Balans VL '!D14+'E Balans VL '!E14)/100/3.6*1000000</f>
        <v>7.2628548485916308E-2</v>
      </c>
      <c r="K10" s="33"/>
      <c r="L10" s="33"/>
      <c r="M10" s="33"/>
      <c r="N10" s="33">
        <f>$C$30*'E Balans VL '!Y14/100/3.6*1000000</f>
        <v>2841.3414983792268</v>
      </c>
      <c r="O10" s="33"/>
      <c r="P10" s="33"/>
      <c r="R10" s="32"/>
    </row>
    <row r="11" spans="1:18">
      <c r="A11" s="32" t="s">
        <v>55</v>
      </c>
      <c r="B11" s="37">
        <f t="shared" si="0"/>
        <v>512.63195848403996</v>
      </c>
      <c r="C11" s="33"/>
      <c r="D11" s="37">
        <f>IF(ISERROR(TER_onderwijs_gas_kWh/1000),0,TER_onderwijs_gas_kWh/1000)*0.902</f>
        <v>1572.0112642400156</v>
      </c>
      <c r="E11" s="33">
        <f>$C$31*'E Balans VL '!I11/100/3.6*1000000</f>
        <v>7.7347905812420974</v>
      </c>
      <c r="F11" s="33">
        <f>$C$31*('E Balans VL '!L11+'E Balans VL '!N11)/100/3.6*1000000</f>
        <v>89.821308665576623</v>
      </c>
      <c r="G11" s="34"/>
      <c r="H11" s="33"/>
      <c r="I11" s="33"/>
      <c r="J11" s="33">
        <f>$C$31*('E Balans VL '!D11+'E Balans VL '!E11)/100/3.6*1000000</f>
        <v>0</v>
      </c>
      <c r="K11" s="33"/>
      <c r="L11" s="33"/>
      <c r="M11" s="33"/>
      <c r="N11" s="33">
        <f>$C$31*'E Balans VL '!Y11/100/3.6*1000000</f>
        <v>1.4425853029396898</v>
      </c>
      <c r="O11" s="33"/>
      <c r="P11" s="33"/>
      <c r="R11" s="32"/>
    </row>
    <row r="12" spans="1:18">
      <c r="A12" s="32" t="s">
        <v>260</v>
      </c>
      <c r="B12" s="37">
        <f t="shared" si="0"/>
        <v>5679.81841465446</v>
      </c>
      <c r="C12" s="33"/>
      <c r="D12" s="37">
        <f>IF(ISERROR(TER_rest_gas_kWh/1000),0,TER_rest_gas_kWh/1000)*0.902</f>
        <v>7909.5226511779865</v>
      </c>
      <c r="E12" s="33">
        <f>$C$32*'E Balans VL '!I8/100/3.6*1000000</f>
        <v>70.531884899402783</v>
      </c>
      <c r="F12" s="33">
        <f>$C$32*('E Balans VL '!L8+'E Balans VL '!N8)/100/3.6*1000000</f>
        <v>982.18087995585256</v>
      </c>
      <c r="G12" s="34"/>
      <c r="H12" s="33"/>
      <c r="I12" s="33"/>
      <c r="J12" s="33">
        <f>$C$32*('E Balans VL '!D8+'E Balans VL '!E8)/100/3.6*1000000</f>
        <v>1.3753823629926193E-2</v>
      </c>
      <c r="K12" s="33"/>
      <c r="L12" s="33"/>
      <c r="M12" s="33"/>
      <c r="N12" s="33">
        <f>$C$32*'E Balans VL '!Y8/100/3.6*1000000</f>
        <v>549.98053511257956</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39357.419258237278</v>
      </c>
      <c r="C16" s="21">
        <f t="shared" ca="1" si="1"/>
        <v>0</v>
      </c>
      <c r="D16" s="21">
        <f t="shared" ca="1" si="1"/>
        <v>45134.078703074607</v>
      </c>
      <c r="E16" s="21">
        <f t="shared" si="1"/>
        <v>633.10430177198089</v>
      </c>
      <c r="F16" s="21">
        <f t="shared" ca="1" si="1"/>
        <v>6974.773810102577</v>
      </c>
      <c r="G16" s="21">
        <f t="shared" si="1"/>
        <v>0</v>
      </c>
      <c r="H16" s="21">
        <f t="shared" si="1"/>
        <v>0</v>
      </c>
      <c r="I16" s="21">
        <f t="shared" si="1"/>
        <v>0</v>
      </c>
      <c r="J16" s="21">
        <f t="shared" si="1"/>
        <v>8.6382372115842501E-2</v>
      </c>
      <c r="K16" s="21">
        <f t="shared" si="1"/>
        <v>0</v>
      </c>
      <c r="L16" s="21">
        <f t="shared" ca="1" si="1"/>
        <v>0</v>
      </c>
      <c r="M16" s="21">
        <f t="shared" si="1"/>
        <v>0</v>
      </c>
      <c r="N16" s="21">
        <f t="shared" ca="1" si="1"/>
        <v>3443.9527360323386</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0.19377451747750088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7626.4649259246289</v>
      </c>
      <c r="C20" s="23">
        <f t="shared" ref="C20:P20" ca="1" si="2">C16*C18</f>
        <v>0</v>
      </c>
      <c r="D20" s="23">
        <f t="shared" ca="1" si="2"/>
        <v>9117.0838980210719</v>
      </c>
      <c r="E20" s="23">
        <f t="shared" si="2"/>
        <v>143.71467650223966</v>
      </c>
      <c r="F20" s="23">
        <f t="shared" ca="1" si="2"/>
        <v>1862.2646072973882</v>
      </c>
      <c r="G20" s="23">
        <f t="shared" si="2"/>
        <v>0</v>
      </c>
      <c r="H20" s="23">
        <f t="shared" si="2"/>
        <v>0</v>
      </c>
      <c r="I20" s="23">
        <f t="shared" si="2"/>
        <v>0</v>
      </c>
      <c r="J20" s="23">
        <f t="shared" si="2"/>
        <v>3.0579359729008243E-2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11972.4612680713</v>
      </c>
      <c r="C26" s="39">
        <f>IF(ISERROR(B26*3.6/1000000/'E Balans VL '!Z12*100),0,B26*3.6/1000000/'E Balans VL '!Z12*100)</f>
        <v>0.25307886529640589</v>
      </c>
      <c r="D26" s="237" t="s">
        <v>754</v>
      </c>
      <c r="F26" s="6"/>
    </row>
    <row r="27" spans="1:18">
      <c r="A27" s="231" t="s">
        <v>53</v>
      </c>
      <c r="B27" s="33">
        <f>IF(ISERROR(TER_horeca_ele_kWh/1000),0,TER_horeca_ele_kWh/1000)</f>
        <v>2337.6091882570599</v>
      </c>
      <c r="C27" s="39">
        <f>IF(ISERROR(B27*3.6/1000000/'E Balans VL '!Z9*100),0,B27*3.6/1000000/'E Balans VL '!Z9*100)</f>
        <v>0.18427286103887955</v>
      </c>
      <c r="D27" s="237" t="s">
        <v>754</v>
      </c>
      <c r="F27" s="6"/>
    </row>
    <row r="28" spans="1:18">
      <c r="A28" s="171" t="s">
        <v>52</v>
      </c>
      <c r="B28" s="33">
        <f>IF(ISERROR(TER_handel_ele_kWh/1000),0,TER_handel_ele_kWh/1000)</f>
        <v>14260.371889666199</v>
      </c>
      <c r="C28" s="39">
        <f>IF(ISERROR(B28*3.6/1000000/'E Balans VL '!Z13*100),0,B28*3.6/1000000/'E Balans VL '!Z13*100)</f>
        <v>0.41389361059703622</v>
      </c>
      <c r="D28" s="237" t="s">
        <v>754</v>
      </c>
      <c r="F28" s="6"/>
    </row>
    <row r="29" spans="1:18">
      <c r="A29" s="231" t="s">
        <v>51</v>
      </c>
      <c r="B29" s="33">
        <f>IF(ISERROR(TER_gezond_ele_kWh/1000),0,TER_gezond_ele_kWh/1000)</f>
        <v>1248.52633438006</v>
      </c>
      <c r="C29" s="39">
        <f>IF(ISERROR(B29*3.6/1000000/'E Balans VL '!Z10*100),0,B29*3.6/1000000/'E Balans VL '!Z10*100)</f>
        <v>0.13149032435378705</v>
      </c>
      <c r="D29" s="237" t="s">
        <v>754</v>
      </c>
      <c r="F29" s="6"/>
    </row>
    <row r="30" spans="1:18">
      <c r="A30" s="231" t="s">
        <v>50</v>
      </c>
      <c r="B30" s="33">
        <f>IF(ISERROR(TER_ander_ele_kWh/1000),0,TER_ander_ele_kWh/1000)</f>
        <v>3346.0002047241601</v>
      </c>
      <c r="C30" s="39">
        <f>IF(ISERROR(B30*3.6/1000000/'E Balans VL '!Z14*100),0,B30*3.6/1000000/'E Balans VL '!Z14*100)</f>
        <v>0.24680170184808339</v>
      </c>
      <c r="D30" s="237" t="s">
        <v>754</v>
      </c>
      <c r="F30" s="6"/>
    </row>
    <row r="31" spans="1:18">
      <c r="A31" s="231" t="s">
        <v>55</v>
      </c>
      <c r="B31" s="33">
        <f>IF(ISERROR(TER_onderwijs_ele_kWh/1000),0,TER_onderwijs_ele_kWh/1000)</f>
        <v>512.63195848403996</v>
      </c>
      <c r="C31" s="39">
        <f>IF(ISERROR(B31*3.6/1000000/'E Balans VL '!Z11*100),0,B31*3.6/1000000/'E Balans VL '!Z11*100)</f>
        <v>0.12731052838670312</v>
      </c>
      <c r="D31" s="237" t="s">
        <v>754</v>
      </c>
    </row>
    <row r="32" spans="1:18">
      <c r="A32" s="231" t="s">
        <v>260</v>
      </c>
      <c r="B32" s="33">
        <f>IF(ISERROR(TER_rest_ele_kWh/1000),0,TER_rest_ele_kWh/1000)</f>
        <v>5679.81841465446</v>
      </c>
      <c r="C32" s="39">
        <f>IF(ISERROR(B32*3.6/1000000/'E Balans VL '!Z8*100),0,B32*3.6/1000000/'E Balans VL '!Z8*100)</f>
        <v>4.673736636003957E-2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42075.860118382137</v>
      </c>
      <c r="C5" s="17">
        <f>IF(ISERROR('Eigen informatie GS &amp; warmtenet'!B59),0,'Eigen informatie GS &amp; warmtenet'!B59)</f>
        <v>0</v>
      </c>
      <c r="D5" s="30">
        <f>SUM(D6:D15)</f>
        <v>26853.106594354715</v>
      </c>
      <c r="E5" s="17">
        <f>SUM(E6:E15)</f>
        <v>3148.3216338885259</v>
      </c>
      <c r="F5" s="17">
        <f>SUM(F6:F15)</f>
        <v>10518.417132112199</v>
      </c>
      <c r="G5" s="18"/>
      <c r="H5" s="17"/>
      <c r="I5" s="17"/>
      <c r="J5" s="17">
        <f>SUM(J6:J15)</f>
        <v>114.85107907603934</v>
      </c>
      <c r="K5" s="17"/>
      <c r="L5" s="17"/>
      <c r="M5" s="17"/>
      <c r="N5" s="17">
        <f>SUM(N6:N15)</f>
        <v>10842.855570277741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1798.1145614601398</v>
      </c>
      <c r="C8" s="33"/>
      <c r="D8" s="37">
        <f>IF( ISERROR(IND_metaal_Gas_kWH/1000),0,IND_metaal_Gas_kWH/1000)*0.902</f>
        <v>856.27580936537231</v>
      </c>
      <c r="E8" s="33">
        <f>C30*'E Balans VL '!I18/100/3.6*1000000</f>
        <v>16.531926757067072</v>
      </c>
      <c r="F8" s="33">
        <f>C30*'E Balans VL '!L18/100/3.6*1000000+C30*'E Balans VL '!N18/100/3.6*1000000</f>
        <v>168.60328057137062</v>
      </c>
      <c r="G8" s="34"/>
      <c r="H8" s="33"/>
      <c r="I8" s="33"/>
      <c r="J8" s="40">
        <f>C30*'E Balans VL '!D18/100/3.6*1000000+C30*'E Balans VL '!E18/100/3.6*1000000</f>
        <v>0</v>
      </c>
      <c r="K8" s="33"/>
      <c r="L8" s="33"/>
      <c r="M8" s="33"/>
      <c r="N8" s="33">
        <f>C30*'E Balans VL '!Y18/100/3.6*1000000</f>
        <v>25.653075728675081</v>
      </c>
      <c r="O8" s="33"/>
      <c r="P8" s="33"/>
      <c r="R8" s="32"/>
    </row>
    <row r="9" spans="1:18">
      <c r="A9" s="6" t="s">
        <v>33</v>
      </c>
      <c r="B9" s="37">
        <f t="shared" si="0"/>
        <v>4630.2040245891403</v>
      </c>
      <c r="C9" s="33"/>
      <c r="D9" s="37">
        <f>IF( ISERROR(IND_andere_gas_kWh/1000),0,IND_andere_gas_kWh/1000)*0.902</f>
        <v>6532.4218643959221</v>
      </c>
      <c r="E9" s="33">
        <f>C31*'E Balans VL '!I19/100/3.6*1000000</f>
        <v>1353.4987758278787</v>
      </c>
      <c r="F9" s="33">
        <f>C31*'E Balans VL '!L19/100/3.6*1000000+C31*'E Balans VL '!N19/100/3.6*1000000</f>
        <v>3720.7194079983865</v>
      </c>
      <c r="G9" s="34"/>
      <c r="H9" s="33"/>
      <c r="I9" s="33"/>
      <c r="J9" s="40">
        <f>C31*'E Balans VL '!D19/100/3.6*1000000+C31*'E Balans VL '!E19/100/3.6*1000000</f>
        <v>0</v>
      </c>
      <c r="K9" s="33"/>
      <c r="L9" s="33"/>
      <c r="M9" s="33"/>
      <c r="N9" s="33">
        <f>C31*'E Balans VL '!Y19/100/3.6*1000000</f>
        <v>1529.8912190973845</v>
      </c>
      <c r="O9" s="33"/>
      <c r="P9" s="33"/>
      <c r="R9" s="32"/>
    </row>
    <row r="10" spans="1:18">
      <c r="A10" s="6" t="s">
        <v>41</v>
      </c>
      <c r="B10" s="37">
        <f t="shared" si="0"/>
        <v>1896.82150937914</v>
      </c>
      <c r="C10" s="33"/>
      <c r="D10" s="37">
        <f>IF( ISERROR(IND_voed_gas_kWh/1000),0,IND_voed_gas_kWh/1000)*0.902</f>
        <v>1823.8874322856695</v>
      </c>
      <c r="E10" s="33">
        <f>C32*'E Balans VL '!I20/100/3.6*1000000</f>
        <v>4.0127553136574088</v>
      </c>
      <c r="F10" s="33">
        <f>C32*'E Balans VL '!L20/100/3.6*1000000+C32*'E Balans VL '!N20/100/3.6*1000000</f>
        <v>120.60184911267986</v>
      </c>
      <c r="G10" s="34"/>
      <c r="H10" s="33"/>
      <c r="I10" s="33"/>
      <c r="J10" s="40">
        <f>C32*'E Balans VL '!D20/100/3.6*1000000+C32*'E Balans VL '!E20/100/3.6*1000000</f>
        <v>0</v>
      </c>
      <c r="K10" s="33"/>
      <c r="L10" s="33"/>
      <c r="M10" s="33"/>
      <c r="N10" s="33">
        <f>C32*'E Balans VL '!Y20/100/3.6*1000000</f>
        <v>130.89940243918886</v>
      </c>
      <c r="O10" s="33"/>
      <c r="P10" s="33"/>
      <c r="R10" s="32"/>
    </row>
    <row r="11" spans="1:18">
      <c r="A11" s="6" t="s">
        <v>40</v>
      </c>
      <c r="B11" s="37">
        <f t="shared" si="0"/>
        <v>942.54344567968099</v>
      </c>
      <c r="C11" s="33"/>
      <c r="D11" s="37">
        <f>IF( ISERROR(IND_textiel_gas_kWh/1000),0,IND_textiel_gas_kWh/1000)*0.902</f>
        <v>108.11409669717814</v>
      </c>
      <c r="E11" s="33">
        <f>C33*'E Balans VL '!I21/100/3.6*1000000</f>
        <v>2.7992727708014526</v>
      </c>
      <c r="F11" s="33">
        <f>C33*'E Balans VL '!L21/100/3.6*1000000+C33*'E Balans VL '!N21/100/3.6*1000000</f>
        <v>95.222764711318234</v>
      </c>
      <c r="G11" s="34"/>
      <c r="H11" s="33"/>
      <c r="I11" s="33"/>
      <c r="J11" s="40">
        <f>C33*'E Balans VL '!D21/100/3.6*1000000+C33*'E Balans VL '!E21/100/3.6*1000000</f>
        <v>0</v>
      </c>
      <c r="K11" s="33"/>
      <c r="L11" s="33"/>
      <c r="M11" s="33"/>
      <c r="N11" s="33">
        <f>C33*'E Balans VL '!Y21/100/3.6*1000000</f>
        <v>51.984279019266801</v>
      </c>
      <c r="O11" s="33"/>
      <c r="P11" s="33"/>
      <c r="R11" s="32"/>
    </row>
    <row r="12" spans="1:18">
      <c r="A12" s="6" t="s">
        <v>37</v>
      </c>
      <c r="B12" s="37">
        <f t="shared" si="0"/>
        <v>192.049047160736</v>
      </c>
      <c r="C12" s="33"/>
      <c r="D12" s="37">
        <f>IF( ISERROR(IND_min_gas_kWh/1000),0,IND_min_gas_kWh/1000)*0.902</f>
        <v>0</v>
      </c>
      <c r="E12" s="33">
        <f>C34*'E Balans VL '!I22/100/3.6*1000000</f>
        <v>5.5667110837168448</v>
      </c>
      <c r="F12" s="33">
        <f>C34*'E Balans VL '!L22/100/3.6*1000000+C34*'E Balans VL '!N22/100/3.6*1000000</f>
        <v>66.028632616461465</v>
      </c>
      <c r="G12" s="34"/>
      <c r="H12" s="33"/>
      <c r="I12" s="33"/>
      <c r="J12" s="40">
        <f>C34*'E Balans VL '!D22/100/3.6*1000000+C34*'E Balans VL '!E22/100/3.6*1000000</f>
        <v>0.31559445760219762</v>
      </c>
      <c r="K12" s="33"/>
      <c r="L12" s="33"/>
      <c r="M12" s="33"/>
      <c r="N12" s="33">
        <f>C34*'E Balans VL '!Y22/100/3.6*1000000</f>
        <v>42.042692421418032</v>
      </c>
      <c r="O12" s="33"/>
      <c r="P12" s="33"/>
      <c r="R12" s="32"/>
    </row>
    <row r="13" spans="1:18">
      <c r="A13" s="6" t="s">
        <v>39</v>
      </c>
      <c r="B13" s="37">
        <f t="shared" si="0"/>
        <v>650.92624469539896</v>
      </c>
      <c r="C13" s="33"/>
      <c r="D13" s="37">
        <f>IF( ISERROR(IND_papier_gas_kWh/1000),0,IND_papier_gas_kWh/1000)*0.902</f>
        <v>72.763905985689362</v>
      </c>
      <c r="E13" s="33">
        <f>C35*'E Balans VL '!I23/100/3.6*1000000</f>
        <v>0.92351547554625069</v>
      </c>
      <c r="F13" s="33">
        <f>C35*'E Balans VL '!L23/100/3.6*1000000+C35*'E Balans VL '!N23/100/3.6*1000000</f>
        <v>15.891557273504921</v>
      </c>
      <c r="G13" s="34"/>
      <c r="H13" s="33"/>
      <c r="I13" s="33"/>
      <c r="J13" s="40">
        <f>C35*'E Balans VL '!D23/100/3.6*1000000+C35*'E Balans VL '!E23/100/3.6*1000000</f>
        <v>0.10067185501013377</v>
      </c>
      <c r="K13" s="33"/>
      <c r="L13" s="33"/>
      <c r="M13" s="33"/>
      <c r="N13" s="33">
        <f>C35*'E Balans VL '!Y23/100/3.6*1000000</f>
        <v>1892.0885085038494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31965.201285417901</v>
      </c>
      <c r="C15" s="33"/>
      <c r="D15" s="37">
        <f>IF( ISERROR(IND_rest_gas_kWh/1000),0,IND_rest_gas_kWh/1000)*0.902</f>
        <v>17459.643485624885</v>
      </c>
      <c r="E15" s="33">
        <f>C37*'E Balans VL '!I15/100/3.6*1000000</f>
        <v>1764.9886766598579</v>
      </c>
      <c r="F15" s="33">
        <f>C37*'E Balans VL '!L15/100/3.6*1000000+C37*'E Balans VL '!N15/100/3.6*1000000</f>
        <v>6331.3496398284778</v>
      </c>
      <c r="G15" s="34"/>
      <c r="H15" s="33"/>
      <c r="I15" s="33"/>
      <c r="J15" s="40">
        <f>C37*'E Balans VL '!D15/100/3.6*1000000+C37*'E Balans VL '!E15/100/3.6*1000000</f>
        <v>114.434812763427</v>
      </c>
      <c r="K15" s="33"/>
      <c r="L15" s="33"/>
      <c r="M15" s="33"/>
      <c r="N15" s="33">
        <f>C37*'E Balans VL '!Y15/100/3.6*1000000</f>
        <v>7170.296393067958</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42075.860118382137</v>
      </c>
      <c r="C18" s="21">
        <f>C5+C16</f>
        <v>0</v>
      </c>
      <c r="D18" s="21">
        <f>MAX((D5+D16),0)</f>
        <v>26853.106594354715</v>
      </c>
      <c r="E18" s="21">
        <f>MAX((E5+E16),0)</f>
        <v>3148.3216338885259</v>
      </c>
      <c r="F18" s="21">
        <f>MAX((F5+F16),0)</f>
        <v>10518.417132112199</v>
      </c>
      <c r="G18" s="21"/>
      <c r="H18" s="21"/>
      <c r="I18" s="21"/>
      <c r="J18" s="21">
        <f>MAX((J5+J16),0)</f>
        <v>114.85107907603934</v>
      </c>
      <c r="K18" s="21"/>
      <c r="L18" s="21">
        <f>MAX((L5+L16),0)</f>
        <v>0</v>
      </c>
      <c r="M18" s="21"/>
      <c r="N18" s="21">
        <f>MAX((N5+N16),0)</f>
        <v>10842.855570277741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0.19377451747750088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8153.2294918903217</v>
      </c>
      <c r="C22" s="23">
        <f ca="1">C18*C20</f>
        <v>0</v>
      </c>
      <c r="D22" s="23">
        <f>D18*D20</f>
        <v>5424.3275320596531</v>
      </c>
      <c r="E22" s="23">
        <f>E18*E20</f>
        <v>714.66901089269538</v>
      </c>
      <c r="F22" s="23">
        <f>F18*F20</f>
        <v>2808.4173742739572</v>
      </c>
      <c r="G22" s="23"/>
      <c r="H22" s="23"/>
      <c r="I22" s="23"/>
      <c r="J22" s="23">
        <f>J18*J20</f>
        <v>40.657281992917923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1798.1145614601398</v>
      </c>
      <c r="C30" s="39">
        <f>IF(ISERROR(B30*3.6/1000000/'E Balans VL '!Z18*100),0,B30*3.6/1000000/'E Balans VL '!Z18*100)</f>
        <v>0.10190376286524165</v>
      </c>
      <c r="D30" s="237" t="s">
        <v>754</v>
      </c>
    </row>
    <row r="31" spans="1:18">
      <c r="A31" s="6" t="s">
        <v>33</v>
      </c>
      <c r="B31" s="37">
        <f>IF( ISERROR(IND_ander_ele_kWh/1000),0,IND_ander_ele_kWh/1000)</f>
        <v>4630.2040245891403</v>
      </c>
      <c r="C31" s="39">
        <f>IF(ISERROR(B31*3.6/1000000/'E Balans VL '!Z19*100),0,B31*3.6/1000000/'E Balans VL '!Z19*100)</f>
        <v>0.21000677472136461</v>
      </c>
      <c r="D31" s="237" t="s">
        <v>754</v>
      </c>
    </row>
    <row r="32" spans="1:18">
      <c r="A32" s="171" t="s">
        <v>41</v>
      </c>
      <c r="B32" s="37">
        <f>IF( ISERROR(IND_voed_ele_kWh/1000),0,IND_voed_ele_kWh/1000)</f>
        <v>1896.82150937914</v>
      </c>
      <c r="C32" s="39">
        <f>IF(ISERROR(B32*3.6/1000000/'E Balans VL '!Z20*100),0,B32*3.6/1000000/'E Balans VL '!Z20*100)</f>
        <v>5.8677300127688632E-2</v>
      </c>
      <c r="D32" s="237" t="s">
        <v>754</v>
      </c>
    </row>
    <row r="33" spans="1:5">
      <c r="A33" s="171" t="s">
        <v>40</v>
      </c>
      <c r="B33" s="37">
        <f>IF( ISERROR(IND_textiel_ele_kWh/1000),0,IND_textiel_ele_kWh/1000)</f>
        <v>942.54344567968099</v>
      </c>
      <c r="C33" s="39">
        <f>IF(ISERROR(B33*3.6/1000000/'E Balans VL '!Z21*100),0,B33*3.6/1000000/'E Balans VL '!Z21*100)</f>
        <v>0.1228971884127463</v>
      </c>
      <c r="D33" s="237" t="s">
        <v>754</v>
      </c>
    </row>
    <row r="34" spans="1:5">
      <c r="A34" s="171" t="s">
        <v>37</v>
      </c>
      <c r="B34" s="37">
        <f>IF( ISERROR(IND_min_ele_kWh/1000),0,IND_min_ele_kWh/1000)</f>
        <v>192.049047160736</v>
      </c>
      <c r="C34" s="39">
        <f>IF(ISERROR(B34*3.6/1000000/'E Balans VL '!Z22*100),0,B34*3.6/1000000/'E Balans VL '!Z22*100)</f>
        <v>3.4543631722952751E-2</v>
      </c>
      <c r="D34" s="237" t="s">
        <v>754</v>
      </c>
    </row>
    <row r="35" spans="1:5">
      <c r="A35" s="171" t="s">
        <v>39</v>
      </c>
      <c r="B35" s="37">
        <f>IF( ISERROR(IND_papier_ele_kWh/1000),0,IND_papier_ele_kWh/1000)</f>
        <v>650.92624469539896</v>
      </c>
      <c r="C35" s="39">
        <f>IF(ISERROR(B35*3.6/1000000/'E Balans VL '!Z22*100),0,B35*3.6/1000000/'E Balans VL '!Z22*100)</f>
        <v>0.11708132275576098</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31965.201285417901</v>
      </c>
      <c r="C37" s="39">
        <f>IF(ISERROR(B37*3.6/1000000/'E Balans VL '!Z15*100),0,B37*3.6/1000000/'E Balans VL '!Z15*100)</f>
        <v>0.25336347718764507</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1493.6406144741031</v>
      </c>
      <c r="C5" s="17">
        <f>'Eigen informatie GS &amp; warmtenet'!B60</f>
        <v>0</v>
      </c>
      <c r="D5" s="30">
        <f>IF(ISERROR(SUM(LB_lb_gas_kWh,LB_rest_gas_kWh)/1000),0,SUM(LB_lb_gas_kWh,LB_rest_gas_kWh)/1000)*0.902</f>
        <v>334.97279401820958</v>
      </c>
      <c r="E5" s="17">
        <f>B17*'E Balans VL '!I25/3.6*1000000/100</f>
        <v>43.902659764395487</v>
      </c>
      <c r="F5" s="17">
        <f>B17*('E Balans VL '!L25/3.6*1000000+'E Balans VL '!N25/3.6*1000000)/100</f>
        <v>6222.4260877966963</v>
      </c>
      <c r="G5" s="18"/>
      <c r="H5" s="17"/>
      <c r="I5" s="17"/>
      <c r="J5" s="17">
        <f>('E Balans VL '!D25+'E Balans VL '!E25)/3.6*1000000*landbouw!B17/100</f>
        <v>216.3964487379279</v>
      </c>
      <c r="K5" s="17"/>
      <c r="L5" s="17">
        <f>L6*(-1)</f>
        <v>0</v>
      </c>
      <c r="M5" s="17"/>
      <c r="N5" s="17">
        <f>N6*(-1)</f>
        <v>124.71428571428569</v>
      </c>
      <c r="O5" s="17"/>
      <c r="P5" s="17"/>
      <c r="R5" s="32"/>
    </row>
    <row r="6" spans="1:18">
      <c r="A6" s="16" t="s">
        <v>488</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1493.6406144741031</v>
      </c>
      <c r="C8" s="21">
        <f>C5+C6</f>
        <v>62.357142857142847</v>
      </c>
      <c r="D8" s="21">
        <f>MAX((D5+D6),0)</f>
        <v>334.97279401820958</v>
      </c>
      <c r="E8" s="21">
        <f>MAX((E5+E6),0)</f>
        <v>43.902659764395487</v>
      </c>
      <c r="F8" s="21">
        <f>MAX((F5+F6),0)</f>
        <v>6222.4260877966963</v>
      </c>
      <c r="G8" s="21"/>
      <c r="H8" s="21"/>
      <c r="I8" s="21"/>
      <c r="J8" s="21">
        <f>MAX((J5+J6),0)</f>
        <v>216.3964487379279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0.19377451747750088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289.42948935451727</v>
      </c>
      <c r="C12" s="23">
        <f ca="1">C8*C10</f>
        <v>0</v>
      </c>
      <c r="D12" s="23">
        <f>D8*D10</f>
        <v>67.664504391678335</v>
      </c>
      <c r="E12" s="23">
        <f>E8*E10</f>
        <v>9.9659037665177763</v>
      </c>
      <c r="F12" s="23">
        <f>F8*F10</f>
        <v>1661.3877654417181</v>
      </c>
      <c r="G12" s="23"/>
      <c r="H12" s="23"/>
      <c r="I12" s="23"/>
      <c r="J12" s="23">
        <f>J8*J10</f>
        <v>76.60434285322647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0.21195228934838997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380.11719962282984</v>
      </c>
      <c r="C26" s="247">
        <f>B26*'GWP N2O_CH4'!B5</f>
        <v>7982.4611920794268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120.9871268803216</v>
      </c>
      <c r="C27" s="247">
        <f>B27*'GWP N2O_CH4'!B5</f>
        <v>2540.7296644867533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4.9640876856578782</v>
      </c>
      <c r="C28" s="247">
        <f>B28*'GWP N2O_CH4'!B4</f>
        <v>1538.8671825539423</v>
      </c>
      <c r="D28" s="50"/>
    </row>
    <row r="29" spans="1:4">
      <c r="A29" s="41" t="s">
        <v>277</v>
      </c>
      <c r="B29" s="247">
        <f>B34*'ha_N2O bodem landbouw'!B4</f>
        <v>11.967188189781309</v>
      </c>
      <c r="C29" s="247">
        <f>B29*'GWP N2O_CH4'!B4</f>
        <v>3709.8283388322056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2.7308711041429115E-3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4.501429022958698E-4</v>
      </c>
      <c r="C5" s="463" t="s">
        <v>211</v>
      </c>
      <c r="D5" s="448">
        <f>SUM(D6:D11)</f>
        <v>1.646529952813917E-3</v>
      </c>
      <c r="E5" s="448">
        <f>SUM(E6:E11)</f>
        <v>2.3756545466275328E-3</v>
      </c>
      <c r="F5" s="461" t="s">
        <v>211</v>
      </c>
      <c r="G5" s="448">
        <f>SUM(G6:G11)</f>
        <v>1.0122778501479508</v>
      </c>
      <c r="H5" s="448">
        <f>SUM(H6:H11)</f>
        <v>0.18809377196394314</v>
      </c>
      <c r="I5" s="463" t="s">
        <v>211</v>
      </c>
      <c r="J5" s="463" t="s">
        <v>211</v>
      </c>
      <c r="K5" s="463" t="s">
        <v>211</v>
      </c>
      <c r="L5" s="463" t="s">
        <v>211</v>
      </c>
      <c r="M5" s="448">
        <f>SUM(M6:M11)</f>
        <v>6.4691907946744176E-2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1.5417088635904369E-4</v>
      </c>
      <c r="C6" s="449"/>
      <c r="D6" s="892">
        <f>vkm_2011_GW_PW*SUMIFS(TableVerdeelsleutelVkm[CNG],TableVerdeelsleutelVkm[Voertuigtype],"Lichte voertuigen")*SUMIFS(TableECFTransport[EnergieConsumptieFactor (PJ per km)],TableECFTransport[Index],CONCATENATE($A6,"_CNG_CNG"))</f>
        <v>4.6242417303713851E-4</v>
      </c>
      <c r="E6" s="892">
        <f>vkm_2011_GW_PW*SUMIFS(TableVerdeelsleutelVkm[LPG],TableVerdeelsleutelVkm[Voertuigtype],"Lichte voertuigen")*SUMIFS(TableECFTransport[EnergieConsumptieFactor (PJ per km)],TableECFTransport[Index],CONCATENATE($A6,"_LPG_LPG"))</f>
        <v>6.3173784432766545E-4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0.16333844723024485</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5.2595428782669866E-2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1.1094524100737855E-2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0.1104821259915718</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3.3672706994023653E-5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6.456202697411967E-3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1.1636847116391231E-4</v>
      </c>
      <c r="C8" s="449"/>
      <c r="D8" s="451">
        <f>vkm_2011_NGW_PW*SUMIFS(TableVerdeelsleutelVkm[CNG],TableVerdeelsleutelVkm[Voertuigtype],"Lichte voertuigen")*SUMIFS(TableECFTransport[EnergieConsumptieFactor (PJ per km)],TableECFTransport[Index],CONCATENATE($A8,"_CNG_CNG"))</f>
        <v>6.2059458364284946E-4</v>
      </c>
      <c r="E8" s="451">
        <f>vkm_2011_NGW_PW*SUMIFS(TableVerdeelsleutelVkm[LPG],TableVerdeelsleutelVkm[Voertuigtype],"Lichte voertuigen")*SUMIFS(TableECFTransport[EnergieConsumptieFactor (PJ per km)],TableECFTransport[Index],CONCATENATE($A8,"_LPG_LPG"))</f>
        <v>7.8517877125868418E-4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0.1891849926348691</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6.8593638959926553E-2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1.3076465506126352E-2</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4.7332642964693049E-2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1.3580858232087474E-5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2.765935039450254E-3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1.7960354477291384E-4</v>
      </c>
      <c r="C10" s="449"/>
      <c r="D10" s="451">
        <f>vkm_2011_SW_PW*SUMIFS(TableVerdeelsleutelVkm[CNG],TableVerdeelsleutelVkm[Voertuigtype],"Lichte voertuigen")*SUMIFS(TableECFTransport[EnergieConsumptieFactor (PJ per km)],TableECFTransport[Index],CONCATENATE($A10,"_CNG_CNG"))</f>
        <v>5.6351119613392902E-4</v>
      </c>
      <c r="E10" s="451">
        <f>vkm_2011_SW_PW*SUMIFS(TableVerdeelsleutelVkm[LPG],TableVerdeelsleutelVkm[Voertuigtype],"Lichte voertuigen")*SUMIFS(TableECFTransport[EnergieConsumptieFactor (PJ per km)],TableECFTransport[Index],CONCATENATE($A10,"_LPG_LPG"))</f>
        <v>9.5873793104118326E-4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0.22099126531520996</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6.6764982528935854E-2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1.4880903639915991E-2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0.28094837601136191</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9.2468127184756741E-5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1.6417876963101759E-2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125.03969508218604</v>
      </c>
      <c r="C14" s="21"/>
      <c r="D14" s="21">
        <f t="shared" ref="D14:M14" si="0">((D5)*10^9/3600)+D12</f>
        <v>457.36943133719916</v>
      </c>
      <c r="E14" s="21">
        <f t="shared" si="0"/>
        <v>659.90404072987019</v>
      </c>
      <c r="F14" s="21"/>
      <c r="G14" s="21">
        <f t="shared" si="0"/>
        <v>281188.29170776409</v>
      </c>
      <c r="H14" s="21">
        <f t="shared" si="0"/>
        <v>52248.269989984212</v>
      </c>
      <c r="I14" s="21"/>
      <c r="J14" s="21"/>
      <c r="K14" s="21"/>
      <c r="L14" s="21"/>
      <c r="M14" s="21">
        <f t="shared" si="0"/>
        <v>17969.97442965116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0.19377451747750088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24.22950658008444</v>
      </c>
      <c r="C18" s="23"/>
      <c r="D18" s="23">
        <f t="shared" ref="D18:M18" si="1">D14*D16</f>
        <v>92.388625130114235</v>
      </c>
      <c r="E18" s="23">
        <f t="shared" si="1"/>
        <v>149.79821724568055</v>
      </c>
      <c r="F18" s="23"/>
      <c r="G18" s="23">
        <f t="shared" si="1"/>
        <v>75077.273885973016</v>
      </c>
      <c r="H18" s="23">
        <f t="shared" si="1"/>
        <v>13009.819227506068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8.194045359385789E-3</v>
      </c>
      <c r="H50" s="321">
        <f t="shared" si="2"/>
        <v>0</v>
      </c>
      <c r="I50" s="321">
        <f t="shared" si="2"/>
        <v>0</v>
      </c>
      <c r="J50" s="321">
        <f t="shared" si="2"/>
        <v>0</v>
      </c>
      <c r="K50" s="321">
        <f t="shared" si="2"/>
        <v>0</v>
      </c>
      <c r="L50" s="321">
        <f t="shared" si="2"/>
        <v>0</v>
      </c>
      <c r="M50" s="321">
        <f t="shared" si="2"/>
        <v>4.6538560317397514E-4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8.194045359385789E-3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4.6538560317397514E-4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2276.1237109404969</v>
      </c>
      <c r="H54" s="21">
        <f t="shared" si="3"/>
        <v>0</v>
      </c>
      <c r="I54" s="21">
        <f t="shared" si="3"/>
        <v>0</v>
      </c>
      <c r="J54" s="21">
        <f t="shared" si="3"/>
        <v>0</v>
      </c>
      <c r="K54" s="21">
        <f t="shared" si="3"/>
        <v>0</v>
      </c>
      <c r="L54" s="21">
        <f t="shared" si="3"/>
        <v>0</v>
      </c>
      <c r="M54" s="21">
        <f t="shared" si="3"/>
        <v>129.27377865943754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0.19377451747750088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607.72503082111268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16606.012858647664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43.649999999999991</v>
      </c>
      <c r="C8" s="570">
        <f>B101</f>
        <v>0</v>
      </c>
      <c r="D8" s="1044"/>
      <c r="E8" s="1044">
        <f>E101</f>
        <v>0</v>
      </c>
      <c r="F8" s="1045"/>
      <c r="G8" s="571"/>
      <c r="H8" s="1044">
        <f>I101</f>
        <v>0</v>
      </c>
      <c r="I8" s="1044">
        <f>G101+F101</f>
        <v>0</v>
      </c>
      <c r="J8" s="1044">
        <f>H101+D101+C101</f>
        <v>51.35294117647058</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16649.662858647665</v>
      </c>
      <c r="C10" s="583">
        <f t="shared" ref="C10:L10" si="0">SUM(C8:C9)</f>
        <v>0</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62.357142857142847</v>
      </c>
      <c r="C17" s="595">
        <f>B102</f>
        <v>0</v>
      </c>
      <c r="D17" s="596"/>
      <c r="E17" s="596">
        <f>E102</f>
        <v>0</v>
      </c>
      <c r="F17" s="1050"/>
      <c r="G17" s="597"/>
      <c r="H17" s="595">
        <f>I102</f>
        <v>0</v>
      </c>
      <c r="I17" s="596">
        <f>G102+F102</f>
        <v>0</v>
      </c>
      <c r="J17" s="596">
        <f>H102+D102+C102</f>
        <v>73.361344537815114</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62.357142857142847</v>
      </c>
      <c r="C20" s="582">
        <f>SUM(C17:C19)</f>
        <v>0</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46025</v>
      </c>
      <c r="C28" s="796">
        <v>9140</v>
      </c>
      <c r="D28" s="653" t="s">
        <v>881</v>
      </c>
      <c r="E28" s="652" t="s">
        <v>882</v>
      </c>
      <c r="F28" s="652" t="s">
        <v>883</v>
      </c>
      <c r="G28" s="652" t="s">
        <v>884</v>
      </c>
      <c r="H28" s="652" t="s">
        <v>885</v>
      </c>
      <c r="I28" s="652" t="s">
        <v>882</v>
      </c>
      <c r="J28" s="795">
        <v>41158</v>
      </c>
      <c r="K28" s="795">
        <v>41275</v>
      </c>
      <c r="L28" s="652" t="s">
        <v>886</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9.6999999999999993</v>
      </c>
      <c r="N58" s="610">
        <f>SUM(N28:N57)</f>
        <v>43.649999999999991</v>
      </c>
      <c r="O58" s="610">
        <f t="shared" ref="O58:W58" si="2">SUM(O28:O57)</f>
        <v>62.357142857142847</v>
      </c>
      <c r="P58" s="610">
        <f t="shared" si="2"/>
        <v>0</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2019-08-12T08:35:05Z</dcterms:modified>
</cp:coreProperties>
</file>