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<sst xmlns="http://schemas.openxmlformats.org/spreadsheetml/2006/main" count="2410" uniqueCount="895">
  <si>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</si>
  <si>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</si>
  <si>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</si>
  <si>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</si>
  <si>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</si>
  <si>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</si>
  <si>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</si>
  <si>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</si>
  <si>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</si>
  <si>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</si>
  <si>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</si>
  <si>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</si>
  <si>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</si>
  <si>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</si>
  <si>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</si>
  <si>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</si>
  <si>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</si>
  <si>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</si>
  <si>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</si>
  <si>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</si>
  <si>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</si>
  <si>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</si>
  <si>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</si>
  <si>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</si>
  <si>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</si>
  <si>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</si>
  <si>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</si>
  <si>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</si>
  <si>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</si>
  <si>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</si>
  <si>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</si>
  <si>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</si>
  <si>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</si>
  <si>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</si>
  <si>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</si>
  <si>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</si>
  <si>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</si>
  <si>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</si>
  <si>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</si>
  <si>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</si>
  <si>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</si>
  <si>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</si>
  <si>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</si>
  <si>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</si>
  <si>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</si>
  <si>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</si>
  <si>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</si>
  <si>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</si>
  <si>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</si>
  <si>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</si>
  <si>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</si>
  <si>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</si>
  <si>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</si>
  <si>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</si>
  <si>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</si>
  <si>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</si>
  <si>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</si>
  <si>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</si>
  <si>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</si>
  <si>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</si>
  <si>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</si>
  <si>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</si>
  <si>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</si>
  <si>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</si>
  <si>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</si>
  <si>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</si>
  <si>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</si>
  <si>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</si>
  <si>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</si>
  <si>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</si>
  <si>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</si>
  <si>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</si>
  <si>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</si>
  <si>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</si>
  <si>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</si>
  <si>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</si>
  <si>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</si>
  <si>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</si>
  <si>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</si>
  <si>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</si>
  <si>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</si>
  <si>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</si>
  <si>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</si>
  <si>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</si>
  <si>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</si>
  <si>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</si>
  <si>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</si>
  <si>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</si>
  <si>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</si>
  <si>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</si>
  <si>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</si>
  <si>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</si>
  <si>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</si>
  <si>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</si>
  <si>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</si>
  <si>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</si>
  <si>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</si>
  <si>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</si>
  <si>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</si>
  <si>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</si>
  <si>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</si>
  <si>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</si>
  <si>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</si>
  <si>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</si>
  <si>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</si>
  <si>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</si>
  <si>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</si>
  <si>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</si>
  <si>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</si>
  <si>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</si>
  <si>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</si>
  <si>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</si>
  <si>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</si>
  <si>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</si>
  <si>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</si>
  <si>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</si>
  <si>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</si>
  <si>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</si>
  <si>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</si>
  <si>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</si>
  <si>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</si>
  <si>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</si>
  <si>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</si>
  <si>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</si>
  <si>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</si>
  <si>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</si>
  <si>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</si>
  <si>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</si>
  <si>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</si>
  <si>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</si>
  <si>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</si>
  <si>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</si>
  <si>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</si>
  <si>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</si>
  <si>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</si>
  <si>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</si>
  <si>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</si>
  <si>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</si>
  <si>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</si>
  <si>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</si>
  <si>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</si>
  <si>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</si>
  <si>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</si>
  <si>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</si>
  <si>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</si>
  <si>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</si>
  <si>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</si>
  <si>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</si>
  <si>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</si>
  <si>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</si>
  <si>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</si>
  <si>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</si>
  <si>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</si>
  <si>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</si>
  <si>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</si>
  <si>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</si>
  <si>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</si>
  <si>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</si>
  <si>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</si>
  <si>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</si>
  <si>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</si>
  <si>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</si>
  <si>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</si>
  <si>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</si>
  <si>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</si>
  <si>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</si>
  <si>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</si>
  <si>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</si>
  <si>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</si>
  <si>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</si>
  <si>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</si>
  <si>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</si>
  <si>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</si>
  <si>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</si>
  <si>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</si>
  <si>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</si>
  <si>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</si>
  <si>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</si>
  <si>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</si>
  <si>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</si>
  <si>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</si>
  <si>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</si>
  <si>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</si>
  <si>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</si>
  <si>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</si>
  <si>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</si>
  <si>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</si>
  <si>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</si>
  <si>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</si>
  <si>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</si>
  <si>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</si>
  <si>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</si>
  <si>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</si>
  <si>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</si>
  <si>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</si>
  <si>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</si>
  <si>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</si>
  <si>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</si>
  <si>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</si>
  <si>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</si>
  <si>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</si>
  <si>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</si>
  <si>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</si>
  <si>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</si>
  <si>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</si>
  <si>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</si>
  <si>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</si>
  <si>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</si>
  <si>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</si>
  <si>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</si>
  <si>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</si>
  <si>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</si>
  <si>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</si>
  <si>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</si>
  <si>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</si>
  <si>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</si>
  <si>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</si>
  <si>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</si>
  <si>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</si>
  <si>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</si>
  <si>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</si>
  <si>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</si>
  <si>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</si>
  <si>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</si>
  <si>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</si>
  <si>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</si>
  <si>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</si>
  <si>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</si>
  <si>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</si>
  <si>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</si>
  <si>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</si>
  <si>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</si>
  <si>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</si>
  <si>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</si>
  <si>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</si>
  <si>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</si>
  <si>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</si>
  <si>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</si>
  <si>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</si>
  <si>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</si>
  <si>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</si>
  <si>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</si>
  <si>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</si>
  <si>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</si>
  <si>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</si>
  <si>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</si>
  <si>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</si>
  <si>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</si>
  <si>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</si>
  <si>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</si>
  <si>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</si>
  <si>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</si>
  <si>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</si>
  <si>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</si>
  <si>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</si>
  <si>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</si>
  <si>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</si>
  <si>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</si>
  <si>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</si>
  <si>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</si>
  <si>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</si>
  <si>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</si>
  <si>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</si>
  <si>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</si>
  <si>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</si>
  <si>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</si>
  <si>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</si>
  <si>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</si>
  <si>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</si>
  <si>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</si>
  <si>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</si>
  <si>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</si>
  <si>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</si>
  <si>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</si>
  <si>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</si>
  <si>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</si>
  <si>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</si>
  <si>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</si>
  <si>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</si>
  <si>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</si>
  <si>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</si>
  <si>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</si>
  <si>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</si>
  <si>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</si>
  <si>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</si>
  <si>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</si>
  <si>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</si>
  <si>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</si>
  <si>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</si>
  <si>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</si>
  <si>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</si>
  <si>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</si>
  <si>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</si>
  <si>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</si>
  <si>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</si>
  <si>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</si>
  <si>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</si>
  <si>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</si>
  <si>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</si>
  <si>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</si>
  <si>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</si>
  <si>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</si>
  <si>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</si>
  <si>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</si>
  <si>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</si>
  <si>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</si>
  <si>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</si>
  <si>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</si>
  <si>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</si>
  <si>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</si>
  <si>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</si>
  <si>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</si>
  <si>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</si>
  <si>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</si>
  <si>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</si>
  <si>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</si>
  <si>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</si>
  <si>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</si>
  <si>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</si>
  <si>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</si>
  <si>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</si>
  <si>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</si>
  <si>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</si>
  <si>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</si>
  <si>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</si>
  <si>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</si>
  <si>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</si>
  <si>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</si>
  <si>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</si>
  <si>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</si>
  <si>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</si>
  <si>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</si>
  <si>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</si>
  <si>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</si>
  <si>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</si>
  <si>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</si>
  <si>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</si>
  <si>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</si>
  <si>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</si>
  <si>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</si>
  <si>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</si>
  <si>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</si>
  <si>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</si>
  <si>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</si>
  <si>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</si>
  <si>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</si>
  <si>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</si>
  <si>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</si>
  <si>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</si>
  <si>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</si>
  <si>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</si>
  <si>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</si>
  <si>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</si>
  <si>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</si>
  <si>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</si>
  <si>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</si>
  <si>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</si>
  <si>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</si>
  <si>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</si>
  <si>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</si>
  <si>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</si>
  <si>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</si>
  <si>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</si>
  <si>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</si>
  <si>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</si>
  <si>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</si>
  <si>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</si>
  <si>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</si>
  <si>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</si>
  <si>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</si>
  <si>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</si>
  <si>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</si>
  <si>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</si>
  <si>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</si>
  <si>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</si>
  <si>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</si>
  <si>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</si>
  <si>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</si>
  <si>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</si>
  <si>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</si>
  <si>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</si>
  <si>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</si>
  <si>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</si>
  <si>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</si>
  <si>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</si>
  <si>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</si>
  <si>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</si>
  <si>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</si>
  <si>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</si>
  <si>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</si>
  <si>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</si>
  <si>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</si>
  <si>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</si>
  <si>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</si>
  <si>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</si>
  <si>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</si>
  <si>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</si>
  <si>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</si>
  <si>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</si>
  <si>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</si>
  <si>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</si>
  <si>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</si>
  <si>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</si>
  <si>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</si>
  <si>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</si>
  <si>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</si>
  <si>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</si>
  <si>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</si>
  <si>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</si>
  <si>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</si>
  <si>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</si>
  <si>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</si>
  <si>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</si>
  <si>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</si>
  <si>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</si>
  <si>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</si>
  <si>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</si>
  <si>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</si>
  <si>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</si>
  <si>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</si>
  <si>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</si>
  <si>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</si>
  <si>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</si>
  <si>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</si>
  <si>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</si>
  <si>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</si>
  <si>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</si>
  <si>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</si>
  <si>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</si>
  <si>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</si>
  <si>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</si>
  <si>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</si>
  <si>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</si>
  <si>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</si>
  <si>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</si>
  <si>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</si>
  <si>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</si>
  <si>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</si>
  <si>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</si>
  <si>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</si>
  <si>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</si>
  <si>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</si>
  <si>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</si>
  <si>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</si>
  <si>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</si>
  <si>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</si>
  <si>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</si>
  <si>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</si>
  <si>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</si>
  <si>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</si>
  <si>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</si>
  <si>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</si>
  <si>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</si>
  <si>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</si>
  <si>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</si>
  <si>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</si>
  <si>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</si>
  <si>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</si>
  <si>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</si>
  <si>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</si>
  <si>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</si>
  <si>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</si>
  <si>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</si>
  <si>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</si>
  <si>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</si>
  <si>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</si>
  <si>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</si>
  <si>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</si>
  <si>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</si>
  <si>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</si>
  <si>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</si>
  <si>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</si>
  <si>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</si>
  <si>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</si>
  <si>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</si>
  <si>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</si>
  <si>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</si>
  <si>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</si>
  <si>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</si>
  <si>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</si>
  <si>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</si>
  <si>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</si>
  <si>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</si>
  <si>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</si>
  <si>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</si>
  <si>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</si>
  <si>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</si>
  <si>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</si>
  <si>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</si>
  <si>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</si>
  <si>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</si>
  <si>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</si>
  <si>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</si>
  <si>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</si>
  <si>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</si>
  <si>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</si>
  <si>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</si>
  <si>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</si>
  <si>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</si>
  <si>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</si>
  <si>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</si>
  <si>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</si>
  <si>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</si>
  <si>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</si>
  <si>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</si>
  <si>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</si>
  <si>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</si>
  <si>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</si>
  <si>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</si>
  <si>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</si>
  <si>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</si>
  <si>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</si>
  <si>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</si>
  <si>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</si>
  <si>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</si>
  <si>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</si>
  <si>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</si>
  <si>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</si>
  <si>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</si>
  <si>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</si>
  <si>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</si>
  <si>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</si>
  <si>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</si>
  <si>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</si>
  <si>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</si>
  <si>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</si>
  <si>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</si>
  <si>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</si>
  <si>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</si>
  <si>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</si>
  <si>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</si>
  <si>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</si>
  <si>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</si>
  <si>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</si>
  <si>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</si>
  <si>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</si>
  <si>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</si>
  <si>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</si>
  <si>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</si>
  <si>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</si>
  <si>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</si>
  <si>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</si>
  <si>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</si>
  <si>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</si>
  <si>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</si>
  <si>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</si>
  <si>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</si>
  <si>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</si>
  <si>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</si>
  <si>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</si>
  <si>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</si>
  <si>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</si>
  <si>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</si>
  <si>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</si>
  <si>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</si>
  <si>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</si>
  <si>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</si>
  <si>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</si>
  <si>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</si>
  <si>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</si>
  <si>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</si>
  <si>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</si>
  <si>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</si>
  <si>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</si>
  <si>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</si>
  <si>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</si>
  <si>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</si>
  <si>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</si>
  <si>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</si>
  <si>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</si>
  <si>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</si>
  <si>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</si>
  <si>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</si>
  <si>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</si>
  <si>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</si>
  <si>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</si>
  <si>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</si>
  <si>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</si>
  <si>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</si>
  <si>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</si>
  <si>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</si>
  <si>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</si>
  <si>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</si>
  <si>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</si>
  <si>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</si>
  <si>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</si>
  <si>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</si>
  <si>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</si>
  <si>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</si>
  <si>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</si>
  <si>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</si>
  <si>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</si>
  <si>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</si>
  <si>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</si>
  <si>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</si>
  <si>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</si>
  <si>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</si>
  <si>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</si>
  <si>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</si>
  <si>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</si>
  <si>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</si>
  <si>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</si>
  <si>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</si>
  <si>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</si>
  <si>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</si>
  <si>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</si>
  <si>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</si>
  <si>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</si>
  <si>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</si>
  <si>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</si>
  <si>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</si>
  <si>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</si>
  <si>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</si>
  <si>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</si>
  <si>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</si>
  <si>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</si>
  <si>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</si>
  <si>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</si>
  <si>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</si>
  <si>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</si>
  <si>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</si>
  <si>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</si>
  <si>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</si>
  <si>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</si>
  <si>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</si>
  <si>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</si>
  <si>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</si>
  <si>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</si>
  <si>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</si>
  <si>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</si>
  <si>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</si>
  <si>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</si>
  <si>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</si>
  <si>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</si>
  <si>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</si>
  <si>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</si>
  <si>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</si>
  <si>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</si>
  <si>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</si>
  <si>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</si>
  <si>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</si>
  <si>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</si>
  <si>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</si>
  <si>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</si>
  <si>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</si>
  <si>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</si>
  <si>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</si>
  <si>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</si>
  <si>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</si>
  <si>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</si>
  <si>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</si>
  <si>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</si>
  <si>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</si>
  <si>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</si>
  <si>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</si>
  <si>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</si>
  <si>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</si>
  <si>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</si>
  <si>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</si>
  <si>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</si>
  <si>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</si>
  <si>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</si>
  <si>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</si>
  <si>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</si>
  <si>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</si>
  <si>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</si>
  <si>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</si>
  <si>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</si>
  <si>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</si>
  <si>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</si>
  <si>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</si>
  <si>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</si>
  <si>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</si>
  <si>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</si>
  <si>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</si>
  <si>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</si>
  <si>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</si>
  <si>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</si>
  <si>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</si>
  <si>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</si>
  <si>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</si>
  <si>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</si>
  <si>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</si>
  <si>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</si>
  <si>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</si>
  <si>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</si>
  <si>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</si>
  <si>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</si>
  <si>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</si>
  <si>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</si>
  <si>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</si>
  <si>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</si>
  <si>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</si>
  <si>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</si>
  <si>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</si>
  <si>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</si>
  <si>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</si>
  <si>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</si>
  <si>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</si>
  <si>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</si>
  <si>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</si>
  <si>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</si>
  <si>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</si>
  <si>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</si>
  <si>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</si>
  <si>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</si>
  <si>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</si>
  <si>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</si>
  <si>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</si>
  <si>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</si>
  <si>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</si>
  <si>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</si>
  <si>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</si>
  <si>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</si>
  <si>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</si>
  <si>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</si>
  <si>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</si>
  <si>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</si>
  <si>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</si>
  <si>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</si>
  <si>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</si>
  <si>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</si>
  <si>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</si>
  <si>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</si>
  <si>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</si>
  <si>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</si>
  <si>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</si>
  <si>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</si>
  <si>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</si>
  <si>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</si>
  <si>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</si>
  <si>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</si>
  <si>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</si>
  <si>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</si>
  <si>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</si>
  <si>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</si>
  <si>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</si>
  <si>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</si>
  <si>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</si>
  <si>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</si>
  <si>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</si>
  <si>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</si>
  <si>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</si>
  <si>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</si>
  <si>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</si>
  <si>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</si>
  <si>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</si>
  <si>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</si>
  <si>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</si>
  <si>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</si>
  <si>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</si>
  <si>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</si>
  <si>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</si>
  <si>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</si>
  <si>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</si>
  <si>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</si>
  <si>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</si>
  <si>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</si>
  <si>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</si>
  <si>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</si>
  <si>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</si>
  <si>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</si>
  <si>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</si>
  <si>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</si>
  <si>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</si>
  <si>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</si>
  <si>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</si>
  <si>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</si>
  <si>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</si>
  <si>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</si>
  <si>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</si>
  <si>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</si>
  <si>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</si>
  <si>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</si>
  <si>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</si>
  <si>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</si>
  <si>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</si>
  <si>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</si>
  <si>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</si>
  <si>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</si>
  <si>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</si>
  <si>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</si>
  <si>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</si>
  <si>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</si>
  <si>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</si>
  <si>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</si>
  <si>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</si>
  <si>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</si>
  <si>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</si>
  <si>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</si>
  <si>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</si>
  <si>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</si>
  <si>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</si>
  <si>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</si>
  <si>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</si>
  <si>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</si>
  <si>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</si>
  <si>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</si>
  <si>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</si>
  <si>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</si>
  <si>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</si>
  <si>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</si>
  <si>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</si>
  <si>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</si>
  <si>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</si>
  <si>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</si>
  <si>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</si>
  <si>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</si>
  <si>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</si>
  <si>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</si>
  <si>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</si>
  <si>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</si>
  <si>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</si>
  <si>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</si>
  <si>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</si>
  <si>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</si>
  <si>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</si>
  <si>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</si>
  <si>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</si>
  <si>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</si>
  <si>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</si>
  <si>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</si>
  <si>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</si>
  <si>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</si>
  <si>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</si>
  <si>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</si>
  <si>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</si>
  <si>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</si>
  <si>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</si>
  <si>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</si>
  <si>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</si>
  <si>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</si>
  <si>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</si>
  <si>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</si>
  <si>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</si>
  <si>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</si>
  <si>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</si>
  <si>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</si>
  <si>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</si>
  <si>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</si>
  <si>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</si>
  <si>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</si>
  <si>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</si>
  <si>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</si>
  <si>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</si>
  <si>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</si>
  <si>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</si>
  <si>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</si>
  <si>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</si>
  <si>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</si>
  <si>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</si>
  <si>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</si>
  <si>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</si>
  <si>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</si>
  <si>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</si>
  <si>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</si>
  <si>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</si>
  <si>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</si>
  <si>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</si>
  <si>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</si>
  <si>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</si>
  <si>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</si>
  <si>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</si>
  <si>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</si>
  <si>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</si>
  <si>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</si>
  <si>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</si>
  <si>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</si>
  <si>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</si>
  <si>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</si>
  <si>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</si>
  <si>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</si>
  <si>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</si>
  <si>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46024</t>
  </si>
  <si>
    <t>STEKENE</t>
  </si>
  <si>
    <t>Eandis (januari 2018); Infrax (juni 2018)</t>
  </si>
  <si>
    <t>MOW (september 2017)</t>
  </si>
  <si>
    <t>referentietaak LNE (2017); Jaarverslag De Lijn (2016)</t>
  </si>
  <si>
    <t>VEA (april 2018)</t>
  </si>
  <si>
    <t>VEA (januari 2017)</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</si>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</sst>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145971.53860467806</c:v>
                </c:pt>
                <c:pt idx="1">
                  <c:v>31936.549210202418</c:v>
                </c:pt>
                <c:pt idx="2">
                  <c:v>1071.854</c:v>
                </c:pt>
                <c:pt idx="3">
                  <c:v>35497.4779646022</c:v>
                </c:pt>
                <c:pt idx="4">
                  <c:v>7932.7375294641879</c:v>
                </c:pt>
                <c:pt idx="5">
                  <c:v>173653.7693805345</c:v>
                </c:pt>
                <c:pt idx="6">
                  <c:v>1455.2753626049171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805056"/>
        <c:axId val="75806592"/>
      </c:barChart>
      <c:catAx>
        <c:axId val="75805056"/>
        <c:scaling>
          <c:orientation val="minMax"/>
        </c:scaling>
        <c:axPos val="b"/>
        <c:numFmt formatCode="General" sourceLinked="0"/>
        <c:tickLblPos val="nextTo"/>
        <c:crossAx val="75806592"/>
        <c:crosses val="autoZero"/>
        <c:auto val="1"/>
        <c:lblAlgn val="ctr"/>
        <c:lblOffset val="100"/>
      </c:catAx>
      <c:valAx>
        <c:axId val="75806592"/>
        <c:scaling>
          <c:orientation val="minMax"/>
        </c:scaling>
        <c:axPos val="l"/>
        <c:majorGridlines>
          <c:spPr>
            <a:ln>
              <a:noFill/>
            </a:ln>
          </c:spPr>
        </c:majorGridlines>
        <c:numFmt formatCode="#,##0" sourceLinked="1"/>
        <c:tickLblPos val="nextTo"/>
        <c:crossAx val="758050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145971.53860467806</c:v>
                </c:pt>
                <c:pt idx="1">
                  <c:v>31936.549210202418</c:v>
                </c:pt>
                <c:pt idx="2">
                  <c:v>1071.854</c:v>
                </c:pt>
                <c:pt idx="3">
                  <c:v>35497.4779646022</c:v>
                </c:pt>
                <c:pt idx="4">
                  <c:v>7932.7375294641879</c:v>
                </c:pt>
                <c:pt idx="5">
                  <c:v>173653.7693805345</c:v>
                </c:pt>
                <c:pt idx="6">
                  <c:v>1455.2753626049171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23178.849815052374</c:v>
                </c:pt>
                <c:pt idx="2">
                  <c:v>6085.266676537608</c:v>
                </c:pt>
                <c:pt idx="3">
                  <c:v>195.72403764885811</c:v>
                </c:pt>
                <c:pt idx="4">
                  <c:v>7135.3113859384903</c:v>
                </c:pt>
                <c:pt idx="5">
                  <c:v>1514.0785563522024</c:v>
                </c:pt>
                <c:pt idx="6">
                  <c:v>43536.799363896069</c:v>
                </c:pt>
                <c:pt idx="7">
                  <c:v>367.67614018728096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86272"/>
        <c:axId val="156488064"/>
      </c:barChart>
      <c:catAx>
        <c:axId val="156486272"/>
        <c:scaling>
          <c:orientation val="minMax"/>
        </c:scaling>
        <c:axPos val="b"/>
        <c:numFmt formatCode="General" sourceLinked="0"/>
        <c:tickLblPos val="nextTo"/>
        <c:crossAx val="156488064"/>
        <c:crosses val="autoZero"/>
        <c:auto val="1"/>
        <c:lblAlgn val="ctr"/>
        <c:lblOffset val="100"/>
      </c:catAx>
      <c:valAx>
        <c:axId val="156488064"/>
        <c:scaling>
          <c:orientation val="minMax"/>
        </c:scaling>
        <c:axPos val="l"/>
        <c:majorGridlines>
          <c:spPr>
            <a:ln>
              <a:noFill/>
            </a:ln>
          </c:spPr>
        </c:majorGridlines>
        <c:numFmt formatCode="#,##0" sourceLinked="1"/>
        <c:tickLblPos val="nextTo"/>
        <c:crossAx val="1564862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23178.849815052374</c:v>
                </c:pt>
                <c:pt idx="2">
                  <c:v>6085.266676537608</c:v>
                </c:pt>
                <c:pt idx="3">
                  <c:v>195.72403764885811</c:v>
                </c:pt>
                <c:pt idx="4">
                  <c:v>7135.3113859384903</c:v>
                </c:pt>
                <c:pt idx="5">
                  <c:v>1514.0785563522024</c:v>
                </c:pt>
                <c:pt idx="6">
                  <c:v>43536.799363896069</c:v>
                </c:pt>
                <c:pt idx="7">
                  <c:v>367.67614018728096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13852.842611719847</v>
      </c>
      <c r="D10" s="1013">
        <f ca="1">tertiair!C16</f>
        <v>0</v>
      </c>
      <c r="E10" s="1013">
        <f ca="1">tertiair!D16</f>
        <v>15312.940387647746</v>
      </c>
      <c r="F10" s="1013">
        <f>tertiair!E16</f>
        <v>232.95604955880336</v>
      </c>
      <c r="G10" s="1013">
        <f ca="1">tertiair!F16</f>
        <v>2267.0783682795409</v>
      </c>
      <c r="H10" s="1013">
        <f>tertiair!G16</f>
        <v>0</v>
      </c>
      <c r="I10" s="1013">
        <f>tertiair!H16</f>
        <v>0</v>
      </c>
      <c r="J10" s="1013">
        <f>tertiair!I16</f>
        <v>0</v>
      </c>
      <c r="K10" s="1013">
        <f>tertiair!J16</f>
        <v>3.2622314527449271E-2</v>
      </c>
      <c r="L10" s="1013">
        <f>tertiair!K16</f>
        <v>0</v>
      </c>
      <c r="M10" s="1013">
        <f ca="1">tertiair!L16</f>
        <v>0</v>
      </c>
      <c r="N10" s="1013">
        <f>tertiair!M16</f>
        <v>0</v>
      </c>
      <c r="O10" s="1013">
        <f ca="1">tertiair!N16</f>
        <v>1299.7298373486187</v>
      </c>
      <c r="P10" s="1013">
        <f>tertiair!O16</f>
        <v>4.6900000000000004</v>
      </c>
      <c r="Q10" s="1014">
        <f>tertiair!P16</f>
        <v>38.133333333333333</v>
      </c>
      <c r="R10" s="700">
        <f ca="1">SUM(C10:Q10)</f>
        <v>33008.403210202414</v>
      </c>
      <c r="S10" s="67"/>
    </row>
    <row r="11" spans="1:19" s="473" customFormat="1">
      <c r="A11" s="809" t="s">
        <v>225</v>
      </c>
      <c r="B11" s="814"/>
      <c r="C11" s="1013">
        <f>huishoudens!B8</f>
        <v>32353.480151147061</v>
      </c>
      <c r="D11" s="1013">
        <f>huishoudens!C8</f>
        <v>0</v>
      </c>
      <c r="E11" s="1013">
        <f>huishoudens!D8</f>
        <v>77324.54905967279</v>
      </c>
      <c r="F11" s="1013">
        <f>huishoudens!E8</f>
        <v>7275.0654905484571</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27568.367236643109</v>
      </c>
      <c r="P11" s="1013">
        <f>huishoudens!O8</f>
        <v>229.81</v>
      </c>
      <c r="Q11" s="1014">
        <f>huishoudens!P8</f>
        <v>1220.2666666666667</v>
      </c>
      <c r="R11" s="700">
        <f>SUM(C11:Q11)</f>
        <v>145971.53860467806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2700.2941752896195</v>
      </c>
      <c r="D13" s="1013">
        <f>industrie!C18</f>
        <v>0</v>
      </c>
      <c r="E13" s="1013">
        <f>industrie!D18</f>
        <v>2806.7322826437553</v>
      </c>
      <c r="F13" s="1013">
        <f>industrie!E18</f>
        <v>447.49859892774748</v>
      </c>
      <c r="G13" s="1013">
        <f>industrie!F18</f>
        <v>1316.7399409996565</v>
      </c>
      <c r="H13" s="1013">
        <f>industrie!G18</f>
        <v>0</v>
      </c>
      <c r="I13" s="1013">
        <f>industrie!H18</f>
        <v>0</v>
      </c>
      <c r="J13" s="1013">
        <f>industrie!I18</f>
        <v>0</v>
      </c>
      <c r="K13" s="1013">
        <f>industrie!J18</f>
        <v>2.498198072880975</v>
      </c>
      <c r="L13" s="1013">
        <f>industrie!K18</f>
        <v>0</v>
      </c>
      <c r="M13" s="1013">
        <f>industrie!L18</f>
        <v>0</v>
      </c>
      <c r="N13" s="1013">
        <f>industrie!M18</f>
        <v>0</v>
      </c>
      <c r="O13" s="1013">
        <f>industrie!N18</f>
        <v>658.97433353052861</v>
      </c>
      <c r="P13" s="1013">
        <f>industrie!O18</f>
        <v>0</v>
      </c>
      <c r="Q13" s="1014">
        <f>industrie!P18</f>
        <v>0</v>
      </c>
      <c r="R13" s="700">
        <f>SUM(C13:Q13)</f>
        <v>7932.7375294641879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48906.616938156534</v>
      </c>
      <c r="D16" s="732">
        <f t="shared" ref="D16:R16" ca="1" si="0">SUM(D9:D15)</f>
        <v>0</v>
      </c>
      <c r="E16" s="732">
        <f t="shared" ca="1" si="0"/>
        <v>95444.221729964294</v>
      </c>
      <c r="F16" s="732">
        <f t="shared" si="0"/>
        <v>7955.5201390350076</v>
      </c>
      <c r="G16" s="732">
        <f t="shared" ca="1" si="0"/>
        <v>3583.8183092791974</v>
      </c>
      <c r="H16" s="732">
        <f t="shared" si="0"/>
        <v>0</v>
      </c>
      <c r="I16" s="732">
        <f t="shared" si="0"/>
        <v>0</v>
      </c>
      <c r="J16" s="732">
        <f t="shared" si="0"/>
        <v>0</v>
      </c>
      <c r="K16" s="732">
        <f t="shared" si="0"/>
        <v>2.5308203874084243</v>
      </c>
      <c r="L16" s="732">
        <f t="shared" si="0"/>
        <v>0</v>
      </c>
      <c r="M16" s="732">
        <f t="shared" ca="1" si="0"/>
        <v>0</v>
      </c>
      <c r="N16" s="732">
        <f t="shared" si="0"/>
        <v>0</v>
      </c>
      <c r="O16" s="732">
        <f t="shared" ca="1" si="0"/>
        <v>29527.071407522257</v>
      </c>
      <c r="P16" s="732">
        <f t="shared" si="0"/>
        <v>234.5</v>
      </c>
      <c r="Q16" s="732">
        <f t="shared" si="0"/>
        <v>1258.4000000000001</v>
      </c>
      <c r="R16" s="732">
        <f t="shared" ca="1" si="0"/>
        <v>186912.67934434465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1377.064195457981</v>
      </c>
      <c r="I19" s="1013">
        <f>transport!H54</f>
        <v>0</v>
      </c>
      <c r="J19" s="1013">
        <f>transport!I54</f>
        <v>0</v>
      </c>
      <c r="K19" s="1013">
        <f>transport!J54</f>
        <v>0</v>
      </c>
      <c r="L19" s="1013">
        <f>transport!K54</f>
        <v>0</v>
      </c>
      <c r="M19" s="1013">
        <f>transport!L54</f>
        <v>0</v>
      </c>
      <c r="N19" s="1013">
        <f>transport!M54</f>
        <v>78.211167146936006</v>
      </c>
      <c r="O19" s="1013">
        <f>transport!N54</f>
        <v>0</v>
      </c>
      <c r="P19" s="1013">
        <f>transport!O54</f>
        <v>0</v>
      </c>
      <c r="Q19" s="1014">
        <f>transport!P54</f>
        <v>0</v>
      </c>
      <c r="R19" s="700">
        <f>SUM(C19:Q19)</f>
        <v>1455.2753626049171</v>
      </c>
      <c r="S19" s="67"/>
    </row>
    <row r="20" spans="1:19" s="473" customFormat="1">
      <c r="A20" s="809" t="s">
        <v>307</v>
      </c>
      <c r="B20" s="814"/>
      <c r="C20" s="1013">
        <f>transport!B14</f>
        <v>54.355931948164042</v>
      </c>
      <c r="D20" s="1013">
        <f>transport!C14</f>
        <v>0</v>
      </c>
      <c r="E20" s="1013">
        <f>transport!D14</f>
        <v>202.01078608710628</v>
      </c>
      <c r="F20" s="1013">
        <f>transport!E14</f>
        <v>297.48729987665467</v>
      </c>
      <c r="G20" s="1013">
        <f>transport!F14</f>
        <v>0</v>
      </c>
      <c r="H20" s="1013">
        <f>transport!G14</f>
        <v>141017.50483946688</v>
      </c>
      <c r="I20" s="1013">
        <f>transport!H14</f>
        <v>23160.097210322718</v>
      </c>
      <c r="J20" s="1013">
        <f>transport!I14</f>
        <v>0</v>
      </c>
      <c r="K20" s="1013">
        <f>transport!J14</f>
        <v>0</v>
      </c>
      <c r="L20" s="1013">
        <f>transport!K14</f>
        <v>0</v>
      </c>
      <c r="M20" s="1013">
        <f>transport!L14</f>
        <v>0</v>
      </c>
      <c r="N20" s="1013">
        <f>transport!M14</f>
        <v>8922.3133128329937</v>
      </c>
      <c r="O20" s="1013">
        <f>transport!N14</f>
        <v>0</v>
      </c>
      <c r="P20" s="1013">
        <f>transport!O14</f>
        <v>0</v>
      </c>
      <c r="Q20" s="1014">
        <f>transport!P14</f>
        <v>0</v>
      </c>
      <c r="R20" s="700">
        <f>SUM(C20:Q20)</f>
        <v>173653.7693805345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54.355931948164042</v>
      </c>
      <c r="D22" s="812">
        <f t="shared" ref="D22:R22" si="1">SUM(D18:D21)</f>
        <v>0</v>
      </c>
      <c r="E22" s="812">
        <f t="shared" si="1"/>
        <v>202.01078608710628</v>
      </c>
      <c r="F22" s="812">
        <f t="shared" si="1"/>
        <v>297.48729987665467</v>
      </c>
      <c r="G22" s="812">
        <f t="shared" si="1"/>
        <v>0</v>
      </c>
      <c r="H22" s="812">
        <f t="shared" si="1"/>
        <v>142394.56903492488</v>
      </c>
      <c r="I22" s="812">
        <f t="shared" si="1"/>
        <v>23160.097210322718</v>
      </c>
      <c r="J22" s="812">
        <f t="shared" si="1"/>
        <v>0</v>
      </c>
      <c r="K22" s="812">
        <f t="shared" si="1"/>
        <v>0</v>
      </c>
      <c r="L22" s="812">
        <f t="shared" si="1"/>
        <v>0</v>
      </c>
      <c r="M22" s="812">
        <f t="shared" si="1"/>
        <v>0</v>
      </c>
      <c r="N22" s="812">
        <f t="shared" si="1"/>
        <v>9000.5244799799293</v>
      </c>
      <c r="O22" s="812">
        <f t="shared" si="1"/>
        <v>0</v>
      </c>
      <c r="P22" s="812">
        <f t="shared" si="1"/>
        <v>0</v>
      </c>
      <c r="Q22" s="812">
        <f t="shared" si="1"/>
        <v>0</v>
      </c>
      <c r="R22" s="812">
        <f t="shared" si="1"/>
        <v>175109.04474313941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2024.6858128738302</v>
      </c>
      <c r="D24" s="1013">
        <f>+landbouw!C8</f>
        <v>18585.000000000004</v>
      </c>
      <c r="E24" s="1013">
        <f>+landbouw!D8</f>
        <v>6100.2152697702513</v>
      </c>
      <c r="F24" s="1013">
        <f>+landbouw!E8</f>
        <v>59.511700144612959</v>
      </c>
      <c r="G24" s="1013">
        <f>+landbouw!F8</f>
        <v>8434.7316881536335</v>
      </c>
      <c r="H24" s="1013">
        <f>+landbouw!G8</f>
        <v>0</v>
      </c>
      <c r="I24" s="1013">
        <f>+landbouw!H8</f>
        <v>0</v>
      </c>
      <c r="J24" s="1013">
        <f>+landbouw!I8</f>
        <v>0</v>
      </c>
      <c r="K24" s="1013">
        <f>+landbouw!J8</f>
        <v>293.33349365986868</v>
      </c>
      <c r="L24" s="1013">
        <f>+landbouw!K8</f>
        <v>0</v>
      </c>
      <c r="M24" s="1013">
        <f>+landbouw!L8</f>
        <v>0</v>
      </c>
      <c r="N24" s="1013">
        <f>+landbouw!M8</f>
        <v>0</v>
      </c>
      <c r="O24" s="1013">
        <f>+landbouw!N8</f>
        <v>0</v>
      </c>
      <c r="P24" s="1013">
        <f>+landbouw!O8</f>
        <v>0</v>
      </c>
      <c r="Q24" s="1014">
        <f>+landbouw!P8</f>
        <v>0</v>
      </c>
      <c r="R24" s="700">
        <f>SUM(C24:Q24)</f>
        <v>35497.4779646022</v>
      </c>
      <c r="S24" s="67"/>
    </row>
    <row r="25" spans="1:19" s="473" customFormat="1" ht="15" thickBot="1">
      <c r="A25" s="831" t="s">
        <v>836</v>
      </c>
      <c r="B25" s="1016"/>
      <c r="C25" s="1017">
        <f>IF(Onbekend_ele_kWh="---",0,Onbekend_ele_kWh)/1000+IF(REST_rest_ele_kWh="---",0,REST_rest_ele_kWh)/1000</f>
        <v>1973.33130356888</v>
      </c>
      <c r="D25" s="1017"/>
      <c r="E25" s="1017">
        <f>IF(onbekend_gas_kWh="---",0,onbekend_gas_kWh)/1000+IF(REST_rest_gas_kWh="---",0,REST_rest_gas_kWh)/1000</f>
        <v>2839.8051532405298</v>
      </c>
      <c r="F25" s="1017"/>
      <c r="G25" s="1017"/>
      <c r="H25" s="1017"/>
      <c r="I25" s="1017"/>
      <c r="J25" s="1017"/>
      <c r="K25" s="1017"/>
      <c r="L25" s="1017"/>
      <c r="M25" s="1017"/>
      <c r="N25" s="1017"/>
      <c r="O25" s="1017"/>
      <c r="P25" s="1017"/>
      <c r="Q25" s="1018"/>
      <c r="R25" s="700">
        <f>SUM(C25:Q25)</f>
        <v>4813.1364568094095</v>
      </c>
      <c r="S25" s="67"/>
    </row>
    <row r="26" spans="1:19" s="473" customFormat="1" ht="15.75" thickBot="1">
      <c r="A26" s="705" t="s">
        <v>837</v>
      </c>
      <c r="B26" s="817"/>
      <c r="C26" s="812">
        <f>SUM(C24:C25)</f>
        <v>3998.0171164427102</v>
      </c>
      <c r="D26" s="812">
        <f t="shared" ref="D26:R26" si="2">SUM(D24:D25)</f>
        <v>18585.000000000004</v>
      </c>
      <c r="E26" s="812">
        <f t="shared" si="2"/>
        <v>8940.0204230107811</v>
      </c>
      <c r="F26" s="812">
        <f t="shared" si="2"/>
        <v>59.511700144612959</v>
      </c>
      <c r="G26" s="812">
        <f t="shared" si="2"/>
        <v>8434.7316881536335</v>
      </c>
      <c r="H26" s="812">
        <f t="shared" si="2"/>
        <v>0</v>
      </c>
      <c r="I26" s="812">
        <f t="shared" si="2"/>
        <v>0</v>
      </c>
      <c r="J26" s="812">
        <f t="shared" si="2"/>
        <v>0</v>
      </c>
      <c r="K26" s="812">
        <f t="shared" si="2"/>
        <v>293.33349365986868</v>
      </c>
      <c r="L26" s="812">
        <f t="shared" si="2"/>
        <v>0</v>
      </c>
      <c r="M26" s="812">
        <f t="shared" si="2"/>
        <v>0</v>
      </c>
      <c r="N26" s="812">
        <f t="shared" si="2"/>
        <v>0</v>
      </c>
      <c r="O26" s="812">
        <f t="shared" si="2"/>
        <v>0</v>
      </c>
      <c r="P26" s="812">
        <f t="shared" si="2"/>
        <v>0</v>
      </c>
      <c r="Q26" s="812">
        <f t="shared" si="2"/>
        <v>0</v>
      </c>
      <c r="R26" s="812">
        <f t="shared" si="2"/>
        <v>40310.614421411607</v>
      </c>
      <c r="S26" s="67"/>
    </row>
    <row r="27" spans="1:19" s="473" customFormat="1" ht="17.25" thickTop="1" thickBot="1">
      <c r="A27" s="706" t="s">
        <v>116</v>
      </c>
      <c r="B27" s="805"/>
      <c r="C27" s="707">
        <f ca="1">C22+C16+C26</f>
        <v>52958.989986547407</v>
      </c>
      <c r="D27" s="707">
        <f t="shared" ref="D27:R27" ca="1" si="3">D22+D16+D26</f>
        <v>18585.000000000004</v>
      </c>
      <c r="E27" s="707">
        <f t="shared" ca="1" si="3"/>
        <v>104586.25293906218</v>
      </c>
      <c r="F27" s="707">
        <f t="shared" si="3"/>
        <v>8312.5191390562741</v>
      </c>
      <c r="G27" s="707">
        <f t="shared" ca="1" si="3"/>
        <v>12018.54999743283</v>
      </c>
      <c r="H27" s="707">
        <f t="shared" si="3"/>
        <v>142394.56903492488</v>
      </c>
      <c r="I27" s="707">
        <f t="shared" si="3"/>
        <v>23160.097210322718</v>
      </c>
      <c r="J27" s="707">
        <f t="shared" si="3"/>
        <v>0</v>
      </c>
      <c r="K27" s="707">
        <f t="shared" si="3"/>
        <v>295.86431404727711</v>
      </c>
      <c r="L27" s="707">
        <f t="shared" si="3"/>
        <v>0</v>
      </c>
      <c r="M27" s="707">
        <f t="shared" ca="1" si="3"/>
        <v>0</v>
      </c>
      <c r="N27" s="707">
        <f t="shared" si="3"/>
        <v>9000.5244799799293</v>
      </c>
      <c r="O27" s="707">
        <f t="shared" ca="1" si="3"/>
        <v>29527.071407522257</v>
      </c>
      <c r="P27" s="707">
        <f t="shared" si="3"/>
        <v>234.5</v>
      </c>
      <c r="Q27" s="707">
        <f t="shared" si="3"/>
        <v>1258.4000000000001</v>
      </c>
      <c r="R27" s="707">
        <f t="shared" ca="1" si="3"/>
        <v>402332.33850889566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2529.5742600017925</v>
      </c>
      <c r="D40" s="1013">
        <f ca="1">tertiair!C20</f>
        <v>0</v>
      </c>
      <c r="E40" s="1013">
        <f ca="1">tertiair!D20</f>
        <v>3093.2139583048452</v>
      </c>
      <c r="F40" s="1013">
        <f>tertiair!E20</f>
        <v>52.881023249848361</v>
      </c>
      <c r="G40" s="1013">
        <f ca="1">tertiair!F20</f>
        <v>605.3099243306375</v>
      </c>
      <c r="H40" s="1013">
        <f>tertiair!G20</f>
        <v>0</v>
      </c>
      <c r="I40" s="1013">
        <f>tertiair!H20</f>
        <v>0</v>
      </c>
      <c r="J40" s="1013">
        <f>tertiair!I20</f>
        <v>0</v>
      </c>
      <c r="K40" s="1013">
        <f>tertiair!J20</f>
        <v>1.1548299342717042E-2</v>
      </c>
      <c r="L40" s="1013">
        <f>tertiair!K20</f>
        <v>0</v>
      </c>
      <c r="M40" s="1013">
        <f ca="1">tertiair!L20</f>
        <v>0</v>
      </c>
      <c r="N40" s="1013">
        <f>tertiair!M20</f>
        <v>0</v>
      </c>
      <c r="O40" s="1013">
        <f ca="1">tertiair!N20</f>
        <v>0</v>
      </c>
      <c r="P40" s="1013">
        <f>tertiair!O20</f>
        <v>0</v>
      </c>
      <c r="Q40" s="774">
        <f>tertiair!P20</f>
        <v>0</v>
      </c>
      <c r="R40" s="850">
        <f t="shared" ca="1" si="4"/>
        <v>6280.990714186466</v>
      </c>
    </row>
    <row r="41" spans="1:18">
      <c r="A41" s="822" t="s">
        <v>225</v>
      </c>
      <c r="B41" s="829"/>
      <c r="C41" s="1013">
        <f ca="1">huishoudens!B12</f>
        <v>5907.8510386439675</v>
      </c>
      <c r="D41" s="1013">
        <f ca="1">huishoudens!C12</f>
        <v>0</v>
      </c>
      <c r="E41" s="1013">
        <f>huishoudens!D12</f>
        <v>15619.558910053905</v>
      </c>
      <c r="F41" s="1013">
        <f>huishoudens!E12</f>
        <v>1651.4398663544998</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23178.849815052374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493.08252693685682</v>
      </c>
      <c r="D43" s="1013">
        <f ca="1">industrie!C22</f>
        <v>0</v>
      </c>
      <c r="E43" s="1013">
        <f>industrie!D22</f>
        <v>566.95992109403858</v>
      </c>
      <c r="F43" s="1013">
        <f>industrie!E22</f>
        <v>101.58218195659867</v>
      </c>
      <c r="G43" s="1013">
        <f>industrie!F22</f>
        <v>351.56956424690833</v>
      </c>
      <c r="H43" s="1013">
        <f>industrie!G22</f>
        <v>0</v>
      </c>
      <c r="I43" s="1013">
        <f>industrie!H22</f>
        <v>0</v>
      </c>
      <c r="J43" s="1013">
        <f>industrie!I22</f>
        <v>0</v>
      </c>
      <c r="K43" s="1013">
        <f>industrie!J22</f>
        <v>0.88436211779986507</v>
      </c>
      <c r="L43" s="1013">
        <f>industrie!K22</f>
        <v>0</v>
      </c>
      <c r="M43" s="1013">
        <f>industrie!L22</f>
        <v>0</v>
      </c>
      <c r="N43" s="1013">
        <f>industrie!M22</f>
        <v>0</v>
      </c>
      <c r="O43" s="1013">
        <f>industrie!N22</f>
        <v>0</v>
      </c>
      <c r="P43" s="1013">
        <f>industrie!O22</f>
        <v>0</v>
      </c>
      <c r="Q43" s="774">
        <f>industrie!P22</f>
        <v>0</v>
      </c>
      <c r="R43" s="849">
        <f t="shared" ca="1" si="4"/>
        <v>1514.0785563522024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8930.5078255826156</v>
      </c>
      <c r="D46" s="732">
        <f t="shared" ref="D46:Q46" ca="1" si="5">SUM(D39:D45)</f>
        <v>0</v>
      </c>
      <c r="E46" s="732">
        <f t="shared" ca="1" si="5"/>
        <v>19279.732789452792</v>
      </c>
      <c r="F46" s="732">
        <f t="shared" si="5"/>
        <v>1805.903071560947</v>
      </c>
      <c r="G46" s="732">
        <f t="shared" ca="1" si="5"/>
        <v>956.87948857754577</v>
      </c>
      <c r="H46" s="732">
        <f t="shared" si="5"/>
        <v>0</v>
      </c>
      <c r="I46" s="732">
        <f t="shared" si="5"/>
        <v>0</v>
      </c>
      <c r="J46" s="732">
        <f t="shared" si="5"/>
        <v>0</v>
      </c>
      <c r="K46" s="732">
        <f t="shared" si="5"/>
        <v>0.89591041714258213</v>
      </c>
      <c r="L46" s="732">
        <f t="shared" si="5"/>
        <v>0</v>
      </c>
      <c r="M46" s="732">
        <f t="shared" ca="1" si="5"/>
        <v>0</v>
      </c>
      <c r="N46" s="732">
        <f t="shared" si="5"/>
        <v>0</v>
      </c>
      <c r="O46" s="732">
        <f t="shared" ca="1" si="5"/>
        <v>0</v>
      </c>
      <c r="P46" s="732">
        <f t="shared" si="5"/>
        <v>0</v>
      </c>
      <c r="Q46" s="732">
        <f t="shared" si="5"/>
        <v>0</v>
      </c>
      <c r="R46" s="732">
        <f ca="1">SUM(R39:R45)</f>
        <v>30973.919085591046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367.67614018728096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367.67614018728096</v>
      </c>
    </row>
    <row r="50" spans="1:18">
      <c r="A50" s="825" t="s">
        <v>307</v>
      </c>
      <c r="B50" s="835"/>
      <c r="C50" s="703">
        <f ca="1">transport!B18</f>
        <v>9.9255705264534413</v>
      </c>
      <c r="D50" s="703">
        <f>transport!C18</f>
        <v>0</v>
      </c>
      <c r="E50" s="703">
        <f>transport!D18</f>
        <v>40.806178789595471</v>
      </c>
      <c r="F50" s="703">
        <f>transport!E18</f>
        <v>67.529617072000619</v>
      </c>
      <c r="G50" s="703">
        <f>transport!F18</f>
        <v>0</v>
      </c>
      <c r="H50" s="703">
        <f>transport!G18</f>
        <v>37651.673792137663</v>
      </c>
      <c r="I50" s="703">
        <f>transport!H18</f>
        <v>5766.864205370357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43536.799363896069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9.9255705264534413</v>
      </c>
      <c r="D52" s="732">
        <f t="shared" ref="D52:Q52" ca="1" si="6">SUM(D48:D51)</f>
        <v>0</v>
      </c>
      <c r="E52" s="732">
        <f t="shared" si="6"/>
        <v>40.806178789595471</v>
      </c>
      <c r="F52" s="732">
        <f t="shared" si="6"/>
        <v>67.529617072000619</v>
      </c>
      <c r="G52" s="732">
        <f t="shared" si="6"/>
        <v>0</v>
      </c>
      <c r="H52" s="732">
        <f t="shared" si="6"/>
        <v>38019.349932324942</v>
      </c>
      <c r="I52" s="732">
        <f t="shared" si="6"/>
        <v>5766.864205370357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43904.475504083348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369.71423558248267</v>
      </c>
      <c r="D54" s="703">
        <f ca="1">+landbouw!C12</f>
        <v>3163.9310924369752</v>
      </c>
      <c r="E54" s="703">
        <f>+landbouw!D12</f>
        <v>1232.2434844935908</v>
      </c>
      <c r="F54" s="703">
        <f>+landbouw!E12</f>
        <v>13.509155932827142</v>
      </c>
      <c r="G54" s="703">
        <f>+landbouw!F12</f>
        <v>2252.0733607370203</v>
      </c>
      <c r="H54" s="703">
        <f>+landbouw!G12</f>
        <v>0</v>
      </c>
      <c r="I54" s="703">
        <f>+landbouw!H12</f>
        <v>0</v>
      </c>
      <c r="J54" s="703">
        <f>+landbouw!I12</f>
        <v>0</v>
      </c>
      <c r="K54" s="703">
        <f>+landbouw!J12</f>
        <v>103.84005675559351</v>
      </c>
      <c r="L54" s="703">
        <f>+landbouw!K12</f>
        <v>0</v>
      </c>
      <c r="M54" s="703">
        <f>+landbouw!L12</f>
        <v>0</v>
      </c>
      <c r="N54" s="703">
        <f>+landbouw!M12</f>
        <v>0</v>
      </c>
      <c r="O54" s="703">
        <f>+landbouw!N12</f>
        <v>0</v>
      </c>
      <c r="P54" s="703">
        <f>+landbouw!O12</f>
        <v>0</v>
      </c>
      <c r="Q54" s="704">
        <f>+landbouw!P12</f>
        <v>0</v>
      </c>
      <c r="R54" s="731">
        <f ca="1">SUM(C54:Q54)</f>
        <v>7135.3113859384903</v>
      </c>
    </row>
    <row r="55" spans="1:18" ht="15" thickBot="1">
      <c r="A55" s="825" t="s">
        <v>836</v>
      </c>
      <c r="B55" s="835"/>
      <c r="C55" s="703">
        <f ca="1">C25*'EF ele_warmte'!B12</f>
        <v>360.33673462373207</v>
      </c>
      <c r="D55" s="703"/>
      <c r="E55" s="703">
        <f>E25*EF_CO2_aardgas</f>
        <v>573.64064095458707</v>
      </c>
      <c r="F55" s="703"/>
      <c r="G55" s="703"/>
      <c r="H55" s="703"/>
      <c r="I55" s="703"/>
      <c r="J55" s="703"/>
      <c r="K55" s="703"/>
      <c r="L55" s="703"/>
      <c r="M55" s="703"/>
      <c r="N55" s="703"/>
      <c r="O55" s="703"/>
      <c r="P55" s="703"/>
      <c r="Q55" s="704"/>
      <c r="R55" s="731">
        <f ca="1">SUM(C55:Q55)</f>
        <v>933.9773755783192</v>
      </c>
    </row>
    <row r="56" spans="1:18" ht="15.75" thickBot="1">
      <c r="A56" s="823" t="s">
        <v>837</v>
      </c>
      <c r="B56" s="836"/>
      <c r="C56" s="732">
        <f ca="1">SUM(C54:C55)</f>
        <v>730.05097020621474</v>
      </c>
      <c r="D56" s="732">
        <f t="shared" ref="D56:Q56" ca="1" si="7">SUM(D54:D55)</f>
        <v>3163.9310924369752</v>
      </c>
      <c r="E56" s="732">
        <f t="shared" si="7"/>
        <v>1805.8841254481779</v>
      </c>
      <c r="F56" s="732">
        <f t="shared" si="7"/>
        <v>13.509155932827142</v>
      </c>
      <c r="G56" s="732">
        <f t="shared" si="7"/>
        <v>2252.0733607370203</v>
      </c>
      <c r="H56" s="732">
        <f t="shared" si="7"/>
        <v>0</v>
      </c>
      <c r="I56" s="732">
        <f t="shared" si="7"/>
        <v>0</v>
      </c>
      <c r="J56" s="732">
        <f t="shared" si="7"/>
        <v>0</v>
      </c>
      <c r="K56" s="732">
        <f t="shared" si="7"/>
        <v>103.84005675559351</v>
      </c>
      <c r="L56" s="732">
        <f t="shared" si="7"/>
        <v>0</v>
      </c>
      <c r="M56" s="732">
        <f t="shared" si="7"/>
        <v>0</v>
      </c>
      <c r="N56" s="732">
        <f t="shared" si="7"/>
        <v>0</v>
      </c>
      <c r="O56" s="732">
        <f t="shared" si="7"/>
        <v>0</v>
      </c>
      <c r="P56" s="732">
        <f t="shared" si="7"/>
        <v>0</v>
      </c>
      <c r="Q56" s="733">
        <f t="shared" si="7"/>
        <v>0</v>
      </c>
      <c r="R56" s="734">
        <f ca="1">SUM(R54:R55)</f>
        <v>8069.2887615168092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9670.4843663152842</v>
      </c>
      <c r="D61" s="740">
        <f t="shared" ref="D61:Q61" ca="1" si="8">D46+D52+D56</f>
        <v>3163.9310924369752</v>
      </c>
      <c r="E61" s="740">
        <f t="shared" ca="1" si="8"/>
        <v>21126.423093690566</v>
      </c>
      <c r="F61" s="740">
        <f t="shared" si="8"/>
        <v>1886.9418445657745</v>
      </c>
      <c r="G61" s="740">
        <f t="shared" ca="1" si="8"/>
        <v>3208.9528493145663</v>
      </c>
      <c r="H61" s="740">
        <f t="shared" si="8"/>
        <v>38019.349932324942</v>
      </c>
      <c r="I61" s="740">
        <f t="shared" si="8"/>
        <v>5766.864205370357</v>
      </c>
      <c r="J61" s="740">
        <f t="shared" si="8"/>
        <v>0</v>
      </c>
      <c r="K61" s="740">
        <f t="shared" si="8"/>
        <v>104.7359671727361</v>
      </c>
      <c r="L61" s="740">
        <f t="shared" si="8"/>
        <v>0</v>
      </c>
      <c r="M61" s="740">
        <f t="shared" ca="1" si="8"/>
        <v>0</v>
      </c>
      <c r="N61" s="740">
        <f t="shared" si="8"/>
        <v>0</v>
      </c>
      <c r="O61" s="740">
        <f t="shared" ca="1" si="8"/>
        <v>0</v>
      </c>
      <c r="P61" s="740">
        <f t="shared" si="8"/>
        <v>0</v>
      </c>
      <c r="Q61" s="740">
        <f t="shared" si="8"/>
        <v>0</v>
      </c>
      <c r="R61" s="740">
        <f ca="1">R46+R52+R56</f>
        <v>82947.683351191212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0.18260326280338374</v>
      </c>
      <c r="D63" s="781">
        <f t="shared" ca="1" si="9"/>
        <v>0.17024111339451034</v>
      </c>
      <c r="E63" s="1024">
        <f t="shared" ca="1" si="9"/>
        <v>0.20200000000000007</v>
      </c>
      <c r="F63" s="781">
        <f t="shared" si="9"/>
        <v>0.22700000000000004</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6213.1433729301916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3690</v>
      </c>
      <c r="C76" s="750">
        <f>'lokale energieproductie'!B8*IFERROR(SUM(D76:H76)/SUM(D76:O76),0)</f>
        <v>9319.5</v>
      </c>
      <c r="D76" s="1034">
        <f>'lokale energieproductie'!C8</f>
        <v>10964.117647058822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4341.1764705882342</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2214.7517647058821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9903.1433729301916</v>
      </c>
      <c r="C78" s="755">
        <f>SUM(C72:C77)</f>
        <v>9319.5</v>
      </c>
      <c r="D78" s="756">
        <f t="shared" ref="D78:H78" si="10">SUM(D76:D77)</f>
        <v>10964.117647058822</v>
      </c>
      <c r="E78" s="756">
        <f t="shared" si="10"/>
        <v>0</v>
      </c>
      <c r="F78" s="756">
        <f t="shared" si="10"/>
        <v>0</v>
      </c>
      <c r="G78" s="756">
        <f t="shared" si="10"/>
        <v>0</v>
      </c>
      <c r="H78" s="756">
        <f t="shared" si="10"/>
        <v>0</v>
      </c>
      <c r="I78" s="756">
        <f>SUM(I76:I77)</f>
        <v>0</v>
      </c>
      <c r="J78" s="756">
        <f>SUM(J76:J77)</f>
        <v>4341.1764705882342</v>
      </c>
      <c r="K78" s="756">
        <f t="shared" ref="K78:L78" si="11">SUM(K76:K77)</f>
        <v>0</v>
      </c>
      <c r="L78" s="756">
        <f t="shared" si="11"/>
        <v>0</v>
      </c>
      <c r="M78" s="756">
        <f>SUM(M76:M77)</f>
        <v>0</v>
      </c>
      <c r="N78" s="756">
        <f>SUM(N76:N77)</f>
        <v>0</v>
      </c>
      <c r="O78" s="860">
        <f>SUM(O76:O77)</f>
        <v>0</v>
      </c>
      <c r="P78" s="757">
        <v>0</v>
      </c>
      <c r="Q78" s="757">
        <f>SUM(Q76:Q77)</f>
        <v>2214.7517647058821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5271.4285714285716</v>
      </c>
      <c r="C87" s="766">
        <f>'lokale energieproductie'!B17*IFERROR(SUM(D87:H87)/SUM(D87:O87),0)</f>
        <v>13313.571428571431</v>
      </c>
      <c r="D87" s="777">
        <f>'lokale energieproductie'!C17</f>
        <v>15663.025210084035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6201.680672268908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3163.9310924369752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5271.4285714285716</v>
      </c>
      <c r="C90" s="755">
        <f>SUM(C87:C89)</f>
        <v>13313.571428571431</v>
      </c>
      <c r="D90" s="755">
        <f t="shared" ref="D90:H90" si="12">SUM(D87:D89)</f>
        <v>15663.025210084035</v>
      </c>
      <c r="E90" s="755">
        <f t="shared" si="12"/>
        <v>0</v>
      </c>
      <c r="F90" s="755">
        <f t="shared" si="12"/>
        <v>0</v>
      </c>
      <c r="G90" s="755">
        <f t="shared" si="12"/>
        <v>0</v>
      </c>
      <c r="H90" s="755">
        <f t="shared" si="12"/>
        <v>0</v>
      </c>
      <c r="I90" s="755">
        <f>SUM(I87:I89)</f>
        <v>0</v>
      </c>
      <c r="J90" s="755">
        <f>SUM(J87:J89)</f>
        <v>6201.680672268908</v>
      </c>
      <c r="K90" s="755">
        <f t="shared" ref="K90:L90" si="13">SUM(K87:K89)</f>
        <v>0</v>
      </c>
      <c r="L90" s="755">
        <f t="shared" si="13"/>
        <v>0</v>
      </c>
      <c r="M90" s="755">
        <f>SUM(M87:M89)</f>
        <v>0</v>
      </c>
      <c r="N90" s="755">
        <f>SUM(N87:N89)</f>
        <v>0</v>
      </c>
      <c r="O90" s="755">
        <f>SUM(O87:O89)</f>
        <v>0</v>
      </c>
      <c r="P90" s="755">
        <v>0</v>
      </c>
      <c r="Q90" s="755">
        <f>SUM(Q87:Q89)</f>
        <v>3163.9310924369752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32353.480151147061</v>
      </c>
      <c r="C4" s="477">
        <f>huishoudens!C8</f>
        <v>0</v>
      </c>
      <c r="D4" s="477">
        <f>huishoudens!D8</f>
        <v>77324.54905967279</v>
      </c>
      <c r="E4" s="477">
        <f>huishoudens!E8</f>
        <v>7275.0654905484571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27568.367236643109</v>
      </c>
      <c r="O4" s="477">
        <f>huishoudens!O8</f>
        <v>229.81</v>
      </c>
      <c r="P4" s="478">
        <f>huishoudens!P8</f>
        <v>1220.2666666666667</v>
      </c>
      <c r="Q4" s="479">
        <f>SUM(B4:P4)</f>
        <v>145971.53860467806</v>
      </c>
    </row>
    <row r="5" spans="1:17">
      <c r="A5" s="476" t="s">
        <v>156</v>
      </c>
      <c r="B5" s="477">
        <f ca="1">tertiair!B16</f>
        <v>12780.988611719848</v>
      </c>
      <c r="C5" s="477">
        <f ca="1">tertiair!C16</f>
        <v>0</v>
      </c>
      <c r="D5" s="477">
        <f ca="1">tertiair!D16</f>
        <v>15312.940387647746</v>
      </c>
      <c r="E5" s="477">
        <f>tertiair!E16</f>
        <v>232.95604955880336</v>
      </c>
      <c r="F5" s="477">
        <f ca="1">tertiair!F16</f>
        <v>2267.0783682795409</v>
      </c>
      <c r="G5" s="477">
        <f>tertiair!G16</f>
        <v>0</v>
      </c>
      <c r="H5" s="477">
        <f>tertiair!H16</f>
        <v>0</v>
      </c>
      <c r="I5" s="477">
        <f>tertiair!I16</f>
        <v>0</v>
      </c>
      <c r="J5" s="477">
        <f>tertiair!J16</f>
        <v>3.2622314527449271E-2</v>
      </c>
      <c r="K5" s="477">
        <f>tertiair!K16</f>
        <v>0</v>
      </c>
      <c r="L5" s="477">
        <f ca="1">tertiair!L16</f>
        <v>0</v>
      </c>
      <c r="M5" s="477">
        <f>tertiair!M16</f>
        <v>0</v>
      </c>
      <c r="N5" s="477">
        <f ca="1">tertiair!N16</f>
        <v>1299.7298373486187</v>
      </c>
      <c r="O5" s="477">
        <f>tertiair!O16</f>
        <v>4.6900000000000004</v>
      </c>
      <c r="P5" s="478">
        <f>tertiair!P16</f>
        <v>38.133333333333333</v>
      </c>
      <c r="Q5" s="476">
        <f t="shared" ref="Q5:Q14" ca="1" si="0">SUM(B5:P5)</f>
        <v>31936.549210202418</v>
      </c>
    </row>
    <row r="6" spans="1:17">
      <c r="A6" s="476" t="s">
        <v>194</v>
      </c>
      <c r="B6" s="477">
        <f>'openbare verlichting'!B8</f>
        <v>1071.854</v>
      </c>
      <c r="C6" s="477"/>
      <c r="D6" s="477"/>
      <c r="E6" s="477"/>
      <c r="F6" s="477"/>
      <c r="G6" s="477"/>
      <c r="H6" s="477"/>
      <c r="I6" s="477"/>
      <c r="J6" s="477"/>
      <c r="K6" s="477"/>
      <c r="L6" s="477"/>
      <c r="M6" s="477"/>
      <c r="N6" s="477"/>
      <c r="O6" s="477"/>
      <c r="P6" s="478"/>
      <c r="Q6" s="476">
        <f t="shared" si="0"/>
        <v>1071.854</v>
      </c>
    </row>
    <row r="7" spans="1:17">
      <c r="A7" s="476" t="s">
        <v>112</v>
      </c>
      <c r="B7" s="477">
        <f>landbouw!B8</f>
        <v>2024.6858128738302</v>
      </c>
      <c r="C7" s="477">
        <f>landbouw!C8</f>
        <v>18585.000000000004</v>
      </c>
      <c r="D7" s="477">
        <f>landbouw!D8</f>
        <v>6100.2152697702513</v>
      </c>
      <c r="E7" s="477">
        <f>landbouw!E8</f>
        <v>59.511700144612959</v>
      </c>
      <c r="F7" s="477">
        <f>landbouw!F8</f>
        <v>8434.7316881536335</v>
      </c>
      <c r="G7" s="477">
        <f>landbouw!G8</f>
        <v>0</v>
      </c>
      <c r="H7" s="477">
        <f>landbouw!H8</f>
        <v>0</v>
      </c>
      <c r="I7" s="477">
        <f>landbouw!I8</f>
        <v>0</v>
      </c>
      <c r="J7" s="477">
        <f>landbouw!J8</f>
        <v>293.33349365986868</v>
      </c>
      <c r="K7" s="477">
        <f>landbouw!K8</f>
        <v>0</v>
      </c>
      <c r="L7" s="477">
        <f>landbouw!L8</f>
        <v>0</v>
      </c>
      <c r="M7" s="477">
        <f>landbouw!M8</f>
        <v>0</v>
      </c>
      <c r="N7" s="477">
        <f>landbouw!N8</f>
        <v>0</v>
      </c>
      <c r="O7" s="477">
        <f>landbouw!O8</f>
        <v>0</v>
      </c>
      <c r="P7" s="478">
        <f>landbouw!P8</f>
        <v>0</v>
      </c>
      <c r="Q7" s="476">
        <f t="shared" si="0"/>
        <v>35497.4779646022</v>
      </c>
    </row>
    <row r="8" spans="1:17">
      <c r="A8" s="476" t="s">
        <v>635</v>
      </c>
      <c r="B8" s="477">
        <f>industrie!B18</f>
        <v>2700.2941752896195</v>
      </c>
      <c r="C8" s="477">
        <f>industrie!C18</f>
        <v>0</v>
      </c>
      <c r="D8" s="477">
        <f>industrie!D18</f>
        <v>2806.7322826437553</v>
      </c>
      <c r="E8" s="477">
        <f>industrie!E18</f>
        <v>447.49859892774748</v>
      </c>
      <c r="F8" s="477">
        <f>industrie!F18</f>
        <v>1316.7399409996565</v>
      </c>
      <c r="G8" s="477">
        <f>industrie!G18</f>
        <v>0</v>
      </c>
      <c r="H8" s="477">
        <f>industrie!H18</f>
        <v>0</v>
      </c>
      <c r="I8" s="477">
        <f>industrie!I18</f>
        <v>0</v>
      </c>
      <c r="J8" s="477">
        <f>industrie!J18</f>
        <v>2.498198072880975</v>
      </c>
      <c r="K8" s="477">
        <f>industrie!K18</f>
        <v>0</v>
      </c>
      <c r="L8" s="477">
        <f>industrie!L18</f>
        <v>0</v>
      </c>
      <c r="M8" s="477">
        <f>industrie!M18</f>
        <v>0</v>
      </c>
      <c r="N8" s="477">
        <f>industrie!N18</f>
        <v>658.97433353052861</v>
      </c>
      <c r="O8" s="477">
        <f>industrie!O18</f>
        <v>0</v>
      </c>
      <c r="P8" s="478">
        <f>industrie!P18</f>
        <v>0</v>
      </c>
      <c r="Q8" s="476">
        <f t="shared" si="0"/>
        <v>7932.7375294641879</v>
      </c>
    </row>
    <row r="9" spans="1:17" s="482" customFormat="1">
      <c r="A9" s="480" t="s">
        <v>561</v>
      </c>
      <c r="B9" s="481">
        <f>transport!B14</f>
        <v>54.355931948164042</v>
      </c>
      <c r="C9" s="481">
        <f>transport!C14</f>
        <v>0</v>
      </c>
      <c r="D9" s="481">
        <f>transport!D14</f>
        <v>202.01078608710628</v>
      </c>
      <c r="E9" s="481">
        <f>transport!E14</f>
        <v>297.48729987665467</v>
      </c>
      <c r="F9" s="481">
        <f>transport!F14</f>
        <v>0</v>
      </c>
      <c r="G9" s="481">
        <f>transport!G14</f>
        <v>141017.50483946688</v>
      </c>
      <c r="H9" s="481">
        <f>transport!H14</f>
        <v>23160.097210322718</v>
      </c>
      <c r="I9" s="481">
        <f>transport!I14</f>
        <v>0</v>
      </c>
      <c r="J9" s="481">
        <f>transport!J14</f>
        <v>0</v>
      </c>
      <c r="K9" s="481">
        <f>transport!K14</f>
        <v>0</v>
      </c>
      <c r="L9" s="481">
        <f>transport!L14</f>
        <v>0</v>
      </c>
      <c r="M9" s="481">
        <f>transport!M14</f>
        <v>8922.3133128329937</v>
      </c>
      <c r="N9" s="481">
        <f>transport!N14</f>
        <v>0</v>
      </c>
      <c r="O9" s="481">
        <f>transport!O14</f>
        <v>0</v>
      </c>
      <c r="P9" s="481">
        <f>transport!P14</f>
        <v>0</v>
      </c>
      <c r="Q9" s="480">
        <f>SUM(B9:P9)</f>
        <v>173653.7693805345</v>
      </c>
    </row>
    <row r="10" spans="1:17">
      <c r="A10" s="476" t="s">
        <v>551</v>
      </c>
      <c r="B10" s="477">
        <f>transport!B54</f>
        <v>0</v>
      </c>
      <c r="C10" s="477">
        <f>transport!C54</f>
        <v>0</v>
      </c>
      <c r="D10" s="477">
        <f>transport!D54</f>
        <v>0</v>
      </c>
      <c r="E10" s="477">
        <f>transport!E54</f>
        <v>0</v>
      </c>
      <c r="F10" s="477">
        <f>transport!F54</f>
        <v>0</v>
      </c>
      <c r="G10" s="477">
        <f>transport!G54</f>
        <v>1377.064195457981</v>
      </c>
      <c r="H10" s="477">
        <f>transport!H54</f>
        <v>0</v>
      </c>
      <c r="I10" s="477">
        <f>transport!I54</f>
        <v>0</v>
      </c>
      <c r="J10" s="477">
        <f>transport!J54</f>
        <v>0</v>
      </c>
      <c r="K10" s="477">
        <f>transport!K54</f>
        <v>0</v>
      </c>
      <c r="L10" s="477">
        <f>transport!L54</f>
        <v>0</v>
      </c>
      <c r="M10" s="477">
        <f>transport!M54</f>
        <v>78.211167146936006</v>
      </c>
      <c r="N10" s="477">
        <f>transport!N54</f>
        <v>0</v>
      </c>
      <c r="O10" s="477">
        <f>transport!O54</f>
        <v>0</v>
      </c>
      <c r="P10" s="478">
        <f>transport!P54</f>
        <v>0</v>
      </c>
      <c r="Q10" s="476">
        <f t="shared" si="0"/>
        <v>1455.2753626049171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1973.33130356888</v>
      </c>
      <c r="C14" s="484"/>
      <c r="D14" s="484">
        <f>'SEAP template'!E25</f>
        <v>2839.8051532405298</v>
      </c>
      <c r="E14" s="484"/>
      <c r="F14" s="484"/>
      <c r="G14" s="484"/>
      <c r="H14" s="484"/>
      <c r="I14" s="484"/>
      <c r="J14" s="484"/>
      <c r="K14" s="484"/>
      <c r="L14" s="484"/>
      <c r="M14" s="484"/>
      <c r="N14" s="484"/>
      <c r="O14" s="484"/>
      <c r="P14" s="485"/>
      <c r="Q14" s="476">
        <f t="shared" si="0"/>
        <v>4813.1364568094095</v>
      </c>
    </row>
    <row r="15" spans="1:17" s="486" customFormat="1">
      <c r="A15" s="1039" t="s">
        <v>555</v>
      </c>
      <c r="B15" s="987">
        <f ca="1">SUM(B4:B14)</f>
        <v>52958.9899865474</v>
      </c>
      <c r="C15" s="987">
        <f t="shared" ref="C15:Q15" ca="1" si="1">SUM(C4:C14)</f>
        <v>18585.000000000004</v>
      </c>
      <c r="D15" s="987">
        <f t="shared" ca="1" si="1"/>
        <v>104586.25293906219</v>
      </c>
      <c r="E15" s="987">
        <f t="shared" si="1"/>
        <v>8312.5191390562759</v>
      </c>
      <c r="F15" s="987">
        <f t="shared" ca="1" si="1"/>
        <v>12018.54999743283</v>
      </c>
      <c r="G15" s="987">
        <f t="shared" si="1"/>
        <v>142394.56903492488</v>
      </c>
      <c r="H15" s="987">
        <f t="shared" si="1"/>
        <v>23160.097210322718</v>
      </c>
      <c r="I15" s="987">
        <f t="shared" si="1"/>
        <v>0</v>
      </c>
      <c r="J15" s="987">
        <f t="shared" si="1"/>
        <v>295.86431404727711</v>
      </c>
      <c r="K15" s="987">
        <f t="shared" si="1"/>
        <v>0</v>
      </c>
      <c r="L15" s="987">
        <f t="shared" ca="1" si="1"/>
        <v>0</v>
      </c>
      <c r="M15" s="987">
        <f t="shared" si="1"/>
        <v>9000.5244799799293</v>
      </c>
      <c r="N15" s="987">
        <f t="shared" ca="1" si="1"/>
        <v>29527.071407522257</v>
      </c>
      <c r="O15" s="987">
        <f t="shared" si="1"/>
        <v>234.5</v>
      </c>
      <c r="P15" s="987">
        <f t="shared" si="1"/>
        <v>1258.4000000000001</v>
      </c>
      <c r="Q15" s="987">
        <f t="shared" ca="1" si="1"/>
        <v>402332.33850889571</v>
      </c>
    </row>
    <row r="17" spans="1:17">
      <c r="A17" s="487" t="s">
        <v>556</v>
      </c>
      <c r="B17" s="786">
        <f ca="1">huishoudens!B10</f>
        <v>0.18260326280338376</v>
      </c>
      <c r="C17" s="786">
        <f ca="1">huishoudens!C10</f>
        <v>0.17024111339451034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5907.8510386439675</v>
      </c>
      <c r="C22" s="477">
        <f t="shared" ref="C22:C32" ca="1" si="3">C4*$C$17</f>
        <v>0</v>
      </c>
      <c r="D22" s="477">
        <f t="shared" ref="D22:D32" si="4">D4*$D$17</f>
        <v>15619.558910053905</v>
      </c>
      <c r="E22" s="477">
        <f t="shared" ref="E22:E32" si="5">E4*$E$17</f>
        <v>1651.4398663544998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23178.849815052374</v>
      </c>
    </row>
    <row r="23" spans="1:17">
      <c r="A23" s="476" t="s">
        <v>156</v>
      </c>
      <c r="B23" s="477">
        <f t="shared" ca="1" si="2"/>
        <v>2333.8502223529345</v>
      </c>
      <c r="C23" s="477">
        <f t="shared" ca="1" si="3"/>
        <v>0</v>
      </c>
      <c r="D23" s="477">
        <f t="shared" ca="1" si="4"/>
        <v>3093.2139583048452</v>
      </c>
      <c r="E23" s="477">
        <f t="shared" si="5"/>
        <v>52.881023249848361</v>
      </c>
      <c r="F23" s="477">
        <f t="shared" ca="1" si="6"/>
        <v>605.3099243306375</v>
      </c>
      <c r="G23" s="477">
        <f t="shared" si="7"/>
        <v>0</v>
      </c>
      <c r="H23" s="477">
        <f t="shared" si="8"/>
        <v>0</v>
      </c>
      <c r="I23" s="477">
        <f t="shared" si="9"/>
        <v>0</v>
      </c>
      <c r="J23" s="477">
        <f t="shared" si="10"/>
        <v>1.1548299342717042E-2</v>
      </c>
      <c r="K23" s="477">
        <f t="shared" si="11"/>
        <v>0</v>
      </c>
      <c r="L23" s="477">
        <f t="shared" ca="1" si="12"/>
        <v>0</v>
      </c>
      <c r="M23" s="477">
        <f t="shared" si="13"/>
        <v>0</v>
      </c>
      <c r="N23" s="477">
        <f t="shared" ca="1" si="14"/>
        <v>0</v>
      </c>
      <c r="O23" s="477">
        <f t="shared" si="15"/>
        <v>0</v>
      </c>
      <c r="P23" s="478">
        <f t="shared" si="16"/>
        <v>0</v>
      </c>
      <c r="Q23" s="476">
        <f t="shared" ref="Q23:Q32" ca="1" si="17">SUM(B23:P23)</f>
        <v>6085.266676537608</v>
      </c>
    </row>
    <row r="24" spans="1:17">
      <c r="A24" s="476" t="s">
        <v>194</v>
      </c>
      <c r="B24" s="477">
        <f t="shared" ca="1" si="2"/>
        <v>195.72403764885811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195.72403764885811</v>
      </c>
    </row>
    <row r="25" spans="1:17">
      <c r="A25" s="476" t="s">
        <v>112</v>
      </c>
      <c r="B25" s="477">
        <f t="shared" ca="1" si="2"/>
        <v>369.71423558248267</v>
      </c>
      <c r="C25" s="477">
        <f t="shared" ca="1" si="3"/>
        <v>3163.9310924369752</v>
      </c>
      <c r="D25" s="477">
        <f t="shared" si="4"/>
        <v>1232.2434844935908</v>
      </c>
      <c r="E25" s="477">
        <f t="shared" si="5"/>
        <v>13.509155932827142</v>
      </c>
      <c r="F25" s="477">
        <f t="shared" si="6"/>
        <v>2252.0733607370203</v>
      </c>
      <c r="G25" s="477">
        <f t="shared" si="7"/>
        <v>0</v>
      </c>
      <c r="H25" s="477">
        <f t="shared" si="8"/>
        <v>0</v>
      </c>
      <c r="I25" s="477">
        <f t="shared" si="9"/>
        <v>0</v>
      </c>
      <c r="J25" s="477">
        <f t="shared" si="10"/>
        <v>103.84005675559351</v>
      </c>
      <c r="K25" s="477">
        <f t="shared" si="11"/>
        <v>0</v>
      </c>
      <c r="L25" s="477">
        <f t="shared" si="12"/>
        <v>0</v>
      </c>
      <c r="M25" s="477">
        <f t="shared" si="13"/>
        <v>0</v>
      </c>
      <c r="N25" s="477">
        <f t="shared" si="14"/>
        <v>0</v>
      </c>
      <c r="O25" s="477">
        <f t="shared" si="15"/>
        <v>0</v>
      </c>
      <c r="P25" s="478">
        <f t="shared" si="16"/>
        <v>0</v>
      </c>
      <c r="Q25" s="476">
        <f t="shared" ca="1" si="17"/>
        <v>7135.3113859384903</v>
      </c>
    </row>
    <row r="26" spans="1:17">
      <c r="A26" s="476" t="s">
        <v>635</v>
      </c>
      <c r="B26" s="477">
        <f t="shared" ca="1" si="2"/>
        <v>493.08252693685682</v>
      </c>
      <c r="C26" s="477">
        <f t="shared" ca="1" si="3"/>
        <v>0</v>
      </c>
      <c r="D26" s="477">
        <f t="shared" si="4"/>
        <v>566.95992109403858</v>
      </c>
      <c r="E26" s="477">
        <f t="shared" si="5"/>
        <v>101.58218195659867</v>
      </c>
      <c r="F26" s="477">
        <f t="shared" si="6"/>
        <v>351.56956424690833</v>
      </c>
      <c r="G26" s="477">
        <f t="shared" si="7"/>
        <v>0</v>
      </c>
      <c r="H26" s="477">
        <f t="shared" si="8"/>
        <v>0</v>
      </c>
      <c r="I26" s="477">
        <f t="shared" si="9"/>
        <v>0</v>
      </c>
      <c r="J26" s="477">
        <f t="shared" si="10"/>
        <v>0.88436211779986507</v>
      </c>
      <c r="K26" s="477">
        <f t="shared" si="11"/>
        <v>0</v>
      </c>
      <c r="L26" s="477">
        <f t="shared" si="12"/>
        <v>0</v>
      </c>
      <c r="M26" s="477">
        <f t="shared" si="13"/>
        <v>0</v>
      </c>
      <c r="N26" s="477">
        <f t="shared" si="14"/>
        <v>0</v>
      </c>
      <c r="O26" s="477">
        <f t="shared" si="15"/>
        <v>0</v>
      </c>
      <c r="P26" s="478">
        <f t="shared" si="16"/>
        <v>0</v>
      </c>
      <c r="Q26" s="476">
        <f t="shared" ca="1" si="17"/>
        <v>1514.0785563522024</v>
      </c>
    </row>
    <row r="27" spans="1:17" s="482" customFormat="1">
      <c r="A27" s="480" t="s">
        <v>561</v>
      </c>
      <c r="B27" s="780">
        <f t="shared" ca="1" si="2"/>
        <v>9.9255705264534413</v>
      </c>
      <c r="C27" s="481">
        <f t="shared" ca="1" si="3"/>
        <v>0</v>
      </c>
      <c r="D27" s="481">
        <f t="shared" si="4"/>
        <v>40.806178789595471</v>
      </c>
      <c r="E27" s="481">
        <f t="shared" si="5"/>
        <v>67.529617072000619</v>
      </c>
      <c r="F27" s="481">
        <f t="shared" si="6"/>
        <v>0</v>
      </c>
      <c r="G27" s="481">
        <f t="shared" si="7"/>
        <v>37651.673792137663</v>
      </c>
      <c r="H27" s="481">
        <f t="shared" si="8"/>
        <v>5766.864205370357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43536.799363896069</v>
      </c>
    </row>
    <row r="28" spans="1:17">
      <c r="A28" s="476" t="s">
        <v>551</v>
      </c>
      <c r="B28" s="477">
        <f t="shared" ca="1" si="2"/>
        <v>0</v>
      </c>
      <c r="C28" s="477">
        <f t="shared" ca="1" si="3"/>
        <v>0</v>
      </c>
      <c r="D28" s="477">
        <f t="shared" si="4"/>
        <v>0</v>
      </c>
      <c r="E28" s="477">
        <f t="shared" si="5"/>
        <v>0</v>
      </c>
      <c r="F28" s="477">
        <f t="shared" si="6"/>
        <v>0</v>
      </c>
      <c r="G28" s="477">
        <f t="shared" si="7"/>
        <v>367.67614018728096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367.67614018728096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360.33673462373207</v>
      </c>
      <c r="C32" s="477">
        <f t="shared" ca="1" si="3"/>
        <v>0</v>
      </c>
      <c r="D32" s="477">
        <f t="shared" si="4"/>
        <v>573.64064095458707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933.9773755783192</v>
      </c>
    </row>
    <row r="33" spans="1:17" s="486" customFormat="1">
      <c r="A33" s="1039" t="s">
        <v>555</v>
      </c>
      <c r="B33" s="987">
        <f ca="1">SUM(B22:B32)</f>
        <v>9670.484366315286</v>
      </c>
      <c r="C33" s="987">
        <f t="shared" ref="C33:Q33" ca="1" si="18">SUM(C22:C32)</f>
        <v>3163.9310924369752</v>
      </c>
      <c r="D33" s="987">
        <f t="shared" ca="1" si="18"/>
        <v>21126.423093690566</v>
      </c>
      <c r="E33" s="987">
        <f t="shared" si="18"/>
        <v>1886.9418445657745</v>
      </c>
      <c r="F33" s="987">
        <f t="shared" ca="1" si="18"/>
        <v>3208.9528493145658</v>
      </c>
      <c r="G33" s="987">
        <f t="shared" si="18"/>
        <v>38019.349932324942</v>
      </c>
      <c r="H33" s="987">
        <f t="shared" si="18"/>
        <v>5766.864205370357</v>
      </c>
      <c r="I33" s="987">
        <f t="shared" si="18"/>
        <v>0</v>
      </c>
      <c r="J33" s="987">
        <f t="shared" si="18"/>
        <v>104.7359671727361</v>
      </c>
      <c r="K33" s="987">
        <f t="shared" si="18"/>
        <v>0</v>
      </c>
      <c r="L33" s="987">
        <f t="shared" ca="1" si="18"/>
        <v>0</v>
      </c>
      <c r="M33" s="987">
        <f t="shared" si="18"/>
        <v>0</v>
      </c>
      <c r="N33" s="987">
        <f t="shared" ca="1" si="18"/>
        <v>0</v>
      </c>
      <c r="O33" s="987">
        <f t="shared" si="18"/>
        <v>0</v>
      </c>
      <c r="P33" s="987">
        <f t="shared" si="18"/>
        <v>0</v>
      </c>
      <c r="Q33" s="987">
        <f t="shared" ca="1" si="18"/>
        <v>82947.683351191212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6213.1433729301916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3690</v>
      </c>
      <c r="C8" s="1056">
        <f>'SEAP template'!C76</f>
        <v>9319.5</v>
      </c>
      <c r="D8" s="1056">
        <f>'SEAP template'!D76</f>
        <v>10964.117647058822</v>
      </c>
      <c r="E8" s="1056">
        <f>'SEAP template'!E76</f>
        <v>0</v>
      </c>
      <c r="F8" s="1056">
        <f>'SEAP template'!F76</f>
        <v>0</v>
      </c>
      <c r="G8" s="1056">
        <f>'SEAP template'!G76</f>
        <v>0</v>
      </c>
      <c r="H8" s="1056">
        <f>'SEAP template'!H76</f>
        <v>0</v>
      </c>
      <c r="I8" s="1056">
        <f>'SEAP template'!I76</f>
        <v>0</v>
      </c>
      <c r="J8" s="1056">
        <f>'SEAP template'!J76</f>
        <v>4341.1764705882342</v>
      </c>
      <c r="K8" s="1056">
        <f>'SEAP template'!K76</f>
        <v>0</v>
      </c>
      <c r="L8" s="1056">
        <f>'SEAP template'!L76</f>
        <v>0</v>
      </c>
      <c r="M8" s="1056">
        <f>'SEAP template'!M76</f>
        <v>0</v>
      </c>
      <c r="N8" s="1056">
        <f>'SEAP template'!N76</f>
        <v>0</v>
      </c>
      <c r="O8" s="1056">
        <f>'SEAP template'!O76</f>
        <v>0</v>
      </c>
      <c r="P8" s="1057">
        <f>'SEAP template'!Q76</f>
        <v>2214.7517647058821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9903.1433729301916</v>
      </c>
      <c r="C10" s="1060">
        <f>SUM(C4:C9)</f>
        <v>9319.5</v>
      </c>
      <c r="D10" s="1060">
        <f t="shared" ref="D10:H10" si="0">SUM(D8:D9)</f>
        <v>10964.117647058822</v>
      </c>
      <c r="E10" s="1060">
        <f t="shared" si="0"/>
        <v>0</v>
      </c>
      <c r="F10" s="1060">
        <f t="shared" si="0"/>
        <v>0</v>
      </c>
      <c r="G10" s="1060">
        <f t="shared" si="0"/>
        <v>0</v>
      </c>
      <c r="H10" s="1060">
        <f t="shared" si="0"/>
        <v>0</v>
      </c>
      <c r="I10" s="1060">
        <f>SUM(I8:I9)</f>
        <v>0</v>
      </c>
      <c r="J10" s="1060">
        <f>SUM(J8:J9)</f>
        <v>4341.1764705882342</v>
      </c>
      <c r="K10" s="1060">
        <f t="shared" ref="K10:L10" si="1">SUM(K8:K9)</f>
        <v>0</v>
      </c>
      <c r="L10" s="1060">
        <f t="shared" si="1"/>
        <v>0</v>
      </c>
      <c r="M10" s="1060">
        <f>SUM(M8:M9)</f>
        <v>0</v>
      </c>
      <c r="N10" s="1060">
        <f>SUM(N8:N9)</f>
        <v>0</v>
      </c>
      <c r="O10" s="1060">
        <f>SUM(O8:O9)</f>
        <v>0</v>
      </c>
      <c r="P10" s="1060">
        <f>SUM(P8:P9)</f>
        <v>2214.7517647058821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0.18260326280338376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5271.4285714285716</v>
      </c>
      <c r="C17" s="1062">
        <f>'SEAP template'!C87</f>
        <v>13313.571428571431</v>
      </c>
      <c r="D17" s="1057">
        <f>'SEAP template'!D87</f>
        <v>15663.025210084035</v>
      </c>
      <c r="E17" s="1057">
        <f>'SEAP template'!E87</f>
        <v>0</v>
      </c>
      <c r="F17" s="1057">
        <f>'SEAP template'!F87</f>
        <v>0</v>
      </c>
      <c r="G17" s="1057">
        <f>'SEAP template'!G87</f>
        <v>0</v>
      </c>
      <c r="H17" s="1057">
        <f>'SEAP template'!H87</f>
        <v>0</v>
      </c>
      <c r="I17" s="1057">
        <f>'SEAP template'!I87</f>
        <v>0</v>
      </c>
      <c r="J17" s="1057">
        <f>'SEAP template'!J87</f>
        <v>6201.680672268908</v>
      </c>
      <c r="K17" s="1057">
        <f>'SEAP template'!K87</f>
        <v>0</v>
      </c>
      <c r="L17" s="1057">
        <f>'SEAP template'!L87</f>
        <v>0</v>
      </c>
      <c r="M17" s="1057">
        <f>'SEAP template'!M87</f>
        <v>0</v>
      </c>
      <c r="N17" s="1057">
        <f>'SEAP template'!N87</f>
        <v>0</v>
      </c>
      <c r="O17" s="1057">
        <f>'SEAP template'!O87</f>
        <v>0</v>
      </c>
      <c r="P17" s="1057">
        <f>'SEAP template'!Q87</f>
        <v>3163.9310924369752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5271.4285714285716</v>
      </c>
      <c r="C20" s="1060">
        <f>SUM(C17:C19)</f>
        <v>13313.571428571431</v>
      </c>
      <c r="D20" s="1060">
        <f t="shared" ref="D20:H20" si="2">SUM(D17:D19)</f>
        <v>15663.025210084035</v>
      </c>
      <c r="E20" s="1060">
        <f t="shared" si="2"/>
        <v>0</v>
      </c>
      <c r="F20" s="1060">
        <f t="shared" si="2"/>
        <v>0</v>
      </c>
      <c r="G20" s="1060">
        <f t="shared" si="2"/>
        <v>0</v>
      </c>
      <c r="H20" s="1060">
        <f t="shared" si="2"/>
        <v>0</v>
      </c>
      <c r="I20" s="1060">
        <f>SUM(I17:I19)</f>
        <v>0</v>
      </c>
      <c r="J20" s="1060">
        <f>SUM(J17:J19)</f>
        <v>6201.680672268908</v>
      </c>
      <c r="K20" s="1060">
        <f t="shared" ref="K20:L20" si="3">SUM(K17:K19)</f>
        <v>0</v>
      </c>
      <c r="L20" s="1060">
        <f t="shared" si="3"/>
        <v>0</v>
      </c>
      <c r="M20" s="1060">
        <f>SUM(M17:M19)</f>
        <v>0</v>
      </c>
      <c r="N20" s="1060">
        <f>SUM(N17:N19)</f>
        <v>0</v>
      </c>
      <c r="O20" s="1060">
        <f>SUM(O17:O19)</f>
        <v>0</v>
      </c>
      <c r="P20" s="1060">
        <f>SUM(P17:P19)</f>
        <v>3163.9310924369752</v>
      </c>
    </row>
    <row r="22" spans="1:16">
      <c r="A22" s="487" t="s">
        <v>862</v>
      </c>
      <c r="B22" s="786" t="s">
        <v>856</v>
      </c>
      <c r="C22" s="786">
        <f ca="1">'EF ele_warmte'!B22</f>
        <v>0.17024111339451034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0.18260326280338376</v>
      </c>
      <c r="C17" s="524">
        <f ca="1">'EF ele_warmte'!B22</f>
        <v>0.17024111339451034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0.18260326280338376</v>
      </c>
      <c r="C17" s="524">
        <f ca="1">'EF ele_warmte'!B22</f>
        <v>0.17024111339451034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0.18260326280338376</v>
      </c>
      <c r="C29" s="525">
        <f ca="1">'EF ele_warmte'!B22</f>
        <v>0.17024111339451034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7495</v>
      </c>
      <c r="C9" s="342">
        <v>7448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2065.34</v>
      </c>
    </row>
    <row r="15" spans="1:6">
      <c r="A15" s="348" t="s">
        <v>184</v>
      </c>
      <c r="B15" s="334">
        <v>13</v>
      </c>
    </row>
    <row r="16" spans="1:6">
      <c r="A16" s="348" t="s">
        <v>6</v>
      </c>
      <c r="B16" s="334">
        <v>542</v>
      </c>
    </row>
    <row r="17" spans="1:6">
      <c r="A17" s="348" t="s">
        <v>7</v>
      </c>
      <c r="B17" s="334">
        <v>786</v>
      </c>
    </row>
    <row r="18" spans="1:6">
      <c r="A18" s="348" t="s">
        <v>8</v>
      </c>
      <c r="B18" s="334">
        <v>1060</v>
      </c>
    </row>
    <row r="19" spans="1:6">
      <c r="A19" s="348" t="s">
        <v>9</v>
      </c>
      <c r="B19" s="334">
        <v>967</v>
      </c>
    </row>
    <row r="20" spans="1:6">
      <c r="A20" s="348" t="s">
        <v>10</v>
      </c>
      <c r="B20" s="334">
        <v>517</v>
      </c>
    </row>
    <row r="21" spans="1:6">
      <c r="A21" s="348" t="s">
        <v>11</v>
      </c>
      <c r="B21" s="334">
        <v>5242</v>
      </c>
    </row>
    <row r="22" spans="1:6">
      <c r="A22" s="348" t="s">
        <v>12</v>
      </c>
      <c r="B22" s="334">
        <v>18507</v>
      </c>
    </row>
    <row r="23" spans="1:6">
      <c r="A23" s="348" t="s">
        <v>13</v>
      </c>
      <c r="B23" s="334">
        <v>191</v>
      </c>
    </row>
    <row r="24" spans="1:6">
      <c r="A24" s="348" t="s">
        <v>14</v>
      </c>
      <c r="B24" s="334">
        <v>6</v>
      </c>
    </row>
    <row r="25" spans="1:6">
      <c r="A25" s="348" t="s">
        <v>15</v>
      </c>
      <c r="B25" s="334">
        <v>1113</v>
      </c>
    </row>
    <row r="26" spans="1:6">
      <c r="A26" s="348" t="s">
        <v>16</v>
      </c>
      <c r="B26" s="334">
        <v>242</v>
      </c>
    </row>
    <row r="27" spans="1:6">
      <c r="A27" s="348" t="s">
        <v>17</v>
      </c>
      <c r="B27" s="334">
        <v>0</v>
      </c>
    </row>
    <row r="28" spans="1:6" s="356" customFormat="1">
      <c r="A28" s="355" t="s">
        <v>18</v>
      </c>
      <c r="B28" s="355">
        <v>167904</v>
      </c>
    </row>
    <row r="29" spans="1:6">
      <c r="A29" s="355" t="s">
        <v>744</v>
      </c>
      <c r="B29" s="355">
        <v>213</v>
      </c>
      <c r="C29" s="356"/>
      <c r="D29" s="356"/>
      <c r="E29" s="356"/>
      <c r="F29" s="356"/>
    </row>
    <row r="30" spans="1:6">
      <c r="A30" s="341" t="s">
        <v>745</v>
      </c>
      <c r="B30" s="341">
        <v>59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4620.9344481307999</v>
      </c>
    </row>
    <row r="39" spans="1:6">
      <c r="A39" s="348" t="s">
        <v>30</v>
      </c>
      <c r="B39" s="348" t="s">
        <v>31</v>
      </c>
      <c r="C39" s="334">
        <v>5372</v>
      </c>
      <c r="D39" s="334">
        <v>85725664.145978704</v>
      </c>
      <c r="E39" s="334">
        <v>7717</v>
      </c>
      <c r="F39" s="334">
        <v>27718494.303592701</v>
      </c>
    </row>
    <row r="40" spans="1:6">
      <c r="A40" s="348" t="s">
        <v>30</v>
      </c>
      <c r="B40" s="348" t="s">
        <v>29</v>
      </c>
      <c r="C40" s="334">
        <v>0</v>
      </c>
      <c r="D40" s="334">
        <v>0</v>
      </c>
      <c r="E40" s="334">
        <v>0</v>
      </c>
      <c r="F40" s="334">
        <v>0</v>
      </c>
    </row>
    <row r="41" spans="1:6">
      <c r="A41" s="348" t="s">
        <v>32</v>
      </c>
      <c r="B41" s="348" t="s">
        <v>33</v>
      </c>
      <c r="C41" s="334">
        <v>83</v>
      </c>
      <c r="D41" s="334">
        <v>1652198.2838586301</v>
      </c>
      <c r="E41" s="334">
        <v>184</v>
      </c>
      <c r="F41" s="334">
        <v>1391232.4144264001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45942.2994848612</v>
      </c>
      <c r="E44" s="334">
        <v>12</v>
      </c>
      <c r="F44" s="334">
        <v>110237.13153522801</v>
      </c>
    </row>
    <row r="45" spans="1:6">
      <c r="A45" s="348" t="s">
        <v>32</v>
      </c>
      <c r="B45" s="348" t="s">
        <v>37</v>
      </c>
      <c r="C45" s="334">
        <v>0</v>
      </c>
      <c r="D45" s="334">
        <v>0</v>
      </c>
      <c r="E45" s="334">
        <v>7</v>
      </c>
      <c r="F45" s="334">
        <v>84077.272647411199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749784.25951624196</v>
      </c>
      <c r="E48" s="334">
        <v>30</v>
      </c>
      <c r="F48" s="334">
        <v>659230.81377118896</v>
      </c>
    </row>
    <row r="49" spans="1:6">
      <c r="A49" s="348" t="s">
        <v>32</v>
      </c>
      <c r="B49" s="348" t="s">
        <v>40</v>
      </c>
      <c r="C49" s="334">
        <v>0</v>
      </c>
      <c r="D49" s="334">
        <v>0</v>
      </c>
      <c r="E49" s="334">
        <v>0</v>
      </c>
      <c r="F49" s="334">
        <v>0</v>
      </c>
    </row>
    <row r="50" spans="1:6">
      <c r="A50" s="348" t="s">
        <v>32</v>
      </c>
      <c r="B50" s="348" t="s">
        <v>41</v>
      </c>
      <c r="C50" s="334">
        <v>5</v>
      </c>
      <c r="D50" s="334">
        <v>663751.74543711299</v>
      </c>
      <c r="E50" s="334">
        <v>11</v>
      </c>
      <c r="F50" s="334">
        <v>455516.54290939099</v>
      </c>
    </row>
    <row r="51" spans="1:6">
      <c r="A51" s="348" t="s">
        <v>42</v>
      </c>
      <c r="B51" s="348" t="s">
        <v>43</v>
      </c>
      <c r="C51" s="334">
        <v>25</v>
      </c>
      <c r="D51" s="334">
        <v>36126429.476778403</v>
      </c>
      <c r="E51" s="334">
        <v>69</v>
      </c>
      <c r="F51" s="334">
        <v>1887636.2576144701</v>
      </c>
    </row>
    <row r="52" spans="1:6">
      <c r="A52" s="348" t="s">
        <v>42</v>
      </c>
      <c r="B52" s="348" t="s">
        <v>29</v>
      </c>
      <c r="C52" s="334">
        <v>7</v>
      </c>
      <c r="D52" s="334">
        <v>156672.65948889899</v>
      </c>
      <c r="E52" s="334">
        <v>10</v>
      </c>
      <c r="F52" s="334">
        <v>137049.55525936</v>
      </c>
    </row>
    <row r="53" spans="1:6">
      <c r="A53" s="348" t="s">
        <v>44</v>
      </c>
      <c r="B53" s="348" t="s">
        <v>45</v>
      </c>
      <c r="C53" s="334">
        <v>150</v>
      </c>
      <c r="D53" s="334">
        <v>2839805.1532405298</v>
      </c>
      <c r="E53" s="334">
        <v>382</v>
      </c>
      <c r="F53" s="334">
        <v>1973331.3035688801</v>
      </c>
    </row>
    <row r="54" spans="1:6">
      <c r="A54" s="348" t="s">
        <v>46</v>
      </c>
      <c r="B54" s="348" t="s">
        <v>47</v>
      </c>
      <c r="C54" s="334">
        <v>0</v>
      </c>
      <c r="D54" s="334">
        <v>0</v>
      </c>
      <c r="E54" s="334">
        <v>1</v>
      </c>
      <c r="F54" s="334">
        <v>1071854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54</v>
      </c>
      <c r="D57" s="334">
        <v>3072261.9805835802</v>
      </c>
      <c r="E57" s="334">
        <v>64</v>
      </c>
      <c r="F57" s="334">
        <v>1332287.04590453</v>
      </c>
    </row>
    <row r="58" spans="1:6">
      <c r="A58" s="348" t="s">
        <v>49</v>
      </c>
      <c r="B58" s="348" t="s">
        <v>51</v>
      </c>
      <c r="C58" s="334">
        <v>25</v>
      </c>
      <c r="D58" s="334">
        <v>1766382.0570409701</v>
      </c>
      <c r="E58" s="334">
        <v>34</v>
      </c>
      <c r="F58" s="334">
        <v>668036.05953102699</v>
      </c>
    </row>
    <row r="59" spans="1:6">
      <c r="A59" s="348" t="s">
        <v>49</v>
      </c>
      <c r="B59" s="348" t="s">
        <v>52</v>
      </c>
      <c r="C59" s="334">
        <v>98</v>
      </c>
      <c r="D59" s="334">
        <v>3780949.6735998699</v>
      </c>
      <c r="E59" s="334">
        <v>179</v>
      </c>
      <c r="F59" s="334">
        <v>4935276.6323634703</v>
      </c>
    </row>
    <row r="60" spans="1:6">
      <c r="A60" s="348" t="s">
        <v>49</v>
      </c>
      <c r="B60" s="348" t="s">
        <v>53</v>
      </c>
      <c r="C60" s="334">
        <v>51</v>
      </c>
      <c r="D60" s="334">
        <v>1962807.2942643301</v>
      </c>
      <c r="E60" s="334">
        <v>67</v>
      </c>
      <c r="F60" s="334">
        <v>2102143.8870692099</v>
      </c>
    </row>
    <row r="61" spans="1:6">
      <c r="A61" s="348" t="s">
        <v>49</v>
      </c>
      <c r="B61" s="348" t="s">
        <v>54</v>
      </c>
      <c r="C61" s="334">
        <v>108</v>
      </c>
      <c r="D61" s="334">
        <v>2936713.8920712499</v>
      </c>
      <c r="E61" s="334">
        <v>214</v>
      </c>
      <c r="F61" s="334">
        <v>2000603.26929126</v>
      </c>
    </row>
    <row r="62" spans="1:6">
      <c r="A62" s="348" t="s">
        <v>49</v>
      </c>
      <c r="B62" s="348" t="s">
        <v>55</v>
      </c>
      <c r="C62" s="334">
        <v>7</v>
      </c>
      <c r="D62" s="334">
        <v>1043516.90894724</v>
      </c>
      <c r="E62" s="334">
        <v>13</v>
      </c>
      <c r="F62" s="334">
        <v>213198.569073527</v>
      </c>
    </row>
    <row r="63" spans="1:6">
      <c r="A63" s="348" t="s">
        <v>49</v>
      </c>
      <c r="B63" s="348" t="s">
        <v>29</v>
      </c>
      <c r="C63" s="334">
        <v>87</v>
      </c>
      <c r="D63" s="334">
        <v>2414020.5079581118</v>
      </c>
      <c r="E63" s="334">
        <v>108</v>
      </c>
      <c r="F63" s="334">
        <v>1529443.1484868228</v>
      </c>
    </row>
    <row r="64" spans="1:6">
      <c r="A64" s="348" t="s">
        <v>56</v>
      </c>
      <c r="B64" s="348" t="s">
        <v>57</v>
      </c>
      <c r="C64" s="334">
        <v>0</v>
      </c>
      <c r="D64" s="334">
        <v>0</v>
      </c>
      <c r="E64" s="334">
        <v>0</v>
      </c>
      <c r="F64" s="334">
        <v>0</v>
      </c>
    </row>
    <row r="65" spans="1:6">
      <c r="A65" s="348" t="s">
        <v>56</v>
      </c>
      <c r="B65" s="348" t="s">
        <v>29</v>
      </c>
      <c r="C65" s="334">
        <v>5</v>
      </c>
      <c r="D65" s="334">
        <v>97444.932366632594</v>
      </c>
      <c r="E65" s="334">
        <v>6</v>
      </c>
      <c r="F65" s="334">
        <v>58116.454910378503</v>
      </c>
    </row>
    <row r="66" spans="1:6">
      <c r="A66" s="348" t="s">
        <v>56</v>
      </c>
      <c r="B66" s="348" t="s">
        <v>58</v>
      </c>
      <c r="C66" s="334">
        <v>0</v>
      </c>
      <c r="D66" s="334">
        <v>0</v>
      </c>
      <c r="E66" s="334">
        <v>9</v>
      </c>
      <c r="F66" s="334">
        <v>313045.56656432798</v>
      </c>
    </row>
    <row r="67" spans="1:6">
      <c r="A67" s="355" t="s">
        <v>56</v>
      </c>
      <c r="B67" s="355" t="s">
        <v>59</v>
      </c>
      <c r="C67" s="334">
        <v>0</v>
      </c>
      <c r="D67" s="334">
        <v>0</v>
      </c>
      <c r="E67" s="334">
        <v>0</v>
      </c>
      <c r="F67" s="334">
        <v>0</v>
      </c>
    </row>
    <row r="68" spans="1:6">
      <c r="A68" s="341" t="s">
        <v>56</v>
      </c>
      <c r="B68" s="341" t="s">
        <v>60</v>
      </c>
      <c r="C68" s="334">
        <v>9</v>
      </c>
      <c r="D68" s="334">
        <v>255483.43920414799</v>
      </c>
      <c r="E68" s="334">
        <v>20</v>
      </c>
      <c r="F68" s="334">
        <v>562629.90656079701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28398467</v>
      </c>
      <c r="E73" s="475">
        <v>29808858.502623178</v>
      </c>
    </row>
    <row r="74" spans="1:6">
      <c r="A74" s="348" t="s">
        <v>64</v>
      </c>
      <c r="B74" s="348" t="s">
        <v>657</v>
      </c>
      <c r="C74" s="1295" t="s">
        <v>659</v>
      </c>
      <c r="D74" s="475">
        <v>5046360.5</v>
      </c>
      <c r="E74" s="475">
        <v>5295270.97122066</v>
      </c>
    </row>
    <row r="75" spans="1:6">
      <c r="A75" s="348" t="s">
        <v>65</v>
      </c>
      <c r="B75" s="348" t="s">
        <v>656</v>
      </c>
      <c r="C75" s="1295" t="s">
        <v>660</v>
      </c>
      <c r="D75" s="475">
        <v>38219263</v>
      </c>
      <c r="E75" s="475">
        <v>40688044.340893902</v>
      </c>
    </row>
    <row r="76" spans="1:6">
      <c r="A76" s="348" t="s">
        <v>65</v>
      </c>
      <c r="B76" s="348" t="s">
        <v>657</v>
      </c>
      <c r="C76" s="1295" t="s">
        <v>661</v>
      </c>
      <c r="D76" s="475">
        <v>3371742.5</v>
      </c>
      <c r="E76" s="475">
        <v>3504430.2270841105</v>
      </c>
    </row>
    <row r="77" spans="1:6">
      <c r="A77" s="348" t="s">
        <v>66</v>
      </c>
      <c r="B77" s="348" t="s">
        <v>656</v>
      </c>
      <c r="C77" s="1295" t="s">
        <v>662</v>
      </c>
      <c r="D77" s="475">
        <v>71550735</v>
      </c>
      <c r="E77" s="475">
        <v>76323281.787472889</v>
      </c>
    </row>
    <row r="78" spans="1:6">
      <c r="A78" s="341" t="s">
        <v>66</v>
      </c>
      <c r="B78" s="341" t="s">
        <v>657</v>
      </c>
      <c r="C78" s="341" t="s">
        <v>663</v>
      </c>
      <c r="D78" s="1296">
        <v>18386998</v>
      </c>
      <c r="E78" s="1296">
        <v>18690739.062769003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394695</v>
      </c>
      <c r="C83" s="475">
        <v>393179.87063189899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4634.9858475543633</v>
      </c>
    </row>
    <row r="92" spans="1:6">
      <c r="A92" s="341" t="s">
        <v>69</v>
      </c>
      <c r="B92" s="342">
        <v>1578.1575253758278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3</v>
      </c>
    </row>
    <row r="131" spans="1:6">
      <c r="A131" s="348" t="s">
        <v>296</v>
      </c>
      <c r="B131" s="334">
        <v>2</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52958.989986547407</v>
      </c>
      <c r="C3" s="43" t="s">
        <v>170</v>
      </c>
      <c r="D3" s="43"/>
      <c r="E3" s="154"/>
      <c r="F3" s="43"/>
      <c r="G3" s="43"/>
      <c r="H3" s="43"/>
      <c r="I3" s="43"/>
      <c r="J3" s="43"/>
      <c r="K3" s="96"/>
    </row>
    <row r="4" spans="1:11">
      <c r="A4" s="383" t="s">
        <v>171</v>
      </c>
      <c r="B4" s="49">
        <f>IF(ISERROR('SEAP template'!B78+'SEAP template'!C78),0,'SEAP template'!B78+'SEAP template'!C78)</f>
        <v>19222.643372930193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2214.7517647058821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0.18260326280338376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3163.9310924369752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18585.000000000004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0.17024111339451034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1071.854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1071.854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0.18260326280338376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195.72403764885811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27718.494303592699</v>
      </c>
      <c r="C5" s="17">
        <f>IF(ISERROR('Eigen informatie GS &amp; warmtenet'!B57),0,'Eigen informatie GS &amp; warmtenet'!B57)</f>
        <v>0</v>
      </c>
      <c r="D5" s="30">
        <f>(SUM(HH_hh_gas_kWh,HH_rest_gas_kWh)/1000)*0.902</f>
        <v>77324.54905967279</v>
      </c>
      <c r="E5" s="17">
        <f>B46*B57</f>
        <v>7275.0654905484571</v>
      </c>
      <c r="F5" s="17">
        <f>B51*B62</f>
        <v>0</v>
      </c>
      <c r="G5" s="18"/>
      <c r="H5" s="17"/>
      <c r="I5" s="17"/>
      <c r="J5" s="17">
        <f>B50*B61+C50*C61</f>
        <v>0</v>
      </c>
      <c r="K5" s="17"/>
      <c r="L5" s="17"/>
      <c r="M5" s="17"/>
      <c r="N5" s="17">
        <f>B48*B59+C48*C59</f>
        <v>27568.367236643109</v>
      </c>
      <c r="O5" s="17">
        <f>B69*B70*B71</f>
        <v>229.81</v>
      </c>
      <c r="P5" s="17">
        <f>B77*B78*B79/1000-B77*B78*B79/1000/B80</f>
        <v>1220.2666666666667</v>
      </c>
    </row>
    <row r="6" spans="1:16">
      <c r="A6" s="16" t="s">
        <v>621</v>
      </c>
      <c r="B6" s="788">
        <f>kWh_PV_kleiner_dan_10kW</f>
        <v>4634.9858475543633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32353.480151147061</v>
      </c>
      <c r="C8" s="21">
        <f>C5</f>
        <v>0</v>
      </c>
      <c r="D8" s="21">
        <f>D5</f>
        <v>77324.54905967279</v>
      </c>
      <c r="E8" s="21">
        <f>E5</f>
        <v>7275.0654905484571</v>
      </c>
      <c r="F8" s="21">
        <f>F5</f>
        <v>0</v>
      </c>
      <c r="G8" s="21"/>
      <c r="H8" s="21"/>
      <c r="I8" s="21"/>
      <c r="J8" s="21">
        <f>J5</f>
        <v>0</v>
      </c>
      <c r="K8" s="21"/>
      <c r="L8" s="21">
        <f>L5</f>
        <v>0</v>
      </c>
      <c r="M8" s="21">
        <f>M5</f>
        <v>0</v>
      </c>
      <c r="N8" s="21">
        <f>N5</f>
        <v>27568.367236643109</v>
      </c>
      <c r="O8" s="21">
        <f>O5</f>
        <v>229.81</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0.18260326280338376</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5907.8510386439675</v>
      </c>
      <c r="C12" s="23">
        <f ca="1">C10*C8</f>
        <v>0</v>
      </c>
      <c r="D12" s="23">
        <f>D8*D10</f>
        <v>15619.558910053905</v>
      </c>
      <c r="E12" s="23">
        <f>E10*E8</f>
        <v>1651.4398663544998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7495</v>
      </c>
      <c r="C28" s="36"/>
      <c r="D28" s="228"/>
    </row>
    <row r="29" spans="1:7" s="15" customFormat="1">
      <c r="A29" s="230" t="s">
        <v>794</v>
      </c>
      <c r="B29" s="37">
        <f>SUM(HH_hh_gas_aantal,HH_rest_gas_aantal)</f>
        <v>5372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5372</v>
      </c>
      <c r="C32" s="167">
        <f>IF(ISERROR(B32/SUM($B$32,$B$34,$B$35,$B$36,$B$38,$B$39)*100),0,B32/SUM($B$32,$B$34,$B$35,$B$36,$B$38,$B$39)*100)</f>
        <v>72.291750773785495</v>
      </c>
      <c r="D32" s="233"/>
      <c r="G32" s="15"/>
    </row>
    <row r="33" spans="1:7">
      <c r="A33" s="171" t="s">
        <v>72</v>
      </c>
      <c r="B33" s="34" t="s">
        <v>111</v>
      </c>
      <c r="C33" s="167"/>
      <c r="D33" s="233"/>
      <c r="G33" s="15"/>
    </row>
    <row r="34" spans="1:7">
      <c r="A34" s="171" t="s">
        <v>73</v>
      </c>
      <c r="B34" s="33">
        <f>IF((($B$28-$B$32-$B$39-$B$77-$B$38)*C20/100)&lt;0,0,($B$28-$B$32-$B$39-$B$77-$B$38)*C20/100)</f>
        <v>343.59402241594017</v>
      </c>
      <c r="C34" s="167">
        <f>IF(ISERROR(B34/SUM($B$32,$B$34,$B$35,$B$36,$B$38,$B$39)*100),0,B34/SUM($B$32,$B$34,$B$35,$B$36,$B$38,$B$39)*100)</f>
        <v>4.6237925234280741</v>
      </c>
      <c r="D34" s="233"/>
      <c r="G34" s="15"/>
    </row>
    <row r="35" spans="1:7">
      <c r="A35" s="171" t="s">
        <v>74</v>
      </c>
      <c r="B35" s="33">
        <f>IF((($B$28-$B$32-$B$39-$B$77-$B$38)*C21/100)&lt;0,0,($B$28-$B$32-$B$39-$B$77-$B$38)*C21/100)</f>
        <v>1333.3499377334995</v>
      </c>
      <c r="C35" s="167">
        <f>IF(ISERROR(B35/SUM($B$32,$B$34,$B$35,$B$36,$B$38,$B$39)*100),0,B35/SUM($B$32,$B$34,$B$35,$B$36,$B$38,$B$39)*100)</f>
        <v>17.943075464049247</v>
      </c>
      <c r="D35" s="233"/>
      <c r="G35" s="15"/>
    </row>
    <row r="36" spans="1:7">
      <c r="A36" s="171" t="s">
        <v>75</v>
      </c>
      <c r="B36" s="33">
        <f>IF((($B$28-$B$32-$B$39-$B$77-$B$38)*C22/100)&lt;0,0,($B$28-$B$32-$B$39-$B$77-$B$38)*C22/100)</f>
        <v>382.05603985056035</v>
      </c>
      <c r="C36" s="167">
        <f>IF(ISERROR(B36/SUM($B$32,$B$34,$B$35,$B$36,$B$38,$B$39)*100),0,B36/SUM($B$32,$B$34,$B$35,$B$36,$B$38,$B$39)*100)</f>
        <v>5.1413812387371864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5372</v>
      </c>
      <c r="C44" s="34" t="s">
        <v>111</v>
      </c>
      <c r="D44" s="174"/>
    </row>
    <row r="45" spans="1:7">
      <c r="A45" s="171" t="s">
        <v>72</v>
      </c>
      <c r="B45" s="33" t="str">
        <f t="shared" si="0"/>
        <v>-</v>
      </c>
      <c r="C45" s="34" t="s">
        <v>111</v>
      </c>
      <c r="D45" s="174"/>
    </row>
    <row r="46" spans="1:7">
      <c r="A46" s="171" t="s">
        <v>73</v>
      </c>
      <c r="B46" s="33">
        <f t="shared" si="0"/>
        <v>343.59402241594017</v>
      </c>
      <c r="C46" s="34" t="s">
        <v>111</v>
      </c>
      <c r="D46" s="174"/>
    </row>
    <row r="47" spans="1:7">
      <c r="A47" s="171" t="s">
        <v>74</v>
      </c>
      <c r="B47" s="33">
        <f t="shared" si="0"/>
        <v>1333.3499377334995</v>
      </c>
      <c r="C47" s="34" t="s">
        <v>111</v>
      </c>
      <c r="D47" s="174"/>
    </row>
    <row r="48" spans="1:7">
      <c r="A48" s="171" t="s">
        <v>75</v>
      </c>
      <c r="B48" s="33">
        <f t="shared" si="0"/>
        <v>382.05603985056035</v>
      </c>
      <c r="C48" s="33">
        <f>B48*10</f>
        <v>3820.5603985056036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12780.988611719848</v>
      </c>
      <c r="C5" s="17">
        <f>IF(ISERROR('Eigen informatie GS &amp; warmtenet'!B58),0,'Eigen informatie GS &amp; warmtenet'!B58)</f>
        <v>0</v>
      </c>
      <c r="D5" s="30">
        <f>SUM(D6:D12)</f>
        <v>15312.940387647746</v>
      </c>
      <c r="E5" s="17">
        <f>SUM(E6:E12)</f>
        <v>232.95604955880336</v>
      </c>
      <c r="F5" s="17">
        <f>SUM(F6:F12)</f>
        <v>2267.0783682795409</v>
      </c>
      <c r="G5" s="18"/>
      <c r="H5" s="17"/>
      <c r="I5" s="17"/>
      <c r="J5" s="17">
        <f>SUM(J6:J12)</f>
        <v>3.2622314527449271E-2</v>
      </c>
      <c r="K5" s="17"/>
      <c r="L5" s="17"/>
      <c r="M5" s="17"/>
      <c r="N5" s="17">
        <f>SUM(N6:N12)</f>
        <v>1299.7298373486187</v>
      </c>
      <c r="O5" s="17">
        <f>B38*B39*B40</f>
        <v>4.6900000000000004</v>
      </c>
      <c r="P5" s="17">
        <f>B46*B47*B48/1000-B46*B47*B48/1000/B49</f>
        <v>38.133333333333333</v>
      </c>
      <c r="R5" s="32"/>
    </row>
    <row r="6" spans="1:18">
      <c r="A6" s="32" t="s">
        <v>54</v>
      </c>
      <c r="B6" s="37">
        <f>B26</f>
        <v>2000.6032692912599</v>
      </c>
      <c r="C6" s="33"/>
      <c r="D6" s="37">
        <f>IF(ISERROR(TER_kantoor_gas_kWh/1000),0,TER_kantoor_gas_kWh/1000)*0.902</f>
        <v>2648.9159306482675</v>
      </c>
      <c r="E6" s="33">
        <f>$C$26*'E Balans VL '!I12/100/3.6*1000000</f>
        <v>1.2539115901694528E-2</v>
      </c>
      <c r="F6" s="33">
        <f>$C$26*('E Balans VL '!L12+'E Balans VL '!N12)/100/3.6*1000000</f>
        <v>300.63476918753048</v>
      </c>
      <c r="G6" s="34"/>
      <c r="H6" s="33"/>
      <c r="I6" s="33"/>
      <c r="J6" s="33">
        <f>$C$26*('E Balans VL '!D12+'E Balans VL '!E12)/100/3.6*1000000</f>
        <v>0</v>
      </c>
      <c r="K6" s="33"/>
      <c r="L6" s="33"/>
      <c r="M6" s="33"/>
      <c r="N6" s="33">
        <f>$C$26*'E Balans VL '!Y12/100/3.6*1000000</f>
        <v>1.9132804050898848</v>
      </c>
      <c r="O6" s="33"/>
      <c r="P6" s="33"/>
      <c r="R6" s="32"/>
    </row>
    <row r="7" spans="1:18">
      <c r="A7" s="32" t="s">
        <v>53</v>
      </c>
      <c r="B7" s="37">
        <f t="shared" ref="B7:B12" si="0">B27</f>
        <v>2102.14388706921</v>
      </c>
      <c r="C7" s="33"/>
      <c r="D7" s="37">
        <f>IF(ISERROR(TER_horeca_gas_kWh/1000),0,TER_horeca_gas_kWh/1000)*0.902</f>
        <v>1770.4521794264258</v>
      </c>
      <c r="E7" s="33">
        <f>$C$27*'E Balans VL '!I9/100/3.6*1000000</f>
        <v>30.102350312502537</v>
      </c>
      <c r="F7" s="33">
        <f>$C$27*('E Balans VL '!L9+'E Balans VL '!N9)/100/3.6*1000000</f>
        <v>266.20074747940873</v>
      </c>
      <c r="G7" s="34"/>
      <c r="H7" s="33"/>
      <c r="I7" s="33"/>
      <c r="J7" s="33">
        <f>$C$27*('E Balans VL '!D9+'E Balans VL '!E9)/100/3.6*1000000</f>
        <v>0</v>
      </c>
      <c r="K7" s="33"/>
      <c r="L7" s="33"/>
      <c r="M7" s="33"/>
      <c r="N7" s="33">
        <f>$C$27*'E Balans VL '!Y9/100/3.6*1000000</f>
        <v>0.6043200192382101</v>
      </c>
      <c r="O7" s="33"/>
      <c r="P7" s="33"/>
      <c r="R7" s="32"/>
    </row>
    <row r="8" spans="1:18">
      <c r="A8" s="6" t="s">
        <v>52</v>
      </c>
      <c r="B8" s="37">
        <f t="shared" si="0"/>
        <v>4935.2766323634705</v>
      </c>
      <c r="C8" s="33"/>
      <c r="D8" s="37">
        <f>IF(ISERROR(TER_handel_gas_kWh/1000),0,TER_handel_gas_kWh/1000)*0.902</f>
        <v>3410.4166055870828</v>
      </c>
      <c r="E8" s="33">
        <f>$C$28*'E Balans VL '!I13/100/3.6*1000000</f>
        <v>179.00187486477458</v>
      </c>
      <c r="F8" s="33">
        <f>$C$28*('E Balans VL '!L13+'E Balans VL '!N13)/100/3.6*1000000</f>
        <v>950.58425224628184</v>
      </c>
      <c r="G8" s="34"/>
      <c r="H8" s="33"/>
      <c r="I8" s="33"/>
      <c r="J8" s="33">
        <f>$C$28*('E Balans VL '!D13+'E Balans VL '!E13)/100/3.6*1000000</f>
        <v>0</v>
      </c>
      <c r="K8" s="33"/>
      <c r="L8" s="33"/>
      <c r="M8" s="33"/>
      <c r="N8" s="33">
        <f>$C$28*'E Balans VL '!Y13/100/3.6*1000000</f>
        <v>6.8364936923322102</v>
      </c>
      <c r="O8" s="33"/>
      <c r="P8" s="33"/>
      <c r="R8" s="32"/>
    </row>
    <row r="9" spans="1:18">
      <c r="A9" s="32" t="s">
        <v>51</v>
      </c>
      <c r="B9" s="37">
        <f t="shared" si="0"/>
        <v>668.03605953102704</v>
      </c>
      <c r="C9" s="33"/>
      <c r="D9" s="37">
        <f>IF(ISERROR(TER_gezond_gas_kWh/1000),0,TER_gezond_gas_kWh/1000)*0.902</f>
        <v>1593.276615450955</v>
      </c>
      <c r="E9" s="33">
        <f>$C$29*'E Balans VL '!I10/100/3.6*1000000</f>
        <v>4.1825652991154476E-2</v>
      </c>
      <c r="F9" s="33">
        <f>$C$29*('E Balans VL '!L10+'E Balans VL '!N10)/100/3.6*1000000</f>
        <v>99.238790619429707</v>
      </c>
      <c r="G9" s="34"/>
      <c r="H9" s="33"/>
      <c r="I9" s="33"/>
      <c r="J9" s="33">
        <f>$C$29*('E Balans VL '!D10+'E Balans VL '!E10)/100/3.6*1000000</f>
        <v>0</v>
      </c>
      <c r="K9" s="33"/>
      <c r="L9" s="33"/>
      <c r="M9" s="33"/>
      <c r="N9" s="33">
        <f>$C$29*'E Balans VL '!Y10/100/3.6*1000000</f>
        <v>10.333246228795621</v>
      </c>
      <c r="O9" s="33"/>
      <c r="P9" s="33"/>
      <c r="R9" s="32"/>
    </row>
    <row r="10" spans="1:18">
      <c r="A10" s="32" t="s">
        <v>50</v>
      </c>
      <c r="B10" s="37">
        <f t="shared" si="0"/>
        <v>1332.28704590453</v>
      </c>
      <c r="C10" s="33"/>
      <c r="D10" s="37">
        <f>IF(ISERROR(TER_ander_gas_kWh/1000),0,TER_ander_gas_kWh/1000)*0.902</f>
        <v>2771.1803064863893</v>
      </c>
      <c r="E10" s="33">
        <f>$C$30*'E Balans VL '!I14/100/3.6*1000000</f>
        <v>1.5880385508234998</v>
      </c>
      <c r="F10" s="33">
        <f>$C$30*('E Balans VL '!L14+'E Balans VL '!N14)/100/3.6*1000000</f>
        <v>348.58552003866754</v>
      </c>
      <c r="G10" s="34"/>
      <c r="H10" s="33"/>
      <c r="I10" s="33"/>
      <c r="J10" s="33">
        <f>$C$30*('E Balans VL '!D14+'E Balans VL '!E14)/100/3.6*1000000</f>
        <v>2.8918729345568678E-2</v>
      </c>
      <c r="K10" s="33"/>
      <c r="L10" s="33"/>
      <c r="M10" s="33"/>
      <c r="N10" s="33">
        <f>$C$30*'E Balans VL '!Y14/100/3.6*1000000</f>
        <v>1131.345558777</v>
      </c>
      <c r="O10" s="33"/>
      <c r="P10" s="33"/>
      <c r="R10" s="32"/>
    </row>
    <row r="11" spans="1:18">
      <c r="A11" s="32" t="s">
        <v>55</v>
      </c>
      <c r="B11" s="37">
        <f t="shared" si="0"/>
        <v>213.19856907352701</v>
      </c>
      <c r="C11" s="33"/>
      <c r="D11" s="37">
        <f>IF(ISERROR(TER_onderwijs_gas_kWh/1000),0,TER_onderwijs_gas_kWh/1000)*0.902</f>
        <v>941.25225187041042</v>
      </c>
      <c r="E11" s="33">
        <f>$C$31*'E Balans VL '!I11/100/3.6*1000000</f>
        <v>3.2168230183712789</v>
      </c>
      <c r="F11" s="33">
        <f>$C$31*('E Balans VL '!L11+'E Balans VL '!N11)/100/3.6*1000000</f>
        <v>37.355795250148702</v>
      </c>
      <c r="G11" s="34"/>
      <c r="H11" s="33"/>
      <c r="I11" s="33"/>
      <c r="J11" s="33">
        <f>$C$31*('E Balans VL '!D11+'E Balans VL '!E11)/100/3.6*1000000</f>
        <v>0</v>
      </c>
      <c r="K11" s="33"/>
      <c r="L11" s="33"/>
      <c r="M11" s="33"/>
      <c r="N11" s="33">
        <f>$C$31*'E Balans VL '!Y11/100/3.6*1000000</f>
        <v>0.59995698134535591</v>
      </c>
      <c r="O11" s="33"/>
      <c r="P11" s="33"/>
      <c r="R11" s="32"/>
    </row>
    <row r="12" spans="1:18">
      <c r="A12" s="32" t="s">
        <v>260</v>
      </c>
      <c r="B12" s="37">
        <f t="shared" si="0"/>
        <v>1529.4431484868228</v>
      </c>
      <c r="C12" s="33"/>
      <c r="D12" s="37">
        <f>IF(ISERROR(TER_rest_gas_kWh/1000),0,TER_rest_gas_kWh/1000)*0.902</f>
        <v>2177.4464981782171</v>
      </c>
      <c r="E12" s="33">
        <f>$C$32*'E Balans VL '!I8/100/3.6*1000000</f>
        <v>18.992598043438591</v>
      </c>
      <c r="F12" s="33">
        <f>$C$32*('E Balans VL '!L8+'E Balans VL '!N8)/100/3.6*1000000</f>
        <v>264.47849345807384</v>
      </c>
      <c r="G12" s="34"/>
      <c r="H12" s="33"/>
      <c r="I12" s="33"/>
      <c r="J12" s="33">
        <f>$C$32*('E Balans VL '!D8+'E Balans VL '!E8)/100/3.6*1000000</f>
        <v>3.7035851818805919E-3</v>
      </c>
      <c r="K12" s="33"/>
      <c r="L12" s="33"/>
      <c r="M12" s="33"/>
      <c r="N12" s="33">
        <f>$C$32*'E Balans VL '!Y8/100/3.6*1000000</f>
        <v>148.09698124481761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12780.988611719848</v>
      </c>
      <c r="C16" s="21">
        <f t="shared" ca="1" si="1"/>
        <v>0</v>
      </c>
      <c r="D16" s="21">
        <f t="shared" ca="1" si="1"/>
        <v>15312.940387647746</v>
      </c>
      <c r="E16" s="21">
        <f t="shared" si="1"/>
        <v>232.95604955880336</v>
      </c>
      <c r="F16" s="21">
        <f t="shared" ca="1" si="1"/>
        <v>2267.0783682795409</v>
      </c>
      <c r="G16" s="21">
        <f t="shared" si="1"/>
        <v>0</v>
      </c>
      <c r="H16" s="21">
        <f t="shared" si="1"/>
        <v>0</v>
      </c>
      <c r="I16" s="21">
        <f t="shared" si="1"/>
        <v>0</v>
      </c>
      <c r="J16" s="21">
        <f t="shared" si="1"/>
        <v>3.2622314527449271E-2</v>
      </c>
      <c r="K16" s="21">
        <f t="shared" si="1"/>
        <v>0</v>
      </c>
      <c r="L16" s="21">
        <f t="shared" ca="1" si="1"/>
        <v>0</v>
      </c>
      <c r="M16" s="21">
        <f t="shared" si="1"/>
        <v>0</v>
      </c>
      <c r="N16" s="21">
        <f t="shared" ca="1" si="1"/>
        <v>1299.7298373486187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0.18260326280338376</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2333.8502223529345</v>
      </c>
      <c r="C20" s="23">
        <f t="shared" ref="C20:P20" ca="1" si="2">C16*C18</f>
        <v>0</v>
      </c>
      <c r="D20" s="23">
        <f t="shared" ca="1" si="2"/>
        <v>3093.2139583048452</v>
      </c>
      <c r="E20" s="23">
        <f t="shared" si="2"/>
        <v>52.881023249848361</v>
      </c>
      <c r="F20" s="23">
        <f t="shared" ca="1" si="2"/>
        <v>605.3099243306375</v>
      </c>
      <c r="G20" s="23">
        <f t="shared" si="2"/>
        <v>0</v>
      </c>
      <c r="H20" s="23">
        <f t="shared" si="2"/>
        <v>0</v>
      </c>
      <c r="I20" s="23">
        <f t="shared" si="2"/>
        <v>0</v>
      </c>
      <c r="J20" s="23">
        <f t="shared" si="2"/>
        <v>1.1548299342717042E-2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2000.6032692912599</v>
      </c>
      <c r="C26" s="39">
        <f>IF(ISERROR(B26*3.6/1000000/'E Balans VL '!Z12*100),0,B26*3.6/1000000/'E Balans VL '!Z12*100)</f>
        <v>4.2289583901245396E-2</v>
      </c>
      <c r="D26" s="237" t="s">
        <v>754</v>
      </c>
      <c r="F26" s="6"/>
    </row>
    <row r="27" spans="1:18">
      <c r="A27" s="231" t="s">
        <v>53</v>
      </c>
      <c r="B27" s="33">
        <f>IF(ISERROR(TER_horeca_ele_kWh/1000),0,TER_horeca_ele_kWh/1000)</f>
        <v>2102.14388706921</v>
      </c>
      <c r="C27" s="39">
        <f>IF(ISERROR(B27*3.6/1000000/'E Balans VL '!Z9*100),0,B27*3.6/1000000/'E Balans VL '!Z9*100)</f>
        <v>0.16571121910863953</v>
      </c>
      <c r="D27" s="237" t="s">
        <v>754</v>
      </c>
      <c r="F27" s="6"/>
    </row>
    <row r="28" spans="1:18">
      <c r="A28" s="171" t="s">
        <v>52</v>
      </c>
      <c r="B28" s="33">
        <f>IF(ISERROR(TER_handel_ele_kWh/1000),0,TER_handel_ele_kWh/1000)</f>
        <v>4935.2766323634705</v>
      </c>
      <c r="C28" s="39">
        <f>IF(ISERROR(B28*3.6/1000000/'E Balans VL '!Z13*100),0,B28*3.6/1000000/'E Balans VL '!Z13*100)</f>
        <v>0.14324166862326565</v>
      </c>
      <c r="D28" s="237" t="s">
        <v>754</v>
      </c>
      <c r="F28" s="6"/>
    </row>
    <row r="29" spans="1:18">
      <c r="A29" s="231" t="s">
        <v>51</v>
      </c>
      <c r="B29" s="33">
        <f>IF(ISERROR(TER_gezond_ele_kWh/1000),0,TER_gezond_ele_kWh/1000)</f>
        <v>668.03605953102704</v>
      </c>
      <c r="C29" s="39">
        <f>IF(ISERROR(B29*3.6/1000000/'E Balans VL '!Z10*100),0,B29*3.6/1000000/'E Balans VL '!Z10*100)</f>
        <v>7.0355166510265507E-2</v>
      </c>
      <c r="D29" s="237" t="s">
        <v>754</v>
      </c>
      <c r="F29" s="6"/>
    </row>
    <row r="30" spans="1:18">
      <c r="A30" s="231" t="s">
        <v>50</v>
      </c>
      <c r="B30" s="33">
        <f>IF(ISERROR(TER_ander_ele_kWh/1000),0,TER_ander_ele_kWh/1000)</f>
        <v>1332.28704590453</v>
      </c>
      <c r="C30" s="39">
        <f>IF(ISERROR(B30*3.6/1000000/'E Balans VL '!Z14*100),0,B30*3.6/1000000/'E Balans VL '!Z14*100)</f>
        <v>9.8269781877225071E-2</v>
      </c>
      <c r="D30" s="237" t="s">
        <v>754</v>
      </c>
      <c r="F30" s="6"/>
    </row>
    <row r="31" spans="1:18">
      <c r="A31" s="231" t="s">
        <v>55</v>
      </c>
      <c r="B31" s="33">
        <f>IF(ISERROR(TER_onderwijs_ele_kWh/1000),0,TER_onderwijs_ele_kWh/1000)</f>
        <v>213.19856907352701</v>
      </c>
      <c r="C31" s="39">
        <f>IF(ISERROR(B31*3.6/1000000/'E Balans VL '!Z11*100),0,B31*3.6/1000000/'E Balans VL '!Z11*100)</f>
        <v>5.2947191510075917E-2</v>
      </c>
      <c r="D31" s="237" t="s">
        <v>754</v>
      </c>
    </row>
    <row r="32" spans="1:18">
      <c r="A32" s="231" t="s">
        <v>260</v>
      </c>
      <c r="B32" s="33">
        <f>IF(ISERROR(TER_rest_ele_kWh/1000),0,TER_rest_ele_kWh/1000)</f>
        <v>1529.4431484868228</v>
      </c>
      <c r="C32" s="39">
        <f>IF(ISERROR(B32*3.6/1000000/'E Balans VL '!Z8*100),0,B32*3.6/1000000/'E Balans VL '!Z8*100)</f>
        <v>1.2585286982634945E-2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2700.2941752896195</v>
      </c>
      <c r="C5" s="17">
        <f>IF(ISERROR('Eigen informatie GS &amp; warmtenet'!B59),0,'Eigen informatie GS &amp; warmtenet'!B59)</f>
        <v>0</v>
      </c>
      <c r="D5" s="30">
        <f>SUM(D6:D15)</f>
        <v>2806.7322826437553</v>
      </c>
      <c r="E5" s="17">
        <f>SUM(E6:E15)</f>
        <v>447.49859892774748</v>
      </c>
      <c r="F5" s="17">
        <f>SUM(F6:F15)</f>
        <v>1316.7399409996565</v>
      </c>
      <c r="G5" s="18"/>
      <c r="H5" s="17"/>
      <c r="I5" s="17"/>
      <c r="J5" s="17">
        <f>SUM(J6:J15)</f>
        <v>2.498198072880975</v>
      </c>
      <c r="K5" s="17"/>
      <c r="L5" s="17"/>
      <c r="M5" s="17"/>
      <c r="N5" s="17">
        <f>SUM(N6:N15)</f>
        <v>658.97433353052861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110.237131535228</v>
      </c>
      <c r="C8" s="33"/>
      <c r="D8" s="37">
        <f>IF( ISERROR(IND_metaal_Gas_kWH/1000),0,IND_metaal_Gas_kWH/1000)*0.902</f>
        <v>41.439954135344806</v>
      </c>
      <c r="E8" s="33">
        <f>C30*'E Balans VL '!I18/100/3.6*1000000</f>
        <v>1.0135239564322707</v>
      </c>
      <c r="F8" s="33">
        <f>C30*'E Balans VL '!L18/100/3.6*1000000+C30*'E Balans VL '!N18/100/3.6*1000000</f>
        <v>10.336572772384589</v>
      </c>
      <c r="G8" s="34"/>
      <c r="H8" s="33"/>
      <c r="I8" s="33"/>
      <c r="J8" s="40">
        <f>C30*'E Balans VL '!D18/100/3.6*1000000+C30*'E Balans VL '!E18/100/3.6*1000000</f>
        <v>0</v>
      </c>
      <c r="K8" s="33"/>
      <c r="L8" s="33"/>
      <c r="M8" s="33"/>
      <c r="N8" s="33">
        <f>C30*'E Balans VL '!Y18/100/3.6*1000000</f>
        <v>1.5727148558814501</v>
      </c>
      <c r="O8" s="33"/>
      <c r="P8" s="33"/>
      <c r="R8" s="32"/>
    </row>
    <row r="9" spans="1:18">
      <c r="A9" s="6" t="s">
        <v>33</v>
      </c>
      <c r="B9" s="37">
        <f t="shared" si="0"/>
        <v>1391.2324144264001</v>
      </c>
      <c r="C9" s="33"/>
      <c r="D9" s="37">
        <f>IF( ISERROR(IND_andere_gas_kWh/1000),0,IND_andere_gas_kWh/1000)*0.902</f>
        <v>1490.2828520404844</v>
      </c>
      <c r="E9" s="33">
        <f>C31*'E Balans VL '!I19/100/3.6*1000000</f>
        <v>406.68431883739436</v>
      </c>
      <c r="F9" s="33">
        <f>C31*'E Balans VL '!L19/100/3.6*1000000+C31*'E Balans VL '!N19/100/3.6*1000000</f>
        <v>1117.9605516091888</v>
      </c>
      <c r="G9" s="34"/>
      <c r="H9" s="33"/>
      <c r="I9" s="33"/>
      <c r="J9" s="40">
        <f>C31*'E Balans VL '!D19/100/3.6*1000000+C31*'E Balans VL '!E19/100/3.6*1000000</f>
        <v>0</v>
      </c>
      <c r="K9" s="33"/>
      <c r="L9" s="33"/>
      <c r="M9" s="33"/>
      <c r="N9" s="33">
        <f>C31*'E Balans VL '!Y19/100/3.6*1000000</f>
        <v>459.68476621145624</v>
      </c>
      <c r="O9" s="33"/>
      <c r="P9" s="33"/>
      <c r="R9" s="32"/>
    </row>
    <row r="10" spans="1:18">
      <c r="A10" s="6" t="s">
        <v>41</v>
      </c>
      <c r="B10" s="37">
        <f t="shared" si="0"/>
        <v>455.51654290939098</v>
      </c>
      <c r="C10" s="33"/>
      <c r="D10" s="37">
        <f>IF( ISERROR(IND_voed_gas_kWh/1000),0,IND_voed_gas_kWh/1000)*0.902</f>
        <v>598.70407438427594</v>
      </c>
      <c r="E10" s="33">
        <f>C32*'E Balans VL '!I20/100/3.6*1000000</f>
        <v>0.96365230939246627</v>
      </c>
      <c r="F10" s="33">
        <f>C32*'E Balans VL '!L20/100/3.6*1000000+C32*'E Balans VL '!N20/100/3.6*1000000</f>
        <v>28.962207094683052</v>
      </c>
      <c r="G10" s="34"/>
      <c r="H10" s="33"/>
      <c r="I10" s="33"/>
      <c r="J10" s="40">
        <f>C32*'E Balans VL '!D20/100/3.6*1000000+C32*'E Balans VL '!E20/100/3.6*1000000</f>
        <v>0</v>
      </c>
      <c r="K10" s="33"/>
      <c r="L10" s="33"/>
      <c r="M10" s="33"/>
      <c r="N10" s="33">
        <f>C32*'E Balans VL '!Y20/100/3.6*1000000</f>
        <v>31.435136607830447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84.077272647411192</v>
      </c>
      <c r="C12" s="33"/>
      <c r="D12" s="37">
        <f>IF( ISERROR(IND_min_gas_kWh/1000),0,IND_min_gas_kWh/1000)*0.902</f>
        <v>0</v>
      </c>
      <c r="E12" s="33">
        <f>C34*'E Balans VL '!I22/100/3.6*1000000</f>
        <v>2.4370539320786357</v>
      </c>
      <c r="F12" s="33">
        <f>C34*'E Balans VL '!L22/100/3.6*1000000+C34*'E Balans VL '!N22/100/3.6*1000000</f>
        <v>28.906716430535734</v>
      </c>
      <c r="G12" s="34"/>
      <c r="H12" s="33"/>
      <c r="I12" s="33"/>
      <c r="J12" s="40">
        <f>C34*'E Balans VL '!D22/100/3.6*1000000+C34*'E Balans VL '!E22/100/3.6*1000000</f>
        <v>0.1381642952678846</v>
      </c>
      <c r="K12" s="33"/>
      <c r="L12" s="33"/>
      <c r="M12" s="33"/>
      <c r="N12" s="33">
        <f>C34*'E Balans VL '!Y22/100/3.6*1000000</f>
        <v>18.405896648830144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659.23081377118899</v>
      </c>
      <c r="C15" s="33"/>
      <c r="D15" s="37">
        <f>IF( ISERROR(IND_rest_gas_kWh/1000),0,IND_rest_gas_kWh/1000)*0.902</f>
        <v>676.30540208365028</v>
      </c>
      <c r="E15" s="33">
        <f>C37*'E Balans VL '!I15/100/3.6*1000000</f>
        <v>36.4000498924498</v>
      </c>
      <c r="F15" s="33">
        <f>C37*'E Balans VL '!L15/100/3.6*1000000+C37*'E Balans VL '!N15/100/3.6*1000000</f>
        <v>130.57389309286449</v>
      </c>
      <c r="G15" s="34"/>
      <c r="H15" s="33"/>
      <c r="I15" s="33"/>
      <c r="J15" s="40">
        <f>C37*'E Balans VL '!D15/100/3.6*1000000+C37*'E Balans VL '!E15/100/3.6*1000000</f>
        <v>2.3600337776130904</v>
      </c>
      <c r="K15" s="33"/>
      <c r="L15" s="33"/>
      <c r="M15" s="33"/>
      <c r="N15" s="33">
        <f>C37*'E Balans VL '!Y15/100/3.6*1000000</f>
        <v>147.87581920653042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2700.2941752896195</v>
      </c>
      <c r="C18" s="21">
        <f>C5+C16</f>
        <v>0</v>
      </c>
      <c r="D18" s="21">
        <f>MAX((D5+D16),0)</f>
        <v>2806.7322826437553</v>
      </c>
      <c r="E18" s="21">
        <f>MAX((E5+E16),0)</f>
        <v>447.49859892774748</v>
      </c>
      <c r="F18" s="21">
        <f>MAX((F5+F16),0)</f>
        <v>1316.7399409996565</v>
      </c>
      <c r="G18" s="21"/>
      <c r="H18" s="21"/>
      <c r="I18" s="21"/>
      <c r="J18" s="21">
        <f>MAX((J5+J16),0)</f>
        <v>2.498198072880975</v>
      </c>
      <c r="K18" s="21"/>
      <c r="L18" s="21">
        <f>MAX((L5+L16),0)</f>
        <v>0</v>
      </c>
      <c r="M18" s="21"/>
      <c r="N18" s="21">
        <f>MAX((N5+N16),0)</f>
        <v>658.97433353052861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0.18260326280338376</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493.08252693685682</v>
      </c>
      <c r="C22" s="23">
        <f ca="1">C18*C20</f>
        <v>0</v>
      </c>
      <c r="D22" s="23">
        <f>D18*D20</f>
        <v>566.95992109403858</v>
      </c>
      <c r="E22" s="23">
        <f>E18*E20</f>
        <v>101.58218195659867</v>
      </c>
      <c r="F22" s="23">
        <f>F18*F20</f>
        <v>351.56956424690833</v>
      </c>
      <c r="G22" s="23"/>
      <c r="H22" s="23"/>
      <c r="I22" s="23"/>
      <c r="J22" s="23">
        <f>J18*J20</f>
        <v>0.88436211779986507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110.237131535228</v>
      </c>
      <c r="C30" s="39">
        <f>IF(ISERROR(B30*3.6/1000000/'E Balans VL '!Z18*100),0,B30*3.6/1000000/'E Balans VL '!Z18*100)</f>
        <v>6.2474209105943847E-3</v>
      </c>
      <c r="D30" s="237" t="s">
        <v>754</v>
      </c>
    </row>
    <row r="31" spans="1:18">
      <c r="A31" s="6" t="s">
        <v>33</v>
      </c>
      <c r="B31" s="37">
        <f>IF( ISERROR(IND_ander_ele_kWh/1000),0,IND_ander_ele_kWh/1000)</f>
        <v>1391.2324144264001</v>
      </c>
      <c r="C31" s="39">
        <f>IF(ISERROR(B31*3.6/1000000/'E Balans VL '!Z19*100),0,B31*3.6/1000000/'E Balans VL '!Z19*100)</f>
        <v>6.3100509327433066E-2</v>
      </c>
      <c r="D31" s="237" t="s">
        <v>754</v>
      </c>
    </row>
    <row r="32" spans="1:18">
      <c r="A32" s="171" t="s">
        <v>41</v>
      </c>
      <c r="B32" s="37">
        <f>IF( ISERROR(IND_voed_ele_kWh/1000),0,IND_voed_ele_kWh/1000)</f>
        <v>455.51654290939098</v>
      </c>
      <c r="C32" s="39">
        <f>IF(ISERROR(B32*3.6/1000000/'E Balans VL '!Z20*100),0,B32*3.6/1000000/'E Balans VL '!Z20*100)</f>
        <v>1.4091194542690606E-2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84.077272647411192</v>
      </c>
      <c r="C34" s="39">
        <f>IF(ISERROR(B34*3.6/1000000/'E Balans VL '!Z22*100),0,B34*3.6/1000000/'E Balans VL '!Z22*100)</f>
        <v>1.5122878168573627E-2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659.23081377118899</v>
      </c>
      <c r="C37" s="39">
        <f>IF(ISERROR(B37*3.6/1000000/'E Balans VL '!Z15*100),0,B37*3.6/1000000/'E Balans VL '!Z15*100)</f>
        <v>5.2252138115740235E-3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2024.6858128738302</v>
      </c>
      <c r="C5" s="17">
        <f>'Eigen informatie GS &amp; warmtenet'!B60</f>
        <v>0</v>
      </c>
      <c r="D5" s="30">
        <f>IF(ISERROR(SUM(LB_lb_gas_kWh,LB_rest_gas_kWh)/1000),0,SUM(LB_lb_gas_kWh,LB_rest_gas_kWh)/1000)*0.902</f>
        <v>32727.35812691311</v>
      </c>
      <c r="E5" s="17">
        <f>B17*'E Balans VL '!I25/3.6*1000000/100</f>
        <v>59.511700144612959</v>
      </c>
      <c r="F5" s="17">
        <f>B17*('E Balans VL '!L25/3.6*1000000+'E Balans VL '!N25/3.6*1000000)/100</f>
        <v>8434.7316881536335</v>
      </c>
      <c r="G5" s="18"/>
      <c r="H5" s="17"/>
      <c r="I5" s="17"/>
      <c r="J5" s="17">
        <f>('E Balans VL '!D25+'E Balans VL '!E25)/3.6*1000000*landbouw!B17/100</f>
        <v>293.33349365986868</v>
      </c>
      <c r="K5" s="17"/>
      <c r="L5" s="17">
        <f>L6*(-1)</f>
        <v>0</v>
      </c>
      <c r="M5" s="17"/>
      <c r="N5" s="17">
        <f>N6*(-1)</f>
        <v>10542.857142857143</v>
      </c>
      <c r="O5" s="17"/>
      <c r="P5" s="17"/>
      <c r="R5" s="32"/>
    </row>
    <row r="6" spans="1:18">
      <c r="A6" s="16" t="s">
        <v>488</v>
      </c>
      <c r="B6" s="17" t="s">
        <v>211</v>
      </c>
      <c r="C6" s="17">
        <f>'lokale energieproductie'!O92+'lokale energieproductie'!O61</f>
        <v>18585.000000000004</v>
      </c>
      <c r="D6" s="310">
        <f>('lokale energieproductie'!P61+'lokale energieproductie'!P92)*(-1)</f>
        <v>-26627.142857142859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2024.6858128738302</v>
      </c>
      <c r="C8" s="21">
        <f>C5+C6</f>
        <v>18585.000000000004</v>
      </c>
      <c r="D8" s="21">
        <f>MAX((D5+D6),0)</f>
        <v>6100.2152697702513</v>
      </c>
      <c r="E8" s="21">
        <f>MAX((E5+E6),0)</f>
        <v>59.511700144612959</v>
      </c>
      <c r="F8" s="21">
        <f>MAX((F5+F6),0)</f>
        <v>8434.7316881536335</v>
      </c>
      <c r="G8" s="21"/>
      <c r="H8" s="21"/>
      <c r="I8" s="21"/>
      <c r="J8" s="21">
        <f>MAX((J5+J6),0)</f>
        <v>293.33349365986868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0.18260326280338376</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369.71423558248267</v>
      </c>
      <c r="C12" s="23">
        <f ca="1">C8*C10</f>
        <v>3163.9310924369752</v>
      </c>
      <c r="D12" s="23">
        <f>D8*D10</f>
        <v>1232.2434844935908</v>
      </c>
      <c r="E12" s="23">
        <f>E8*E10</f>
        <v>13.509155932827142</v>
      </c>
      <c r="F12" s="23">
        <f>F8*F10</f>
        <v>2252.0733607370203</v>
      </c>
      <c r="G12" s="23"/>
      <c r="H12" s="23"/>
      <c r="I12" s="23"/>
      <c r="J12" s="23">
        <f>J8*J10</f>
        <v>103.84005675559351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0.28730926910481025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303.67734309743054</v>
      </c>
      <c r="C26" s="247">
        <f>B26*'GWP N2O_CH4'!B5</f>
        <v>6377.2242050460409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147.42904254224618</v>
      </c>
      <c r="C27" s="247">
        <f>B27*'GWP N2O_CH4'!B5</f>
        <v>3096.0098933871695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4.4209017280758607</v>
      </c>
      <c r="C28" s="247">
        <f>B28*'GWP N2O_CH4'!B4</f>
        <v>1370.4795357035168</v>
      </c>
      <c r="D28" s="50"/>
    </row>
    <row r="29" spans="1:4">
      <c r="A29" s="41" t="s">
        <v>277</v>
      </c>
      <c r="B29" s="247">
        <f>B34*'ha_N2O bodem landbouw'!B4</f>
        <v>13.43759851679566</v>
      </c>
      <c r="C29" s="247">
        <f>B29*'GWP N2O_CH4'!B4</f>
        <v>4165.6555402066542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3.066413673508172E-3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1.9568135501339055E-4</v>
      </c>
      <c r="C5" s="463" t="s">
        <v>211</v>
      </c>
      <c r="D5" s="448">
        <f>SUM(D6:D11)</f>
        <v>7.2723882991358269E-4</v>
      </c>
      <c r="E5" s="448">
        <f>SUM(E6:E11)</f>
        <v>1.0709542795559568E-3</v>
      </c>
      <c r="F5" s="461" t="s">
        <v>211</v>
      </c>
      <c r="G5" s="448">
        <f>SUM(G6:G11)</f>
        <v>0.50766301742208075</v>
      </c>
      <c r="H5" s="448">
        <f>SUM(H6:H11)</f>
        <v>8.3376349957161783E-2</v>
      </c>
      <c r="I5" s="463" t="s">
        <v>211</v>
      </c>
      <c r="J5" s="463" t="s">
        <v>211</v>
      </c>
      <c r="K5" s="463" t="s">
        <v>211</v>
      </c>
      <c r="L5" s="463" t="s">
        <v>211</v>
      </c>
      <c r="M5" s="448">
        <f>SUM(M6:M11)</f>
        <v>3.2120327926198781E-2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4.0219383655040648E-5</v>
      </c>
      <c r="C6" s="449"/>
      <c r="D6" s="892">
        <f>vkm_2011_GW_PW*SUMIFS(TableVerdeelsleutelVkm[CNG],TableVerdeelsleutelVkm[Voertuigtype],"Lichte voertuigen")*SUMIFS(TableECFTransport[EnergieConsumptieFactor (PJ per km)],TableECFTransport[Index],CONCATENATE($A6,"_CNG_CNG"))</f>
        <v>1.2063506713863158E-4</v>
      </c>
      <c r="E6" s="892">
        <f>vkm_2011_GW_PW*SUMIFS(TableVerdeelsleutelVkm[LPG],TableVerdeelsleutelVkm[Voertuigtype],"Lichte voertuigen")*SUMIFS(TableECFTransport[EnergieConsumptieFactor (PJ per km)],TableECFTransport[Index],CONCATENATE($A6,"_LPG_LPG"))</f>
        <v>1.648048300847839E-4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4.2610974289092593E-2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1.3720850795299845E-2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2.8942878374487307E-3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4.7355294645647805E-2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1.4432931543516817E-5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2.7672836513961824E-3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5.4128104929392832E-5</v>
      </c>
      <c r="C8" s="449"/>
      <c r="D8" s="451">
        <f>vkm_2011_NGW_PW*SUMIFS(TableVerdeelsleutelVkm[CNG],TableVerdeelsleutelVkm[Voertuigtype],"Lichte voertuigen")*SUMIFS(TableECFTransport[EnergieConsumptieFactor (PJ per km)],TableECFTransport[Index],CONCATENATE($A8,"_CNG_CNG"))</f>
        <v>2.8866589382889731E-4</v>
      </c>
      <c r="E8" s="451">
        <f>vkm_2011_NGW_PW*SUMIFS(TableVerdeelsleutelVkm[LPG],TableVerdeelsleutelVkm[Voertuigtype],"Lichte voertuigen")*SUMIFS(TableECFTransport[EnergieConsumptieFactor (PJ per km)],TableECFTransport[Index],CONCATENATE($A8,"_LPG_LPG"))</f>
        <v>3.652212536087849E-4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8.7998278485437897E-2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3.1905924774778716E-2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6.0824404578127197E-3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4.0570956293783732E-2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1.1640769905392649E-5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2.3708084435658337E-3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1.0133386642895705E-4</v>
      </c>
      <c r="C10" s="449"/>
      <c r="D10" s="451">
        <f>vkm_2011_SW_PW*SUMIFS(TableVerdeelsleutelVkm[CNG],TableVerdeelsleutelVkm[Voertuigtype],"Lichte voertuigen")*SUMIFS(TableECFTransport[EnergieConsumptieFactor (PJ per km)],TableECFTransport[Index],CONCATENATE($A10,"_CNG_CNG"))</f>
        <v>3.179378689460538E-4</v>
      </c>
      <c r="E10" s="451">
        <f>vkm_2011_SW_PW*SUMIFS(TableVerdeelsleutelVkm[LPG],TableVerdeelsleutelVkm[Voertuigtype],"Lichte voertuigen")*SUMIFS(TableECFTransport[EnergieConsumptieFactor (PJ per km)],TableECFTransport[Index],CONCATENATE($A10,"_LPG_LPG"))</f>
        <v>5.4092819586238792E-4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0.12468517472598868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3.7669378019643381E-2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8.3959339649784075E-3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0.16444233898213004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5.4122665990934745E-5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9.609573570996904E-3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54.355931948164042</v>
      </c>
      <c r="C14" s="21"/>
      <c r="D14" s="21">
        <f t="shared" ref="D14:M14" si="0">((D5)*10^9/3600)+D12</f>
        <v>202.01078608710628</v>
      </c>
      <c r="E14" s="21">
        <f t="shared" si="0"/>
        <v>297.48729987665467</v>
      </c>
      <c r="F14" s="21"/>
      <c r="G14" s="21">
        <f t="shared" si="0"/>
        <v>141017.50483946688</v>
      </c>
      <c r="H14" s="21">
        <f t="shared" si="0"/>
        <v>23160.097210322718</v>
      </c>
      <c r="I14" s="21"/>
      <c r="J14" s="21"/>
      <c r="K14" s="21"/>
      <c r="L14" s="21"/>
      <c r="M14" s="21">
        <f t="shared" si="0"/>
        <v>8922.3133128329937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0.18260326280338376</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9.9255705264534413</v>
      </c>
      <c r="C18" s="23"/>
      <c r="D18" s="23">
        <f t="shared" ref="D18:M18" si="1">D14*D16</f>
        <v>40.806178789595471</v>
      </c>
      <c r="E18" s="23">
        <f t="shared" si="1"/>
        <v>67.529617072000619</v>
      </c>
      <c r="F18" s="23"/>
      <c r="G18" s="23">
        <f t="shared" si="1"/>
        <v>37651.673792137663</v>
      </c>
      <c r="H18" s="23">
        <f t="shared" si="1"/>
        <v>5766.864205370357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4.9574311036487311E-3</v>
      </c>
      <c r="H50" s="321">
        <f t="shared" si="2"/>
        <v>0</v>
      </c>
      <c r="I50" s="321">
        <f t="shared" si="2"/>
        <v>0</v>
      </c>
      <c r="J50" s="321">
        <f t="shared" si="2"/>
        <v>0</v>
      </c>
      <c r="K50" s="321">
        <f t="shared" si="2"/>
        <v>0</v>
      </c>
      <c r="L50" s="321">
        <f t="shared" si="2"/>
        <v>0</v>
      </c>
      <c r="M50" s="321">
        <f t="shared" si="2"/>
        <v>2.8156020172896966E-4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4.9574311036487311E-3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2.8156020172896966E-4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1377.064195457981</v>
      </c>
      <c r="H54" s="21">
        <f t="shared" si="3"/>
        <v>0</v>
      </c>
      <c r="I54" s="21">
        <f t="shared" si="3"/>
        <v>0</v>
      </c>
      <c r="J54" s="21">
        <f t="shared" si="3"/>
        <v>0</v>
      </c>
      <c r="K54" s="21">
        <f t="shared" si="3"/>
        <v>0</v>
      </c>
      <c r="L54" s="21">
        <f t="shared" si="3"/>
        <v>0</v>
      </c>
      <c r="M54" s="21">
        <f t="shared" si="3"/>
        <v>78.211167146936006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0.18260326280338376</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367.67614018728096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6213.1433729301916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13009.5</v>
      </c>
      <c r="C8" s="570">
        <f>B101</f>
        <v>10964.117647058822</v>
      </c>
      <c r="D8" s="1044"/>
      <c r="E8" s="1044">
        <f>E101</f>
        <v>0</v>
      </c>
      <c r="F8" s="1045"/>
      <c r="G8" s="571"/>
      <c r="H8" s="1044">
        <f>I101</f>
        <v>0</v>
      </c>
      <c r="I8" s="1044">
        <f>G101+F101</f>
        <v>0</v>
      </c>
      <c r="J8" s="1044">
        <f>H101+D101+C101</f>
        <v>4341.1764705882342</v>
      </c>
      <c r="K8" s="1044"/>
      <c r="L8" s="1044"/>
      <c r="M8" s="1044"/>
      <c r="N8" s="572"/>
      <c r="O8" s="573">
        <f>C8*$C$12+D8*$D$12+E8*$E$12+F8*$F$12+G8*$G$12+H8*$H$12+I8*$I$12+J8*$J$12</f>
        <v>2214.7517647058821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19222.643372930193</v>
      </c>
      <c r="C10" s="583">
        <f t="shared" ref="C10:L10" si="0">SUM(C8:C9)</f>
        <v>10964.117647058822</v>
      </c>
      <c r="D10" s="583">
        <f t="shared" si="0"/>
        <v>0</v>
      </c>
      <c r="E10" s="583">
        <f t="shared" si="0"/>
        <v>0</v>
      </c>
      <c r="F10" s="583">
        <f t="shared" si="0"/>
        <v>0</v>
      </c>
      <c r="G10" s="583">
        <f t="shared" si="0"/>
        <v>0</v>
      </c>
      <c r="H10" s="583">
        <f t="shared" si="0"/>
        <v>0</v>
      </c>
      <c r="I10" s="583">
        <f t="shared" si="0"/>
        <v>0</v>
      </c>
      <c r="J10" s="583">
        <f t="shared" si="0"/>
        <v>4341.1764705882342</v>
      </c>
      <c r="K10" s="583">
        <f t="shared" si="0"/>
        <v>0</v>
      </c>
      <c r="L10" s="583">
        <f t="shared" si="0"/>
        <v>0</v>
      </c>
      <c r="M10" s="1047"/>
      <c r="N10" s="1047"/>
      <c r="O10" s="584">
        <f>SUM(O4:O9)</f>
        <v>2214.7517647058821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18585.000000000004</v>
      </c>
      <c r="C17" s="595">
        <f>B102</f>
        <v>15663.025210084035</v>
      </c>
      <c r="D17" s="596"/>
      <c r="E17" s="596">
        <f>E102</f>
        <v>0</v>
      </c>
      <c r="F17" s="1050"/>
      <c r="G17" s="597"/>
      <c r="H17" s="595">
        <f>I102</f>
        <v>0</v>
      </c>
      <c r="I17" s="596">
        <f>G102+F102</f>
        <v>0</v>
      </c>
      <c r="J17" s="596">
        <f>H102+D102+C102</f>
        <v>6201.680672268908</v>
      </c>
      <c r="K17" s="596"/>
      <c r="L17" s="596"/>
      <c r="M17" s="596"/>
      <c r="N17" s="1051"/>
      <c r="O17" s="598">
        <f>C17*$C$22+E17*$E$22+H17*$H$22+I17*$I$22+J17*$J$22+D17*$D$22+F17*$F$22+G17*$G$22+K17*$K$22+L17*$L$22</f>
        <v>3163.9310924369752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18585.000000000004</v>
      </c>
      <c r="C20" s="582">
        <f>SUM(C17:C19)</f>
        <v>15663.025210084035</v>
      </c>
      <c r="D20" s="582">
        <f t="shared" ref="D20:L20" si="1">SUM(D17:D19)</f>
        <v>0</v>
      </c>
      <c r="E20" s="582">
        <f t="shared" si="1"/>
        <v>0</v>
      </c>
      <c r="F20" s="582">
        <f t="shared" si="1"/>
        <v>0</v>
      </c>
      <c r="G20" s="582">
        <f t="shared" si="1"/>
        <v>0</v>
      </c>
      <c r="H20" s="582">
        <f t="shared" si="1"/>
        <v>0</v>
      </c>
      <c r="I20" s="582">
        <f t="shared" si="1"/>
        <v>0</v>
      </c>
      <c r="J20" s="582">
        <f t="shared" si="1"/>
        <v>6201.680672268908</v>
      </c>
      <c r="K20" s="582">
        <f t="shared" si="1"/>
        <v>0</v>
      </c>
      <c r="L20" s="582">
        <f t="shared" si="1"/>
        <v>0</v>
      </c>
      <c r="M20" s="582"/>
      <c r="N20" s="582"/>
      <c r="O20" s="601">
        <f>SUM(O17:O19)</f>
        <v>3163.9310924369752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46024</v>
      </c>
      <c r="C28" s="796">
        <v>9190</v>
      </c>
      <c r="D28" s="653" t="s">
        <v>881</v>
      </c>
      <c r="E28" s="652" t="s">
        <v>882</v>
      </c>
      <c r="F28" s="652" t="s">
        <v>883</v>
      </c>
      <c r="G28" s="652" t="s">
        <v>884</v>
      </c>
      <c r="H28" s="652" t="s">
        <v>885</v>
      </c>
      <c r="I28" s="652" t="s">
        <v>882</v>
      </c>
      <c r="J28" s="795">
        <v>39904</v>
      </c>
      <c r="K28" s="795">
        <v>39913</v>
      </c>
      <c r="L28" s="652" t="s">
        <v>886</v>
      </c>
      <c r="M28" s="652">
        <v>1562</v>
      </c>
      <c r="N28" s="652">
        <v>7029</v>
      </c>
      <c r="O28" s="652">
        <v>10041.428571428572</v>
      </c>
      <c r="P28" s="652">
        <v>20082.857142857145</v>
      </c>
      <c r="Q28" s="652">
        <v>0</v>
      </c>
      <c r="R28" s="652">
        <v>0</v>
      </c>
      <c r="S28" s="652">
        <v>0</v>
      </c>
      <c r="T28" s="652">
        <v>0</v>
      </c>
      <c r="U28" s="652">
        <v>0</v>
      </c>
      <c r="V28" s="652">
        <v>0</v>
      </c>
      <c r="W28" s="652">
        <v>0</v>
      </c>
      <c r="X28" s="652">
        <v>10</v>
      </c>
      <c r="Y28" s="652" t="s">
        <v>112</v>
      </c>
      <c r="Z28" s="654" t="s">
        <v>112</v>
      </c>
    </row>
    <row r="29" spans="1:26" s="606" customFormat="1" ht="25.5">
      <c r="A29" s="605"/>
      <c r="B29" s="796">
        <v>46024</v>
      </c>
      <c r="C29" s="796">
        <v>9190</v>
      </c>
      <c r="D29" s="653" t="s">
        <v>887</v>
      </c>
      <c r="E29" s="652" t="s">
        <v>888</v>
      </c>
      <c r="F29" s="652" t="s">
        <v>889</v>
      </c>
      <c r="G29" s="652" t="s">
        <v>884</v>
      </c>
      <c r="H29" s="652" t="s">
        <v>885</v>
      </c>
      <c r="I29" s="652" t="s">
        <v>890</v>
      </c>
      <c r="J29" s="795">
        <v>40918</v>
      </c>
      <c r="K29" s="795">
        <v>40918</v>
      </c>
      <c r="L29" s="652" t="s">
        <v>891</v>
      </c>
      <c r="M29" s="652">
        <v>820</v>
      </c>
      <c r="N29" s="652">
        <v>3690</v>
      </c>
      <c r="O29" s="652">
        <v>5271.4285714285716</v>
      </c>
      <c r="P29" s="652">
        <v>0</v>
      </c>
      <c r="Q29" s="652">
        <v>0</v>
      </c>
      <c r="R29" s="652">
        <v>0</v>
      </c>
      <c r="S29" s="652">
        <v>0</v>
      </c>
      <c r="T29" s="652">
        <v>0</v>
      </c>
      <c r="U29" s="652">
        <v>0</v>
      </c>
      <c r="V29" s="652">
        <v>10542.857142857143</v>
      </c>
      <c r="W29" s="652">
        <v>0</v>
      </c>
      <c r="X29" s="652">
        <v>10</v>
      </c>
      <c r="Y29" s="652" t="s">
        <v>112</v>
      </c>
      <c r="Z29" s="654" t="s">
        <v>112</v>
      </c>
    </row>
    <row r="30" spans="1:26" s="606" customFormat="1" ht="25.5">
      <c r="A30" s="605"/>
      <c r="B30" s="796">
        <v>46024</v>
      </c>
      <c r="C30" s="796">
        <v>9190</v>
      </c>
      <c r="D30" s="653" t="s">
        <v>892</v>
      </c>
      <c r="E30" s="652" t="s">
        <v>893</v>
      </c>
      <c r="F30" s="652" t="s">
        <v>894</v>
      </c>
      <c r="G30" s="652" t="s">
        <v>884</v>
      </c>
      <c r="H30" s="652" t="s">
        <v>885</v>
      </c>
      <c r="I30" s="652" t="s">
        <v>893</v>
      </c>
      <c r="J30" s="795">
        <v>41516</v>
      </c>
      <c r="K30" s="795">
        <v>41526</v>
      </c>
      <c r="L30" s="652" t="s">
        <v>886</v>
      </c>
      <c r="M30" s="652">
        <v>509</v>
      </c>
      <c r="N30" s="652">
        <v>2290.5</v>
      </c>
      <c r="O30" s="652">
        <v>3272.1428571428573</v>
      </c>
      <c r="P30" s="652">
        <v>6544.2857142857147</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2891</v>
      </c>
      <c r="N58" s="610">
        <f>SUM(N28:N57)</f>
        <v>13009.5</v>
      </c>
      <c r="O58" s="610">
        <f t="shared" ref="O58:W58" si="2">SUM(O28:O57)</f>
        <v>18585.000000000004</v>
      </c>
      <c r="P58" s="610">
        <f t="shared" si="2"/>
        <v>26627.142857142859</v>
      </c>
      <c r="Q58" s="610">
        <f t="shared" si="2"/>
        <v>0</v>
      </c>
      <c r="R58" s="610">
        <f t="shared" si="2"/>
        <v>0</v>
      </c>
      <c r="S58" s="610">
        <f t="shared" si="2"/>
        <v>0</v>
      </c>
      <c r="T58" s="610">
        <f t="shared" si="2"/>
        <v>0</v>
      </c>
      <c r="U58" s="610">
        <f t="shared" si="2"/>
        <v>0</v>
      </c>
      <c r="V58" s="610">
        <f t="shared" si="2"/>
        <v>10542.857142857143</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2891</v>
      </c>
      <c r="N61" s="615">
        <f t="shared" si="4"/>
        <v>13009.5</v>
      </c>
      <c r="O61" s="615">
        <f t="shared" si="4"/>
        <v>18585.000000000004</v>
      </c>
      <c r="P61" s="615">
        <f t="shared" si="4"/>
        <v>26627.142857142859</v>
      </c>
      <c r="Q61" s="615">
        <f t="shared" si="4"/>
        <v>0</v>
      </c>
      <c r="R61" s="615">
        <f t="shared" si="4"/>
        <v>0</v>
      </c>
      <c r="S61" s="615">
        <f t="shared" si="4"/>
        <v>0</v>
      </c>
      <c r="T61" s="615">
        <f t="shared" si="4"/>
        <v>0</v>
      </c>
      <c r="U61" s="615">
        <f t="shared" si="4"/>
        <v>0</v>
      </c>
      <c r="V61" s="615">
        <f t="shared" si="4"/>
        <v>10542.857142857143</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10964.117647058822</v>
      </c>
      <c r="C101" s="644">
        <f t="shared" si="9"/>
        <v>0</v>
      </c>
      <c r="D101" s="644">
        <f t="shared" si="9"/>
        <v>0</v>
      </c>
      <c r="E101" s="644">
        <f t="shared" si="9"/>
        <v>0</v>
      </c>
      <c r="F101" s="644">
        <f t="shared" si="9"/>
        <v>0</v>
      </c>
      <c r="G101" s="644">
        <f t="shared" si="9"/>
        <v>0</v>
      </c>
      <c r="H101" s="644">
        <f t="shared" si="9"/>
        <v>4341.1764705882342</v>
      </c>
      <c r="I101" s="645">
        <f t="shared" si="9"/>
        <v>0</v>
      </c>
      <c r="J101" s="602"/>
      <c r="K101" s="602"/>
      <c r="L101" s="640"/>
      <c r="M101" s="640"/>
      <c r="N101" s="640"/>
      <c r="O101" s="627"/>
      <c r="P101" s="627"/>
    </row>
    <row r="102" spans="1:16" ht="15.75" thickBot="1">
      <c r="A102" s="646" t="s">
        <v>286</v>
      </c>
      <c r="B102" s="647">
        <f t="shared" ref="B102:I102" si="10">$B$98*P58</f>
        <v>15663.025210084035</v>
      </c>
      <c r="C102" s="647">
        <f t="shared" si="10"/>
        <v>0</v>
      </c>
      <c r="D102" s="647">
        <f t="shared" si="10"/>
        <v>0</v>
      </c>
      <c r="E102" s="647">
        <f t="shared" si="10"/>
        <v>0</v>
      </c>
      <c r="F102" s="647">
        <f t="shared" si="10"/>
        <v>0</v>
      </c>
      <c r="G102" s="647">
        <f t="shared" si="10"/>
        <v>0</v>
      </c>
      <c r="H102" s="647">
        <f t="shared" si="10"/>
        <v>6201.680672268908</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2019-08-12T08:35:04Z</dcterms:modified>
</cp:coreProperties>
</file>