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G19"/>
  <c r="H89" i="14" s="1"/>
  <c r="H19" i="61" s="1"/>
  <c r="F19" i="18"/>
  <c r="G89" i="14" s="1"/>
  <c r="G19" i="61" s="1"/>
  <c r="E19" i="18"/>
  <c r="F89" i="14" s="1"/>
  <c r="F19" i="61" s="1"/>
  <c r="D19" i="18"/>
  <c r="C19"/>
  <c r="D89" i="14" s="1"/>
  <c r="D19" i="61" s="1"/>
  <c r="B19" i="18"/>
  <c r="N18"/>
  <c r="L88" i="14" s="1"/>
  <c r="M18" i="18"/>
  <c r="L18"/>
  <c r="K18"/>
  <c r="J18"/>
  <c r="I18"/>
  <c r="H18"/>
  <c r="G18"/>
  <c r="H88" i="14" s="1"/>
  <c r="H18" i="61" s="1"/>
  <c r="F18" i="18"/>
  <c r="G88" i="14" s="1"/>
  <c r="G18" i="61" s="1"/>
  <c r="E18" i="18"/>
  <c r="D18"/>
  <c r="D20" s="1"/>
  <c r="C18"/>
  <c r="B18"/>
  <c r="L9"/>
  <c r="K9"/>
  <c r="N77" i="14" s="1"/>
  <c r="G9" i="18"/>
  <c r="G10" s="1"/>
  <c r="F9"/>
  <c r="F10" s="1"/>
  <c r="E9"/>
  <c r="D9"/>
  <c r="C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L6" i="17" s="1"/>
  <c r="T61" i="18"/>
  <c r="S61"/>
  <c r="F6" i="17" s="1"/>
  <c r="R61" i="18"/>
  <c r="Q61"/>
  <c r="P61"/>
  <c r="D6" i="17" s="1"/>
  <c r="O61" i="18"/>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88" i="14"/>
  <c r="D18" i="61" s="1"/>
  <c r="B17" i="18"/>
  <c r="B20" s="1"/>
  <c r="G12"/>
  <c r="F12"/>
  <c r="E12"/>
  <c r="D12"/>
  <c r="C12"/>
  <c r="L10"/>
  <c r="K10"/>
  <c r="E77" i="14"/>
  <c r="E9" i="61" s="1"/>
  <c r="B8" i="18"/>
  <c r="B6"/>
  <c r="B74" i="14" s="1"/>
  <c r="B6" i="61" s="1"/>
  <c r="B5" i="18"/>
  <c r="B4"/>
  <c r="N6" i="17"/>
  <c r="B19" i="6"/>
  <c r="B18"/>
  <c r="B5"/>
  <c r="B6"/>
  <c r="C64" i="14" s="1"/>
  <c r="D14" i="48"/>
  <c r="Q14" s="1"/>
  <c r="B14"/>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89" i="14"/>
  <c r="O19" i="61" s="1"/>
  <c r="N89" i="14"/>
  <c r="N19" i="61" s="1"/>
  <c r="M89" i="14"/>
  <c r="M19" i="61" s="1"/>
  <c r="L89" i="14"/>
  <c r="L19" i="61" s="1"/>
  <c r="K89" i="14"/>
  <c r="K19" i="61" s="1"/>
  <c r="J89" i="14"/>
  <c r="J19" i="61" s="1"/>
  <c r="E89" i="14"/>
  <c r="E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Q26" s="1"/>
  <c r="P24"/>
  <c r="P26" s="1"/>
  <c r="N24"/>
  <c r="L24"/>
  <c r="L26" s="1"/>
  <c r="J24"/>
  <c r="J26" s="1"/>
  <c r="I24"/>
  <c r="I26" s="1"/>
  <c r="H24"/>
  <c r="Q50"/>
  <c r="P50"/>
  <c r="O50"/>
  <c r="M50"/>
  <c r="L50"/>
  <c r="K50"/>
  <c r="J50"/>
  <c r="G50"/>
  <c r="D50"/>
  <c r="Q49"/>
  <c r="Q52" s="1"/>
  <c r="P49"/>
  <c r="Q20"/>
  <c r="P20"/>
  <c r="O20"/>
  <c r="M20"/>
  <c r="L20"/>
  <c r="K20"/>
  <c r="J20"/>
  <c r="G20"/>
  <c r="D20"/>
  <c r="Q19"/>
  <c r="Q22" s="1"/>
  <c r="P19"/>
  <c r="O19"/>
  <c r="M19"/>
  <c r="M22" s="1"/>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N26"/>
  <c r="E25"/>
  <c r="C25"/>
  <c r="H26"/>
  <c r="L22"/>
  <c r="D5" i="17"/>
  <c r="N78" i="14" l="1"/>
  <c r="N9" i="61"/>
  <c r="N10" s="1"/>
  <c r="P22" i="14"/>
  <c r="O22"/>
  <c r="G77"/>
  <c r="G9" i="61" s="1"/>
  <c r="G10" s="1"/>
  <c r="H20"/>
  <c r="I77" i="14"/>
  <c r="I9" i="61" s="1"/>
  <c r="O10"/>
  <c r="G20"/>
  <c r="K20"/>
  <c r="Q11" i="48"/>
  <c r="O25"/>
  <c r="B98" i="18"/>
  <c r="E102" s="1"/>
  <c r="E17" s="1"/>
  <c r="L78" i="14"/>
  <c r="L8" i="61"/>
  <c r="L10" s="1"/>
  <c r="K78" i="14"/>
  <c r="K8" i="61"/>
  <c r="K10" s="1"/>
  <c r="L90" i="14"/>
  <c r="L18" i="61"/>
  <c r="L20" s="1"/>
  <c r="E88" i="14"/>
  <c r="O30" i="48"/>
  <c r="N20" i="61"/>
  <c r="K90" i="14"/>
  <c r="K22"/>
  <c r="I9" i="18"/>
  <c r="B10"/>
  <c r="H9"/>
  <c r="M77" i="14" s="1"/>
  <c r="M9" i="61" s="1"/>
  <c r="L13" i="15"/>
  <c r="B13"/>
  <c r="H90" i="14"/>
  <c r="N13" i="15"/>
  <c r="F77" i="14"/>
  <c r="F9" i="61" s="1"/>
  <c r="I101" i="18"/>
  <c r="H8" s="1"/>
  <c r="E101"/>
  <c r="E8" s="1"/>
  <c r="G101"/>
  <c r="I8" s="1"/>
  <c r="F101"/>
  <c r="H101"/>
  <c r="D101"/>
  <c r="C101"/>
  <c r="B101"/>
  <c r="C8" s="1"/>
  <c r="I102"/>
  <c r="H17" s="1"/>
  <c r="C102"/>
  <c r="B102"/>
  <c r="C17" s="1"/>
  <c r="H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E90" l="1"/>
  <c r="E18" i="61"/>
  <c r="E20" s="1"/>
  <c r="H78" i="14"/>
  <c r="H9" i="61"/>
  <c r="H10" s="1"/>
  <c r="O9" i="18"/>
  <c r="D102"/>
  <c r="O90" i="14"/>
  <c r="O18" i="61"/>
  <c r="O2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27"/>
  <c r="I31"/>
  <c r="I24"/>
  <c r="I28"/>
  <c r="I30"/>
  <c r="I22"/>
  <c r="I32"/>
  <c r="I26"/>
  <c r="I29"/>
  <c r="D4"/>
  <c r="D22" s="1"/>
  <c r="E11" i="14"/>
  <c r="D11"/>
  <c r="C4" i="48"/>
  <c r="G23"/>
  <c r="G32"/>
  <c r="G30"/>
  <c r="G24"/>
  <c r="G26"/>
  <c r="G22"/>
  <c r="G25"/>
  <c r="G29"/>
  <c r="C11" i="14"/>
  <c r="B4" i="48"/>
  <c r="F24"/>
  <c r="F31"/>
  <c r="F27"/>
  <c r="F29"/>
  <c r="F30"/>
  <c r="F32"/>
  <c r="F28"/>
  <c r="N30"/>
  <c r="N32"/>
  <c r="N24"/>
  <c r="N31"/>
  <c r="N29"/>
  <c r="N27"/>
  <c r="N28"/>
  <c r="C19" i="14"/>
  <c r="B10" i="48"/>
  <c r="E29"/>
  <c r="E31"/>
  <c r="E32"/>
  <c r="E24"/>
  <c r="E30"/>
  <c r="E28"/>
  <c r="M29"/>
  <c r="M25"/>
  <c r="M22"/>
  <c r="M26"/>
  <c r="M24"/>
  <c r="M30"/>
  <c r="M32"/>
  <c r="M23"/>
  <c r="B8" i="9"/>
  <c r="B6" i="48" s="1"/>
  <c r="Q6" s="1"/>
  <c r="O4"/>
  <c r="P11" i="14"/>
  <c r="H29" i="48"/>
  <c r="H32"/>
  <c r="H26"/>
  <c r="H25"/>
  <c r="H28"/>
  <c r="H30"/>
  <c r="H24"/>
  <c r="H22"/>
  <c r="H23"/>
  <c r="K5"/>
  <c r="L10" i="14"/>
  <c r="L16" s="1"/>
  <c r="L27" s="1"/>
  <c r="D30" i="48"/>
  <c r="D28"/>
  <c r="D29"/>
  <c r="D31"/>
  <c r="D32"/>
  <c r="D24"/>
  <c r="L29"/>
  <c r="L32"/>
  <c r="L27"/>
  <c r="L30"/>
  <c r="L28"/>
  <c r="L24"/>
  <c r="L31"/>
  <c r="L22"/>
  <c r="P5"/>
  <c r="P23" s="1"/>
  <c r="Q10" i="14"/>
  <c r="K32" i="48"/>
  <c r="K24"/>
  <c r="K27"/>
  <c r="K31"/>
  <c r="K22"/>
  <c r="K26"/>
  <c r="K25"/>
  <c r="K29"/>
  <c r="K28"/>
  <c r="K30"/>
  <c r="B7"/>
  <c r="C24" i="14"/>
  <c r="C26" s="1"/>
  <c r="J30" i="48"/>
  <c r="J32"/>
  <c r="J24"/>
  <c r="J29"/>
  <c r="J28"/>
  <c r="J27"/>
  <c r="J31"/>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Q16" s="1"/>
  <c r="Q27" s="1"/>
  <c r="D9" i="48"/>
  <c r="D27" s="1"/>
  <c r="E20" i="14"/>
  <c r="E22" s="1"/>
  <c r="O5" i="48"/>
  <c r="O23" s="1"/>
  <c r="P10" i="14"/>
  <c r="C22"/>
  <c r="B9" i="48"/>
  <c r="C20" i="14"/>
  <c r="J7" i="48"/>
  <c r="J25" s="1"/>
  <c r="K24" i="14"/>
  <c r="K26" s="1"/>
  <c r="F4" i="48"/>
  <c r="F22" s="1"/>
  <c r="G11" i="14"/>
  <c r="J10"/>
  <c r="J16" s="1"/>
  <c r="J27" s="1"/>
  <c r="I5" i="48"/>
  <c r="L61" i="14"/>
  <c r="L63" s="1"/>
  <c r="E9" i="48"/>
  <c r="E27" s="1"/>
  <c r="F20" i="14"/>
  <c r="F22" s="1"/>
  <c r="P22" i="48"/>
  <c r="P33" s="1"/>
  <c r="P15"/>
  <c r="O22"/>
  <c r="G13"/>
  <c r="G31" s="1"/>
  <c r="H18" i="14"/>
  <c r="K23" i="48"/>
  <c r="K33" s="1"/>
  <c r="K15"/>
  <c r="J61" i="14"/>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G10" i="48" l="1"/>
  <c r="H19" i="14"/>
  <c r="E7" i="48"/>
  <c r="E25" s="1"/>
  <c r="F24" i="14"/>
  <c r="F26" s="1"/>
  <c r="M10" i="48"/>
  <c r="M28" s="1"/>
  <c r="N19" i="14"/>
  <c r="I15" i="48"/>
  <c r="I23"/>
  <c r="I33" s="1"/>
  <c r="E4"/>
  <c r="F11" i="14"/>
  <c r="R11" s="1"/>
  <c r="O8" i="48"/>
  <c r="P13" i="14"/>
  <c r="K11"/>
  <c r="J4" i="48"/>
  <c r="N4"/>
  <c r="N22" s="1"/>
  <c r="O11" i="14"/>
  <c r="P16"/>
  <c r="P27" s="1"/>
  <c r="J63"/>
  <c r="P46"/>
  <c r="P61" s="1"/>
  <c r="Q63"/>
  <c r="M14" i="22"/>
  <c r="N20" i="14" s="1"/>
  <c r="N22" s="1"/>
  <c r="N27" s="1"/>
  <c r="I20"/>
  <c r="I22" s="1"/>
  <c r="I27" s="1"/>
  <c r="H9" i="48"/>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J20" s="1"/>
  <c r="K40" i="14" s="1"/>
  <c r="E16" i="15"/>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G9" i="48" l="1"/>
  <c r="H20" i="14"/>
  <c r="E22" i="48"/>
  <c r="Q4"/>
  <c r="G28"/>
  <c r="Q10"/>
  <c r="Q7"/>
  <c r="M18" i="22"/>
  <c r="N50" i="14" s="1"/>
  <c r="N52" s="1"/>
  <c r="N61" s="1"/>
  <c r="J22" i="48"/>
  <c r="K10" i="14"/>
  <c r="J5" i="48"/>
  <c r="J23" s="1"/>
  <c r="H22" i="14"/>
  <c r="H27" s="1"/>
  <c r="R19"/>
  <c r="E5" i="48"/>
  <c r="E23" s="1"/>
  <c r="F10" i="14"/>
  <c r="O26" i="48"/>
  <c r="O33" s="1"/>
  <c r="O15"/>
  <c r="M9"/>
  <c r="Q9" s="1"/>
  <c r="P63" i="14"/>
  <c r="H15" i="48"/>
  <c r="H27"/>
  <c r="H33" s="1"/>
  <c r="N63" i="14"/>
  <c r="R20"/>
  <c r="R22" s="1"/>
  <c r="R24"/>
  <c r="R26" s="1"/>
  <c r="N18" i="16"/>
  <c r="E20" i="15"/>
  <c r="F40" i="14" s="1"/>
  <c r="F18" i="16"/>
  <c r="J18"/>
  <c r="E18"/>
  <c r="G18" i="22"/>
  <c r="H50" i="14" s="1"/>
  <c r="H52" s="1"/>
  <c r="H61" s="1"/>
  <c r="H63" s="1"/>
  <c r="H18" i="22"/>
  <c r="I50" i="14" s="1"/>
  <c r="I52" s="1"/>
  <c r="I61" s="1"/>
  <c r="I63" s="1"/>
  <c r="E33" i="48" l="1"/>
  <c r="M15"/>
  <c r="M27"/>
  <c r="M33" s="1"/>
  <c r="G27"/>
  <c r="G33" s="1"/>
  <c r="G15"/>
  <c r="K13" i="14"/>
  <c r="K16" s="1"/>
  <c r="K27" s="1"/>
  <c r="K63" s="1"/>
  <c r="J8" i="48"/>
  <c r="J26" s="1"/>
  <c r="J33" s="1"/>
  <c r="E8"/>
  <c r="E26" s="1"/>
  <c r="F13" i="14"/>
  <c r="F16" s="1"/>
  <c r="F27" s="1"/>
  <c r="F63" s="1"/>
  <c r="F46"/>
  <c r="F61" s="1"/>
  <c r="J15" i="48"/>
  <c r="E15"/>
  <c r="N8"/>
  <c r="N26" s="1"/>
  <c r="O13" i="14"/>
  <c r="F8" i="48"/>
  <c r="G13" i="14"/>
  <c r="E22" i="16"/>
  <c r="F43" i="14" s="1"/>
  <c r="F22" i="16"/>
  <c r="G43" i="14" s="1"/>
  <c r="N22" i="16"/>
  <c r="O43" i="14" s="1"/>
  <c r="J22" i="16"/>
  <c r="K43" i="14" s="1"/>
  <c r="K46" s="1"/>
  <c r="K61" s="1"/>
  <c r="R13" l="1"/>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<sst xmlns="http://schemas.openxmlformats.org/spreadsheetml/2006/main" count="2392" uniqueCount="888">
  <si>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</si>
  <si>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</si>
  <si>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</si>
  <si>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</si>
  <si>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</si>
  <si>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</si>
  <si>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</si>
  <si>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</si>
  <si>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</si>
  <si>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</si>
  <si>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</si>
  <si>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</si>
  <si>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</si>
  <si>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</si>
  <si>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</si>
  <si>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</si>
  <si>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</si>
  <si>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</si>
  <si>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</si>
  <si>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</si>
  <si>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</si>
  <si>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</si>
  <si>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</si>
  <si>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</si>
  <si>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</si>
  <si>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</si>
  <si>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</si>
  <si>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</si>
  <si>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</si>
  <si>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</si>
  <si>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</si>
  <si>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</si>
  <si>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</si>
  <si>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</si>
  <si>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</si>
  <si>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</si>
  <si>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</si>
  <si>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</si>
  <si>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</si>
  <si>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</si>
  <si>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</si>
  <si>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</si>
  <si>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</si>
  <si>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</si>
  <si>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</si>
  <si>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</si>
  <si>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</si>
  <si>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</si>
  <si>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</si>
  <si>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</si>
  <si>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</si>
  <si>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</si>
  <si>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</si>
  <si>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</si>
  <si>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</si>
  <si>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</si>
  <si>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</si>
  <si>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</si>
  <si>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</si>
  <si>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</si>
  <si>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</si>
  <si>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</si>
  <si>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</si>
  <si>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</si>
  <si>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</si>
  <si>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</si>
  <si>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</si>
  <si>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</si>
  <si>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</si>
  <si>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</si>
  <si>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</si>
  <si>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</si>
  <si>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</si>
  <si>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</si>
  <si>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</si>
  <si>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</si>
  <si>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</si>
  <si>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</si>
  <si>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</si>
  <si>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</si>
  <si>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</si>
  <si>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</si>
  <si>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</si>
  <si>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</si>
  <si>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</si>
  <si>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</si>
  <si>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</si>
  <si>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</si>
  <si>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</si>
  <si>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</si>
  <si>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</si>
  <si>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</si>
  <si>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</si>
  <si>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</si>
  <si>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</si>
  <si>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</si>
  <si>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</si>
  <si>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</si>
  <si>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</si>
  <si>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</si>
  <si>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</si>
  <si>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</si>
  <si>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</si>
  <si>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</si>
  <si>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</si>
  <si>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</si>
  <si>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</si>
  <si>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</si>
  <si>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</si>
  <si>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</si>
  <si>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</si>
  <si>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</si>
  <si>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</si>
  <si>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</si>
  <si>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</si>
  <si>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</si>
  <si>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</si>
  <si>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</si>
  <si>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</si>
  <si>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</si>
  <si>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</si>
  <si>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</si>
  <si>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</si>
  <si>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</si>
  <si>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</si>
  <si>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</si>
  <si>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</si>
  <si>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</si>
  <si>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</si>
  <si>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</si>
  <si>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</si>
  <si>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</si>
  <si>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</si>
  <si>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</si>
  <si>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</si>
  <si>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</si>
  <si>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</si>
  <si>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</si>
  <si>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</si>
  <si>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</si>
  <si>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</si>
  <si>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</si>
  <si>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</si>
  <si>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</si>
  <si>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</si>
  <si>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</si>
  <si>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</si>
  <si>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</si>
  <si>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</si>
  <si>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</si>
  <si>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</si>
  <si>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</si>
  <si>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</si>
  <si>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</si>
  <si>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</si>
  <si>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</si>
  <si>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</si>
  <si>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</si>
  <si>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</si>
  <si>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</si>
  <si>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</si>
  <si>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</si>
  <si>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</si>
  <si>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</si>
  <si>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</si>
  <si>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</si>
  <si>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</si>
  <si>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</si>
  <si>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</si>
  <si>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</si>
  <si>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</si>
  <si>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</si>
  <si>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</si>
  <si>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</si>
  <si>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</si>
  <si>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</si>
  <si>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</si>
  <si>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</si>
  <si>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</si>
  <si>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</si>
  <si>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</si>
  <si>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</si>
  <si>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</si>
  <si>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</si>
  <si>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</si>
  <si>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</si>
  <si>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</si>
  <si>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</si>
  <si>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</si>
  <si>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</si>
  <si>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</si>
  <si>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</si>
  <si>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</si>
  <si>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</si>
  <si>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</si>
  <si>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</si>
  <si>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</si>
  <si>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</si>
  <si>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</si>
  <si>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</si>
  <si>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</si>
  <si>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</si>
  <si>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</si>
  <si>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</si>
  <si>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</si>
  <si>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</si>
  <si>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</si>
  <si>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</si>
  <si>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</si>
  <si>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</si>
  <si>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</si>
  <si>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</si>
  <si>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</si>
  <si>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</si>
  <si>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</si>
  <si>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</si>
  <si>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</si>
  <si>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</si>
  <si>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</si>
  <si>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</si>
  <si>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</si>
  <si>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</si>
  <si>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</si>
  <si>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</si>
  <si>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</si>
  <si>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</si>
  <si>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</si>
  <si>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</si>
  <si>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</si>
  <si>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</si>
  <si>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</si>
  <si>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</si>
  <si>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</si>
  <si>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</si>
  <si>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</si>
  <si>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</si>
  <si>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</si>
  <si>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</si>
  <si>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</si>
  <si>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</si>
  <si>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</si>
  <si>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</si>
  <si>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</si>
  <si>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</si>
  <si>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</si>
  <si>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</si>
  <si>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</si>
  <si>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</si>
  <si>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</si>
  <si>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</si>
  <si>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</si>
  <si>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</si>
  <si>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</si>
  <si>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</si>
  <si>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</si>
  <si>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</si>
  <si>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</si>
  <si>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</si>
  <si>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</si>
  <si>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</si>
  <si>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</si>
  <si>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</si>
  <si>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</si>
  <si>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</si>
  <si>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</si>
  <si>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</si>
  <si>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</si>
  <si>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</si>
  <si>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</si>
  <si>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</si>
  <si>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</si>
  <si>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</si>
  <si>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</si>
  <si>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</si>
  <si>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</si>
  <si>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</si>
  <si>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</si>
  <si>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</si>
  <si>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</si>
  <si>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</si>
  <si>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</si>
  <si>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</si>
  <si>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</si>
  <si>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</si>
  <si>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</si>
  <si>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</si>
  <si>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</si>
  <si>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</si>
  <si>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</si>
  <si>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</si>
  <si>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</si>
  <si>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</si>
  <si>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</si>
  <si>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</si>
  <si>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</si>
  <si>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</si>
  <si>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</si>
  <si>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</si>
  <si>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</si>
  <si>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</si>
  <si>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</si>
  <si>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</si>
  <si>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</si>
  <si>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</si>
  <si>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</si>
  <si>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</si>
  <si>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</si>
  <si>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</si>
  <si>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</si>
  <si>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</si>
  <si>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</si>
  <si>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</si>
  <si>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</si>
  <si>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</si>
  <si>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</si>
  <si>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</si>
  <si>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</si>
  <si>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</si>
  <si>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</si>
  <si>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</si>
  <si>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</si>
  <si>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</si>
  <si>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</si>
  <si>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</si>
  <si>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</si>
  <si>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</si>
  <si>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</si>
  <si>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</si>
  <si>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</si>
  <si>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</si>
  <si>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</si>
  <si>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</si>
  <si>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</si>
  <si>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</si>
  <si>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</si>
  <si>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</si>
  <si>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</si>
  <si>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</si>
  <si>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</si>
  <si>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</si>
  <si>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</si>
  <si>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</si>
  <si>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</si>
  <si>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</si>
  <si>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</si>
  <si>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</si>
  <si>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</si>
  <si>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</si>
  <si>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</si>
  <si>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</si>
  <si>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</si>
  <si>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</si>
  <si>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</si>
  <si>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</si>
  <si>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</si>
  <si>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</si>
  <si>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</si>
  <si>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</si>
  <si>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</si>
  <si>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</si>
  <si>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</si>
  <si>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</si>
  <si>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</si>
  <si>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</si>
  <si>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</si>
  <si>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</si>
  <si>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</si>
  <si>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</si>
  <si>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</si>
  <si>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</si>
  <si>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</si>
  <si>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</si>
  <si>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</si>
  <si>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</si>
  <si>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</si>
  <si>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</si>
  <si>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</si>
  <si>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</si>
  <si>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</si>
  <si>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</si>
  <si>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</si>
  <si>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</si>
  <si>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</si>
  <si>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</si>
  <si>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</si>
  <si>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</si>
  <si>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</si>
  <si>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</si>
  <si>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</si>
  <si>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</si>
  <si>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</si>
  <si>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</si>
  <si>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</si>
  <si>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</si>
  <si>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</si>
  <si>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</si>
  <si>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</si>
  <si>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</si>
  <si>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</si>
  <si>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</si>
  <si>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</si>
  <si>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</si>
  <si>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</si>
  <si>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</si>
  <si>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</si>
  <si>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</si>
  <si>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</si>
  <si>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</si>
  <si>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</si>
  <si>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</si>
  <si>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</si>
  <si>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</si>
  <si>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</si>
  <si>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</si>
  <si>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</si>
  <si>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</si>
  <si>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</si>
  <si>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</si>
  <si>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</si>
  <si>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</si>
  <si>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</si>
  <si>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</si>
  <si>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</si>
  <si>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</si>
  <si>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</si>
  <si>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</si>
  <si>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</si>
  <si>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</si>
  <si>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</si>
  <si>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</si>
  <si>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</si>
  <si>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</si>
  <si>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</si>
  <si>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</si>
  <si>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</si>
  <si>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</si>
  <si>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</si>
  <si>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</si>
  <si>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</si>
  <si>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</si>
  <si>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</si>
  <si>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</si>
  <si>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</si>
  <si>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</si>
  <si>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</si>
  <si>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</si>
  <si>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</si>
  <si>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</si>
  <si>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</si>
  <si>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</si>
  <si>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</si>
  <si>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</si>
  <si>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</si>
  <si>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</si>
  <si>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</si>
  <si>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</si>
  <si>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</si>
  <si>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</si>
  <si>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</si>
  <si>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</si>
  <si>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</si>
  <si>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</si>
  <si>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</si>
  <si>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</si>
  <si>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</si>
  <si>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</si>
  <si>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</si>
  <si>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</si>
  <si>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</si>
  <si>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</si>
  <si>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</si>
  <si>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</si>
  <si>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</si>
  <si>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</si>
  <si>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</si>
  <si>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</si>
  <si>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</si>
  <si>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</si>
  <si>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</si>
  <si>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</si>
  <si>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</si>
  <si>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</si>
  <si>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</si>
  <si>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</si>
  <si>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</si>
  <si>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</si>
  <si>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</si>
  <si>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</si>
  <si>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</si>
  <si>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</si>
  <si>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</si>
  <si>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</si>
  <si>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</si>
  <si>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</si>
  <si>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</si>
  <si>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</si>
  <si>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</si>
  <si>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</si>
  <si>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</si>
  <si>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</si>
  <si>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</si>
  <si>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</si>
  <si>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</si>
  <si>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</si>
  <si>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</si>
  <si>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</si>
  <si>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</si>
  <si>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</si>
  <si>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</si>
  <si>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</si>
  <si>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</si>
  <si>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</si>
  <si>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</si>
  <si>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</si>
  <si>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</si>
  <si>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</si>
  <si>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</si>
  <si>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</si>
  <si>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</si>
  <si>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</si>
  <si>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</si>
  <si>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</si>
  <si>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</si>
  <si>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</si>
  <si>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</si>
  <si>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</si>
  <si>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</si>
  <si>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</si>
  <si>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</si>
  <si>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</si>
  <si>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</si>
  <si>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</si>
  <si>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</si>
  <si>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</si>
  <si>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</si>
  <si>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</si>
  <si>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</si>
  <si>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</si>
  <si>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</si>
  <si>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</si>
  <si>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</si>
  <si>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</si>
  <si>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</si>
  <si>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</si>
  <si>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</si>
  <si>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</si>
  <si>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</si>
  <si>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</si>
  <si>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</si>
  <si>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</si>
  <si>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</si>
  <si>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</si>
  <si>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</si>
  <si>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</si>
  <si>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</si>
  <si>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</si>
  <si>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</si>
  <si>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</si>
  <si>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</si>
  <si>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</si>
  <si>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</si>
  <si>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</si>
  <si>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</si>
  <si>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</si>
  <si>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</si>
  <si>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</si>
  <si>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</si>
  <si>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</si>
  <si>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</si>
  <si>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</si>
  <si>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</si>
  <si>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</si>
  <si>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</si>
  <si>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</si>
  <si>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</si>
  <si>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</si>
  <si>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</si>
  <si>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</si>
  <si>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</si>
  <si>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</si>
  <si>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</si>
  <si>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</si>
  <si>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</si>
  <si>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</si>
  <si>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</si>
  <si>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</si>
  <si>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</si>
  <si>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</si>
  <si>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</si>
  <si>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</si>
  <si>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</si>
  <si>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</si>
  <si>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</si>
  <si>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</si>
  <si>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</si>
  <si>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</si>
  <si>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</si>
  <si>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</si>
  <si>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</si>
  <si>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</si>
  <si>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</si>
  <si>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</si>
  <si>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</si>
  <si>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</si>
  <si>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</si>
  <si>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</si>
  <si>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</si>
  <si>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</si>
  <si>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</si>
  <si>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</si>
  <si>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</si>
  <si>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</si>
  <si>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</si>
  <si>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</si>
  <si>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</si>
  <si>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</si>
  <si>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</si>
  <si>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</si>
  <si>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</si>
  <si>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</si>
  <si>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</si>
  <si>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</si>
  <si>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</si>
  <si>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</si>
  <si>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</si>
  <si>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</si>
  <si>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</si>
  <si>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</si>
  <si>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</si>
  <si>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</si>
  <si>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</si>
  <si>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</si>
  <si>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</si>
  <si>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</si>
  <si>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</si>
  <si>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</si>
  <si>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</si>
  <si>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</si>
  <si>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</si>
  <si>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</si>
  <si>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</si>
  <si>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</si>
  <si>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</si>
  <si>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</si>
  <si>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</si>
  <si>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</si>
  <si>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</si>
  <si>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</si>
  <si>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</si>
  <si>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</si>
  <si>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</si>
  <si>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</si>
  <si>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</si>
  <si>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</si>
  <si>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</si>
  <si>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</si>
  <si>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</si>
  <si>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</si>
  <si>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</si>
  <si>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</si>
  <si>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</si>
  <si>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</si>
  <si>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</si>
  <si>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</si>
  <si>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</si>
  <si>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</si>
  <si>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</si>
  <si>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</si>
  <si>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</si>
  <si>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</si>
  <si>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</si>
  <si>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</si>
  <si>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</si>
  <si>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</si>
  <si>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</si>
  <si>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</si>
  <si>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</si>
  <si>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</si>
  <si>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</si>
  <si>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</si>
  <si>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</si>
  <si>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</si>
  <si>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</si>
  <si>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</si>
  <si>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</si>
  <si>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</si>
  <si>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</si>
  <si>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</si>
  <si>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</si>
  <si>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</si>
  <si>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</si>
  <si>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</si>
  <si>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</si>
  <si>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</si>
  <si>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</si>
  <si>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</si>
  <si>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</si>
  <si>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</si>
  <si>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</si>
  <si>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</si>
  <si>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</si>
  <si>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</si>
  <si>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</si>
  <si>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</si>
  <si>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</si>
  <si>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</si>
  <si>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</si>
  <si>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</si>
  <si>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</si>
  <si>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</si>
  <si>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</si>
  <si>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</si>
  <si>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</si>
  <si>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</si>
  <si>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</si>
  <si>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</si>
  <si>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</si>
  <si>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</si>
  <si>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</si>
  <si>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</si>
  <si>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</si>
  <si>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</si>
  <si>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</si>
  <si>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</si>
  <si>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</si>
  <si>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</si>
  <si>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</si>
  <si>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</si>
  <si>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</si>
  <si>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</si>
  <si>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</si>
  <si>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</si>
  <si>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</si>
  <si>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</si>
  <si>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</si>
  <si>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</si>
  <si>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</si>
  <si>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</si>
  <si>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</si>
  <si>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</si>
  <si>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</si>
  <si>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</si>
  <si>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</si>
  <si>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</si>
  <si>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</si>
  <si>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</si>
  <si>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</si>
  <si>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</si>
  <si>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</si>
  <si>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</si>
  <si>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</si>
  <si>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</si>
  <si>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</si>
  <si>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</si>
  <si>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</si>
  <si>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</si>
  <si>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</si>
  <si>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</si>
  <si>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</si>
  <si>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</si>
  <si>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</si>
  <si>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</si>
  <si>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</si>
  <si>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</si>
  <si>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</si>
  <si>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</si>
  <si>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</si>
  <si>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</si>
  <si>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</si>
  <si>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</si>
  <si>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</si>
  <si>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</si>
  <si>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</si>
  <si>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</si>
  <si>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</si>
  <si>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</si>
  <si>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</si>
  <si>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</si>
  <si>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</si>
  <si>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</si>
  <si>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</si>
  <si>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</si>
  <si>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</si>
  <si>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</si>
  <si>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</si>
  <si>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</si>
  <si>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</si>
  <si>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</si>
  <si>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</si>
  <si>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</si>
  <si>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</si>
  <si>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</si>
  <si>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</si>
  <si>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</si>
  <si>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</si>
  <si>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</si>
  <si>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</si>
  <si>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</si>
  <si>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</si>
  <si>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</si>
  <si>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</si>
  <si>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</si>
  <si>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</si>
  <si>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</si>
  <si>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</si>
  <si>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</si>
  <si>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</si>
  <si>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</si>
  <si>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</si>
  <si>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</si>
  <si>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</si>
  <si>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</si>
  <si>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</si>
  <si>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</si>
  <si>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</si>
  <si>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</si>
  <si>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</si>
  <si>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</si>
  <si>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</si>
  <si>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</si>
  <si>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</si>
  <si>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</si>
  <si>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</si>
  <si>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</si>
  <si>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</si>
  <si>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</si>
  <si>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</si>
  <si>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</si>
  <si>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</si>
  <si>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</si>
  <si>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</si>
  <si>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</si>
  <si>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</si>
  <si>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</si>
  <si>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</si>
  <si>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</si>
  <si>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</si>
  <si>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</si>
  <si>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</si>
  <si>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</si>
  <si>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</si>
  <si>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</si>
  <si>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</si>
  <si>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</si>
  <si>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</si>
  <si>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</si>
  <si>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</si>
  <si>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</si>
  <si>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</si>
  <si>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</si>
  <si>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</si>
  <si>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</si>
  <si>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</si>
  <si>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</si>
  <si>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</si>
  <si>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</si>
  <si>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</si>
  <si>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</si>
  <si>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</si>
  <si>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</si>
  <si>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</si>
  <si>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</si>
  <si>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</si>
  <si>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</si>
  <si>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</si>
  <si>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</si>
  <si>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</si>
  <si>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</si>
  <si>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</si>
  <si>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</si>
  <si>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</si>
  <si>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</si>
  <si>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</si>
  <si>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46014</t>
  </si>
  <si>
    <t>LOKEREN</t>
  </si>
  <si>
    <t>Eandis (januari 2018); Infrax (juni 2018)</t>
  </si>
  <si>
    <t>MOW (september 2017)</t>
  </si>
  <si>
    <t>referentietaak LNE (2017); Jaarverslag De Lijn (2016)</t>
  </si>
  <si>
    <t>VEA (april 2018)</t>
  </si>
  <si>
    <t>VEA (januari 2017)</t>
  </si>
  <si>
    <t>VEA (juni 2018)</t>
  </si>
  <si>
    <t>Biolectric nv</t>
  </si>
  <si>
    <t>Jan de Malschelaan 4 B, 9140 Temse</t>
  </si>
  <si>
    <t>WKK-0391 Danny De Cleene(Inpandgeving)</t>
  </si>
  <si>
    <t>interne verbrandingsmotor</t>
  </si>
  <si>
    <t>WKK interne verbrandinsgmotor (gas)</t>
  </si>
  <si>
    <t>Vijverstraat 13 E, 9160 Lokeren</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</si>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</sst>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282245.15115340409</c:v>
                </c:pt>
                <c:pt idx="1">
                  <c:v>202154.32024561591</c:v>
                </c:pt>
                <c:pt idx="2">
                  <c:v>2296.4661594386303</c:v>
                </c:pt>
                <c:pt idx="3">
                  <c:v>25487.455286705816</c:v>
                </c:pt>
                <c:pt idx="4">
                  <c:v>156891.80672533964</c:v>
                </c:pt>
                <c:pt idx="5">
                  <c:v>465966.6197532037</c:v>
                </c:pt>
                <c:pt idx="6">
                  <c:v>2058.0590123989728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92768"/>
        <c:axId val="75794304"/>
      </c:barChart>
      <c:catAx>
        <c:axId val="75792768"/>
        <c:scaling>
          <c:orientation val="minMax"/>
        </c:scaling>
        <c:axPos val="b"/>
        <c:numFmt formatCode="General" sourceLinked="0"/>
        <c:tickLblPos val="nextTo"/>
        <c:crossAx val="75794304"/>
        <c:crosses val="autoZero"/>
        <c:auto val="1"/>
        <c:lblAlgn val="ctr"/>
        <c:lblOffset val="100"/>
      </c:catAx>
      <c:valAx>
        <c:axId val="75794304"/>
        <c:scaling>
          <c:orientation val="minMax"/>
        </c:scaling>
        <c:axPos val="l"/>
        <c:majorGridlines>
          <c:spPr>
            <a:ln>
              <a:noFill/>
            </a:ln>
          </c:spPr>
        </c:majorGridlines>
        <c:numFmt formatCode="#,##0" sourceLinked="1"/>
        <c:tickLblPos val="nextTo"/>
        <c:crossAx val="757927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282245.15115340409</c:v>
                </c:pt>
                <c:pt idx="1">
                  <c:v>202154.32024561591</c:v>
                </c:pt>
                <c:pt idx="2">
                  <c:v>2296.4661594386303</c:v>
                </c:pt>
                <c:pt idx="3">
                  <c:v>25487.455286705816</c:v>
                </c:pt>
                <c:pt idx="4">
                  <c:v>156891.80672533964</c:v>
                </c:pt>
                <c:pt idx="5">
                  <c:v>465966.6197532037</c:v>
                </c:pt>
                <c:pt idx="6">
                  <c:v>2058.0590123989728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49349.140808785545</c:v>
                </c:pt>
                <c:pt idx="2">
                  <c:v>39937.921538456576</c:v>
                </c:pt>
                <c:pt idx="3">
                  <c:v>469.21419682505717</c:v>
                </c:pt>
                <c:pt idx="4">
                  <c:v>6222.2377127295786</c:v>
                </c:pt>
                <c:pt idx="5">
                  <c:v>30943.417548428428</c:v>
                </c:pt>
                <c:pt idx="6">
                  <c:v>116815.45466988336</c:v>
                </c:pt>
                <c:pt idx="7">
                  <c:v>519.96976888416748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9888"/>
        <c:axId val="156471680"/>
      </c:barChart>
      <c:catAx>
        <c:axId val="156469888"/>
        <c:scaling>
          <c:orientation val="minMax"/>
        </c:scaling>
        <c:axPos val="b"/>
        <c:numFmt formatCode="General" sourceLinked="0"/>
        <c:tickLblPos val="nextTo"/>
        <c:crossAx val="156471680"/>
        <c:crosses val="autoZero"/>
        <c:auto val="1"/>
        <c:lblAlgn val="ctr"/>
        <c:lblOffset val="100"/>
      </c:catAx>
      <c:valAx>
        <c:axId val="156471680"/>
        <c:scaling>
          <c:orientation val="minMax"/>
        </c:scaling>
        <c:axPos val="l"/>
        <c:majorGridlines>
          <c:spPr>
            <a:ln>
              <a:noFill/>
            </a:ln>
          </c:spPr>
        </c:majorGridlines>
        <c:numFmt formatCode="#,##0" sourceLinked="1"/>
        <c:tickLblPos val="nextTo"/>
        <c:crossAx val="15646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49349.140808785545</c:v>
                </c:pt>
                <c:pt idx="2">
                  <c:v>39937.921538456576</c:v>
                </c:pt>
                <c:pt idx="3">
                  <c:v>469.21419682505717</c:v>
                </c:pt>
                <c:pt idx="4">
                  <c:v>6222.2377127295786</c:v>
                </c:pt>
                <c:pt idx="5">
                  <c:v>30943.417548428428</c:v>
                </c:pt>
                <c:pt idx="6">
                  <c:v>116815.45466988336</c:v>
                </c:pt>
                <c:pt idx="7">
                  <c:v>519.96976888416748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46014</v>
      </c>
      <c r="B6" s="415"/>
      <c r="C6" s="416"/>
    </row>
    <row r="7" spans="1:7" s="413" customFormat="1" ht="15.75" customHeight="1">
      <c r="A7" s="417" t="str">
        <f>txtMunicipality</f>
        <v>LOKEREN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0.20432010064531336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0.20432010064531336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46014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16475</v>
      </c>
      <c r="C9" s="342">
        <v>17109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3501.67</v>
      </c>
    </row>
    <row r="15" spans="1:6">
      <c r="A15" s="348" t="s">
        <v>184</v>
      </c>
      <c r="B15" s="334">
        <v>61</v>
      </c>
    </row>
    <row r="16" spans="1:6">
      <c r="A16" s="348" t="s">
        <v>6</v>
      </c>
      <c r="B16" s="334">
        <v>2645</v>
      </c>
    </row>
    <row r="17" spans="1:6">
      <c r="A17" s="348" t="s">
        <v>7</v>
      </c>
      <c r="B17" s="334">
        <v>1604</v>
      </c>
    </row>
    <row r="18" spans="1:6">
      <c r="A18" s="348" t="s">
        <v>8</v>
      </c>
      <c r="B18" s="334">
        <v>2695</v>
      </c>
    </row>
    <row r="19" spans="1:6">
      <c r="A19" s="348" t="s">
        <v>9</v>
      </c>
      <c r="B19" s="334">
        <v>3560</v>
      </c>
    </row>
    <row r="20" spans="1:6">
      <c r="A20" s="348" t="s">
        <v>10</v>
      </c>
      <c r="B20" s="334">
        <v>1927</v>
      </c>
    </row>
    <row r="21" spans="1:6">
      <c r="A21" s="348" t="s">
        <v>11</v>
      </c>
      <c r="B21" s="334">
        <v>4987</v>
      </c>
    </row>
    <row r="22" spans="1:6">
      <c r="A22" s="348" t="s">
        <v>12</v>
      </c>
      <c r="B22" s="334">
        <v>12814</v>
      </c>
    </row>
    <row r="23" spans="1:6">
      <c r="A23" s="348" t="s">
        <v>13</v>
      </c>
      <c r="B23" s="334">
        <v>162</v>
      </c>
    </row>
    <row r="24" spans="1:6">
      <c r="A24" s="348" t="s">
        <v>14</v>
      </c>
      <c r="B24" s="334">
        <v>8</v>
      </c>
    </row>
    <row r="25" spans="1:6">
      <c r="A25" s="348" t="s">
        <v>15</v>
      </c>
      <c r="B25" s="334">
        <v>1190</v>
      </c>
    </row>
    <row r="26" spans="1:6">
      <c r="A26" s="348" t="s">
        <v>16</v>
      </c>
      <c r="B26" s="334">
        <v>92</v>
      </c>
    </row>
    <row r="27" spans="1:6">
      <c r="A27" s="348" t="s">
        <v>17</v>
      </c>
      <c r="B27" s="334">
        <v>112</v>
      </c>
    </row>
    <row r="28" spans="1:6" s="356" customFormat="1">
      <c r="A28" s="355" t="s">
        <v>18</v>
      </c>
      <c r="B28" s="355">
        <v>186204</v>
      </c>
    </row>
    <row r="29" spans="1:6">
      <c r="A29" s="355" t="s">
        <v>744</v>
      </c>
      <c r="B29" s="355">
        <v>245</v>
      </c>
      <c r="C29" s="356"/>
      <c r="D29" s="356"/>
      <c r="E29" s="356"/>
      <c r="F29" s="356"/>
    </row>
    <row r="30" spans="1:6">
      <c r="A30" s="341" t="s">
        <v>745</v>
      </c>
      <c r="B30" s="341">
        <v>46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7</v>
      </c>
      <c r="D36" s="334">
        <v>94412.519300992499</v>
      </c>
      <c r="E36" s="334">
        <v>12</v>
      </c>
      <c r="F36" s="334">
        <v>814914.91944873205</v>
      </c>
    </row>
    <row r="37" spans="1:6">
      <c r="A37" s="348" t="s">
        <v>25</v>
      </c>
      <c r="B37" s="348" t="s">
        <v>28</v>
      </c>
      <c r="C37" s="334">
        <v>0</v>
      </c>
      <c r="D37" s="334">
        <v>0</v>
      </c>
      <c r="E37" s="334">
        <v>0</v>
      </c>
      <c r="F37" s="334">
        <v>0</v>
      </c>
    </row>
    <row r="38" spans="1:6">
      <c r="A38" s="348" t="s">
        <v>25</v>
      </c>
      <c r="B38" s="348" t="s">
        <v>29</v>
      </c>
      <c r="C38" s="334">
        <v>3</v>
      </c>
      <c r="D38" s="334">
        <v>1296033.4220179601</v>
      </c>
      <c r="E38" s="334">
        <v>1</v>
      </c>
      <c r="F38" s="334">
        <v>4084.8520835700001</v>
      </c>
    </row>
    <row r="39" spans="1:6">
      <c r="A39" s="348" t="s">
        <v>30</v>
      </c>
      <c r="B39" s="348" t="s">
        <v>31</v>
      </c>
      <c r="C39" s="334">
        <v>11412</v>
      </c>
      <c r="D39" s="334">
        <v>170801094.26392001</v>
      </c>
      <c r="E39" s="334">
        <v>16318</v>
      </c>
      <c r="F39" s="334">
        <v>62318460.234038703</v>
      </c>
    </row>
    <row r="40" spans="1:6">
      <c r="A40" s="348" t="s">
        <v>30</v>
      </c>
      <c r="B40" s="348" t="s">
        <v>29</v>
      </c>
      <c r="C40" s="334">
        <v>0</v>
      </c>
      <c r="D40" s="334">
        <v>0</v>
      </c>
      <c r="E40" s="334">
        <v>0</v>
      </c>
      <c r="F40" s="334">
        <v>0</v>
      </c>
    </row>
    <row r="41" spans="1:6">
      <c r="A41" s="348" t="s">
        <v>32</v>
      </c>
      <c r="B41" s="348" t="s">
        <v>33</v>
      </c>
      <c r="C41" s="334">
        <v>165</v>
      </c>
      <c r="D41" s="334">
        <v>5653963.9614966996</v>
      </c>
      <c r="E41" s="334">
        <v>340</v>
      </c>
      <c r="F41" s="334">
        <v>15944239.940428</v>
      </c>
    </row>
    <row r="42" spans="1:6">
      <c r="A42" s="348" t="s">
        <v>32</v>
      </c>
      <c r="B42" s="348" t="s">
        <v>34</v>
      </c>
      <c r="C42" s="334">
        <v>3</v>
      </c>
      <c r="D42" s="334">
        <v>668280.88408516697</v>
      </c>
      <c r="E42" s="334">
        <v>4</v>
      </c>
      <c r="F42" s="334">
        <v>183373.82388027999</v>
      </c>
    </row>
    <row r="43" spans="1:6">
      <c r="A43" s="348" t="s">
        <v>32</v>
      </c>
      <c r="B43" s="348" t="s">
        <v>35</v>
      </c>
      <c r="C43" s="334">
        <v>0</v>
      </c>
      <c r="D43" s="334">
        <v>0</v>
      </c>
      <c r="E43" s="334">
        <v>0</v>
      </c>
      <c r="F43" s="334">
        <v>0</v>
      </c>
    </row>
    <row r="44" spans="1:6">
      <c r="A44" s="348" t="s">
        <v>32</v>
      </c>
      <c r="B44" s="348" t="s">
        <v>36</v>
      </c>
      <c r="C44" s="334">
        <v>36</v>
      </c>
      <c r="D44" s="334">
        <v>11101701.072633499</v>
      </c>
      <c r="E44" s="334">
        <v>71</v>
      </c>
      <c r="F44" s="334">
        <v>16608615.555948701</v>
      </c>
    </row>
    <row r="45" spans="1:6">
      <c r="A45" s="348" t="s">
        <v>32</v>
      </c>
      <c r="B45" s="348" t="s">
        <v>37</v>
      </c>
      <c r="C45" s="334">
        <v>0</v>
      </c>
      <c r="D45" s="334">
        <v>0</v>
      </c>
      <c r="E45" s="334">
        <v>6</v>
      </c>
      <c r="F45" s="334">
        <v>363600.15581608802</v>
      </c>
    </row>
    <row r="46" spans="1:6">
      <c r="A46" s="348" t="s">
        <v>32</v>
      </c>
      <c r="B46" s="348" t="s">
        <v>38</v>
      </c>
      <c r="C46" s="334">
        <v>0</v>
      </c>
      <c r="D46" s="334">
        <v>0</v>
      </c>
      <c r="E46" s="334">
        <v>0</v>
      </c>
      <c r="F46" s="334">
        <v>0</v>
      </c>
    </row>
    <row r="47" spans="1:6">
      <c r="A47" s="348" t="s">
        <v>32</v>
      </c>
      <c r="B47" s="348" t="s">
        <v>39</v>
      </c>
      <c r="C47" s="334">
        <v>7</v>
      </c>
      <c r="D47" s="334">
        <v>256437.77037937701</v>
      </c>
      <c r="E47" s="334">
        <v>11</v>
      </c>
      <c r="F47" s="334">
        <v>296538.45489297499</v>
      </c>
    </row>
    <row r="48" spans="1:6">
      <c r="A48" s="348" t="s">
        <v>32</v>
      </c>
      <c r="B48" s="348" t="s">
        <v>29</v>
      </c>
      <c r="C48" s="334">
        <v>47</v>
      </c>
      <c r="D48" s="334">
        <v>14422327.1306278</v>
      </c>
      <c r="E48" s="334">
        <v>61</v>
      </c>
      <c r="F48" s="334">
        <v>16443874.395163201</v>
      </c>
    </row>
    <row r="49" spans="1:6">
      <c r="A49" s="348" t="s">
        <v>32</v>
      </c>
      <c r="B49" s="348" t="s">
        <v>40</v>
      </c>
      <c r="C49" s="334">
        <v>7</v>
      </c>
      <c r="D49" s="334">
        <v>5265647.0464130798</v>
      </c>
      <c r="E49" s="334">
        <v>5</v>
      </c>
      <c r="F49" s="334">
        <v>301421.329504769</v>
      </c>
    </row>
    <row r="50" spans="1:6">
      <c r="A50" s="348" t="s">
        <v>32</v>
      </c>
      <c r="B50" s="348" t="s">
        <v>41</v>
      </c>
      <c r="C50" s="334">
        <v>37</v>
      </c>
      <c r="D50" s="334">
        <v>22866719.709318001</v>
      </c>
      <c r="E50" s="334">
        <v>52</v>
      </c>
      <c r="F50" s="334">
        <v>16460018.2160157</v>
      </c>
    </row>
    <row r="51" spans="1:6">
      <c r="A51" s="348" t="s">
        <v>42</v>
      </c>
      <c r="B51" s="348" t="s">
        <v>43</v>
      </c>
      <c r="C51" s="334">
        <v>43</v>
      </c>
      <c r="D51" s="334">
        <v>5413982.6164040295</v>
      </c>
      <c r="E51" s="334">
        <v>193</v>
      </c>
      <c r="F51" s="334">
        <v>3578609.25596237</v>
      </c>
    </row>
    <row r="52" spans="1:6">
      <c r="A52" s="348" t="s">
        <v>42</v>
      </c>
      <c r="B52" s="348" t="s">
        <v>29</v>
      </c>
      <c r="C52" s="334">
        <v>10</v>
      </c>
      <c r="D52" s="334">
        <v>1034528.41067804</v>
      </c>
      <c r="E52" s="334">
        <v>6</v>
      </c>
      <c r="F52" s="334">
        <v>93252.619216262596</v>
      </c>
    </row>
    <row r="53" spans="1:6">
      <c r="A53" s="348" t="s">
        <v>44</v>
      </c>
      <c r="B53" s="348" t="s">
        <v>45</v>
      </c>
      <c r="C53" s="334">
        <v>334</v>
      </c>
      <c r="D53" s="334">
        <v>5533055.6766775101</v>
      </c>
      <c r="E53" s="334">
        <v>652</v>
      </c>
      <c r="F53" s="334">
        <v>2182999.3956718198</v>
      </c>
    </row>
    <row r="54" spans="1:6">
      <c r="A54" s="348" t="s">
        <v>46</v>
      </c>
      <c r="B54" s="348" t="s">
        <v>47</v>
      </c>
      <c r="C54" s="334">
        <v>0</v>
      </c>
      <c r="D54" s="334">
        <v>0</v>
      </c>
      <c r="E54" s="334">
        <v>6</v>
      </c>
      <c r="F54" s="334">
        <v>2296466.1594386301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125</v>
      </c>
      <c r="D57" s="334">
        <v>20935060.321187101</v>
      </c>
      <c r="E57" s="334">
        <v>281</v>
      </c>
      <c r="F57" s="334">
        <v>9886209.0023219101</v>
      </c>
    </row>
    <row r="58" spans="1:6">
      <c r="A58" s="348" t="s">
        <v>49</v>
      </c>
      <c r="B58" s="348" t="s">
        <v>51</v>
      </c>
      <c r="C58" s="334">
        <v>98</v>
      </c>
      <c r="D58" s="334">
        <v>10054264.778000699</v>
      </c>
      <c r="E58" s="334">
        <v>250</v>
      </c>
      <c r="F58" s="334">
        <v>3749379.0463014599</v>
      </c>
    </row>
    <row r="59" spans="1:6">
      <c r="A59" s="348" t="s">
        <v>49</v>
      </c>
      <c r="B59" s="348" t="s">
        <v>52</v>
      </c>
      <c r="C59" s="334">
        <v>269</v>
      </c>
      <c r="D59" s="334">
        <v>35571415.001103804</v>
      </c>
      <c r="E59" s="334">
        <v>551</v>
      </c>
      <c r="F59" s="334">
        <v>32871402.906506602</v>
      </c>
    </row>
    <row r="60" spans="1:6">
      <c r="A60" s="348" t="s">
        <v>49</v>
      </c>
      <c r="B60" s="348" t="s">
        <v>53</v>
      </c>
      <c r="C60" s="334">
        <v>120</v>
      </c>
      <c r="D60" s="334">
        <v>4834186.6840676405</v>
      </c>
      <c r="E60" s="334">
        <v>167</v>
      </c>
      <c r="F60" s="334">
        <v>4556893.9693483599</v>
      </c>
    </row>
    <row r="61" spans="1:6">
      <c r="A61" s="348" t="s">
        <v>49</v>
      </c>
      <c r="B61" s="348" t="s">
        <v>54</v>
      </c>
      <c r="C61" s="334">
        <v>309</v>
      </c>
      <c r="D61" s="334">
        <v>13737558.3243817</v>
      </c>
      <c r="E61" s="334">
        <v>636</v>
      </c>
      <c r="F61" s="334">
        <v>9720322.0578787196</v>
      </c>
    </row>
    <row r="62" spans="1:6">
      <c r="A62" s="348" t="s">
        <v>49</v>
      </c>
      <c r="B62" s="348" t="s">
        <v>55</v>
      </c>
      <c r="C62" s="334">
        <v>32</v>
      </c>
      <c r="D62" s="334">
        <v>5515149.39565269</v>
      </c>
      <c r="E62" s="334">
        <v>46</v>
      </c>
      <c r="F62" s="334">
        <v>2191236.8065598798</v>
      </c>
    </row>
    <row r="63" spans="1:6">
      <c r="A63" s="348" t="s">
        <v>49</v>
      </c>
      <c r="B63" s="348" t="s">
        <v>29</v>
      </c>
      <c r="C63" s="334">
        <v>117</v>
      </c>
      <c r="D63" s="334">
        <v>15537081.701851999</v>
      </c>
      <c r="E63" s="334">
        <v>95</v>
      </c>
      <c r="F63" s="334">
        <v>16782935.888360199</v>
      </c>
    </row>
    <row r="64" spans="1:6">
      <c r="A64" s="348" t="s">
        <v>56</v>
      </c>
      <c r="B64" s="348" t="s">
        <v>57</v>
      </c>
      <c r="C64" s="334">
        <v>0</v>
      </c>
      <c r="D64" s="334">
        <v>0</v>
      </c>
      <c r="E64" s="334">
        <v>0</v>
      </c>
      <c r="F64" s="334">
        <v>0</v>
      </c>
    </row>
    <row r="65" spans="1:6">
      <c r="A65" s="348" t="s">
        <v>56</v>
      </c>
      <c r="B65" s="348" t="s">
        <v>29</v>
      </c>
      <c r="C65" s="334">
        <v>2</v>
      </c>
      <c r="D65" s="334">
        <v>37325.626534496703</v>
      </c>
      <c r="E65" s="334">
        <v>0</v>
      </c>
      <c r="F65" s="334">
        <v>0</v>
      </c>
    </row>
    <row r="66" spans="1:6">
      <c r="A66" s="348" t="s">
        <v>56</v>
      </c>
      <c r="B66" s="348" t="s">
        <v>58</v>
      </c>
      <c r="C66" s="334">
        <v>0</v>
      </c>
      <c r="D66" s="334">
        <v>0</v>
      </c>
      <c r="E66" s="334">
        <v>18</v>
      </c>
      <c r="F66" s="334">
        <v>757461.41365205299</v>
      </c>
    </row>
    <row r="67" spans="1:6">
      <c r="A67" s="355" t="s">
        <v>56</v>
      </c>
      <c r="B67" s="355" t="s">
        <v>59</v>
      </c>
      <c r="C67" s="334">
        <v>0</v>
      </c>
      <c r="D67" s="334">
        <v>0</v>
      </c>
      <c r="E67" s="334">
        <v>0</v>
      </c>
      <c r="F67" s="334">
        <v>0</v>
      </c>
    </row>
    <row r="68" spans="1:6">
      <c r="A68" s="341" t="s">
        <v>56</v>
      </c>
      <c r="B68" s="341" t="s">
        <v>60</v>
      </c>
      <c r="C68" s="334">
        <v>7</v>
      </c>
      <c r="D68" s="334">
        <v>138568.33523194899</v>
      </c>
      <c r="E68" s="334">
        <v>25</v>
      </c>
      <c r="F68" s="334">
        <v>256832.50475140099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98592733</v>
      </c>
      <c r="E73" s="475">
        <v>102112314.54111968</v>
      </c>
    </row>
    <row r="74" spans="1:6">
      <c r="A74" s="348" t="s">
        <v>64</v>
      </c>
      <c r="B74" s="348" t="s">
        <v>657</v>
      </c>
      <c r="C74" s="1295" t="s">
        <v>659</v>
      </c>
      <c r="D74" s="475">
        <v>9293589</v>
      </c>
      <c r="E74" s="475">
        <v>9092417.2256982997</v>
      </c>
    </row>
    <row r="75" spans="1:6">
      <c r="A75" s="348" t="s">
        <v>65</v>
      </c>
      <c r="B75" s="348" t="s">
        <v>656</v>
      </c>
      <c r="C75" s="1295" t="s">
        <v>660</v>
      </c>
      <c r="D75" s="475">
        <v>67036820</v>
      </c>
      <c r="E75" s="475">
        <v>68945735.047281981</v>
      </c>
    </row>
    <row r="76" spans="1:6">
      <c r="A76" s="348" t="s">
        <v>65</v>
      </c>
      <c r="B76" s="348" t="s">
        <v>657</v>
      </c>
      <c r="C76" s="1295" t="s">
        <v>661</v>
      </c>
      <c r="D76" s="475">
        <v>4383483</v>
      </c>
      <c r="E76" s="475">
        <v>4262316.3490187358</v>
      </c>
    </row>
    <row r="77" spans="1:6">
      <c r="A77" s="348" t="s">
        <v>66</v>
      </c>
      <c r="B77" s="348" t="s">
        <v>656</v>
      </c>
      <c r="C77" s="1295" t="s">
        <v>662</v>
      </c>
      <c r="D77" s="475">
        <v>233492228</v>
      </c>
      <c r="E77" s="475">
        <v>238670142.47538835</v>
      </c>
    </row>
    <row r="78" spans="1:6">
      <c r="A78" s="341" t="s">
        <v>66</v>
      </c>
      <c r="B78" s="341" t="s">
        <v>657</v>
      </c>
      <c r="C78" s="341" t="s">
        <v>663</v>
      </c>
      <c r="D78" s="1296">
        <v>57026781</v>
      </c>
      <c r="E78" s="1296">
        <v>58294538.124165878</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558180</v>
      </c>
      <c r="C83" s="475">
        <v>556036.4679495272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7724.9407205695998</v>
      </c>
    </row>
    <row r="92" spans="1:6">
      <c r="A92" s="341" t="s">
        <v>69</v>
      </c>
      <c r="B92" s="342">
        <v>9191.4559037255185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6443</v>
      </c>
    </row>
    <row r="98" spans="1:6">
      <c r="A98" s="348" t="s">
        <v>72</v>
      </c>
      <c r="B98" s="334">
        <v>1</v>
      </c>
    </row>
    <row r="99" spans="1:6">
      <c r="A99" s="348" t="s">
        <v>73</v>
      </c>
      <c r="B99" s="334">
        <v>183</v>
      </c>
    </row>
    <row r="100" spans="1:6">
      <c r="A100" s="348" t="s">
        <v>74</v>
      </c>
      <c r="B100" s="334">
        <v>1668</v>
      </c>
    </row>
    <row r="101" spans="1:6">
      <c r="A101" s="348" t="s">
        <v>75</v>
      </c>
      <c r="B101" s="334">
        <v>249</v>
      </c>
    </row>
    <row r="102" spans="1:6">
      <c r="A102" s="348" t="s">
        <v>76</v>
      </c>
      <c r="B102" s="334">
        <v>343</v>
      </c>
    </row>
    <row r="103" spans="1:6">
      <c r="A103" s="348" t="s">
        <v>77</v>
      </c>
      <c r="B103" s="334">
        <v>650</v>
      </c>
    </row>
    <row r="104" spans="1:6">
      <c r="A104" s="348" t="s">
        <v>78</v>
      </c>
      <c r="B104" s="334">
        <v>4453</v>
      </c>
    </row>
    <row r="105" spans="1:6">
      <c r="A105" s="341" t="s">
        <v>79</v>
      </c>
      <c r="B105" s="341">
        <v>20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67</v>
      </c>
      <c r="C123" s="334">
        <v>129</v>
      </c>
    </row>
    <row r="124" spans="1:6">
      <c r="A124" s="341" t="s">
        <v>89</v>
      </c>
      <c r="B124" s="334">
        <v>1</v>
      </c>
      <c r="C124" s="334">
        <v>3</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273</v>
      </c>
    </row>
    <row r="130" spans="1:6">
      <c r="A130" s="348" t="s">
        <v>295</v>
      </c>
      <c r="B130" s="334">
        <v>9</v>
      </c>
    </row>
    <row r="131" spans="1:6">
      <c r="A131" s="348" t="s">
        <v>296</v>
      </c>
      <c r="B131" s="334">
        <v>8</v>
      </c>
    </row>
    <row r="132" spans="1:6">
      <c r="A132" s="341" t="s">
        <v>297</v>
      </c>
      <c r="B132" s="342">
        <v>52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224711.80576494799</v>
      </c>
      <c r="C3" s="43" t="s">
        <v>170</v>
      </c>
      <c r="D3" s="43"/>
      <c r="E3" s="154"/>
      <c r="F3" s="43"/>
      <c r="G3" s="43"/>
      <c r="H3" s="43"/>
      <c r="I3" s="43"/>
      <c r="J3" s="43"/>
      <c r="K3" s="96"/>
    </row>
    <row r="4" spans="1:11">
      <c r="A4" s="383" t="s">
        <v>171</v>
      </c>
      <c r="B4" s="49">
        <f>IF(ISERROR('SEAP template'!B78+'SEAP template'!C78),0,'SEAP template'!B78+'SEAP template'!C78)</f>
        <v>16960.046624295119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0.20432010064531336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2296.4661594386303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2296.4661594386303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0.20432010064531336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469.21419682505717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62318.460234038706</v>
      </c>
      <c r="C5" s="17">
        <f>IF(ISERROR('Eigen informatie GS &amp; warmtenet'!B57),0,'Eigen informatie GS &amp; warmtenet'!B57)</f>
        <v>0</v>
      </c>
      <c r="D5" s="30">
        <f>(SUM(HH_hh_gas_kWh,HH_rest_gas_kWh)/1000)*0.902</f>
        <v>154062.58702605584</v>
      </c>
      <c r="E5" s="17">
        <f>B46*B57</f>
        <v>8837.9094808192476</v>
      </c>
      <c r="F5" s="17">
        <f>B51*B62</f>
        <v>0</v>
      </c>
      <c r="G5" s="18"/>
      <c r="H5" s="17"/>
      <c r="I5" s="17"/>
      <c r="J5" s="17">
        <f>B50*B61+C50*C61</f>
        <v>5398.356058730732</v>
      </c>
      <c r="K5" s="17"/>
      <c r="L5" s="17"/>
      <c r="M5" s="17"/>
      <c r="N5" s="17">
        <f>B48*B59+C48*C59</f>
        <v>40981.747633189938</v>
      </c>
      <c r="O5" s="17">
        <f>B69*B70*B71</f>
        <v>633.15</v>
      </c>
      <c r="P5" s="17">
        <f>B77*B78*B79/1000-B77*B78*B79/1000/B80</f>
        <v>2288</v>
      </c>
    </row>
    <row r="6" spans="1:16">
      <c r="A6" s="16" t="s">
        <v>621</v>
      </c>
      <c r="B6" s="788">
        <f>kWh_PV_kleiner_dan_10kW</f>
        <v>7724.9407205695998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70043.400954608311</v>
      </c>
      <c r="C8" s="21">
        <f>C5</f>
        <v>0</v>
      </c>
      <c r="D8" s="21">
        <f>D5</f>
        <v>154062.58702605584</v>
      </c>
      <c r="E8" s="21">
        <f>E5</f>
        <v>8837.9094808192476</v>
      </c>
      <c r="F8" s="21">
        <f>F5</f>
        <v>0</v>
      </c>
      <c r="G8" s="21"/>
      <c r="H8" s="21"/>
      <c r="I8" s="21"/>
      <c r="J8" s="21">
        <f>J5</f>
        <v>5398.356058730732</v>
      </c>
      <c r="K8" s="21"/>
      <c r="L8" s="21">
        <f>L5</f>
        <v>0</v>
      </c>
      <c r="M8" s="21">
        <f>M5</f>
        <v>0</v>
      </c>
      <c r="N8" s="21">
        <f>N5</f>
        <v>40981.747633189938</v>
      </c>
      <c r="O8" s="21">
        <f>O5</f>
        <v>633.15</v>
      </c>
      <c r="P8" s="21">
        <f>P5</f>
        <v>2288</v>
      </c>
    </row>
    <row r="9" spans="1:16">
      <c r="B9" s="19"/>
      <c r="C9" s="19"/>
      <c r="D9" s="258"/>
      <c r="E9" s="19"/>
      <c r="F9" s="19"/>
      <c r="G9" s="19"/>
      <c r="H9" s="19"/>
      <c r="I9" s="19"/>
      <c r="J9" s="19"/>
      <c r="K9" s="19"/>
      <c r="L9" s="19"/>
      <c r="M9" s="19"/>
      <c r="N9" s="19"/>
      <c r="O9" s="19"/>
      <c r="P9" s="19"/>
    </row>
    <row r="10" spans="1:16">
      <c r="A10" s="24" t="s">
        <v>214</v>
      </c>
      <c r="B10" s="25">
        <f ca="1">'EF ele_warmte'!B12</f>
        <v>0.20432010064531336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14311.274732585609</v>
      </c>
      <c r="C12" s="23">
        <f ca="1">C10*C8</f>
        <v>0</v>
      </c>
      <c r="D12" s="23">
        <f>D8*D10</f>
        <v>31120.642579263284</v>
      </c>
      <c r="E12" s="23">
        <f>E10*E8</f>
        <v>2006.2054521459693</v>
      </c>
      <c r="F12" s="23">
        <f>F10*F8</f>
        <v>0</v>
      </c>
      <c r="G12" s="23"/>
      <c r="H12" s="23"/>
      <c r="I12" s="23"/>
      <c r="J12" s="23">
        <f>J10*J8</f>
        <v>1911.0180447906791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6443</v>
      </c>
      <c r="C18" s="166" t="s">
        <v>111</v>
      </c>
      <c r="D18" s="228"/>
      <c r="E18" s="15"/>
    </row>
    <row r="19" spans="1:7">
      <c r="A19" s="171" t="s">
        <v>72</v>
      </c>
      <c r="B19" s="37">
        <f>aantalw2001_ander</f>
        <v>1</v>
      </c>
      <c r="C19" s="166" t="s">
        <v>111</v>
      </c>
      <c r="D19" s="229"/>
      <c r="E19" s="15"/>
    </row>
    <row r="20" spans="1:7">
      <c r="A20" s="171" t="s">
        <v>73</v>
      </c>
      <c r="B20" s="37">
        <f>aantalw2001_propaan</f>
        <v>183</v>
      </c>
      <c r="C20" s="167">
        <f>IF(ISERROR(B20/SUM($B$20,$B$21,$B$22)*100),0,B20/SUM($B$20,$B$21,$B$22)*100)</f>
        <v>8.7142857142857153</v>
      </c>
      <c r="D20" s="229"/>
      <c r="E20" s="15"/>
    </row>
    <row r="21" spans="1:7">
      <c r="A21" s="171" t="s">
        <v>74</v>
      </c>
      <c r="B21" s="37">
        <f>aantalw2001_elektriciteit</f>
        <v>1668</v>
      </c>
      <c r="C21" s="167">
        <f>IF(ISERROR(B21/SUM($B$20,$B$21,$B$22)*100),0,B21/SUM($B$20,$B$21,$B$22)*100)</f>
        <v>79.428571428571431</v>
      </c>
      <c r="D21" s="229"/>
      <c r="E21" s="15"/>
    </row>
    <row r="22" spans="1:7">
      <c r="A22" s="171" t="s">
        <v>75</v>
      </c>
      <c r="B22" s="37">
        <f>aantalw2001_hout</f>
        <v>249</v>
      </c>
      <c r="C22" s="167">
        <f>IF(ISERROR(B22/SUM($B$20,$B$21,$B$22)*100),0,B22/SUM($B$20,$B$21,$B$22)*100)</f>
        <v>11.857142857142858</v>
      </c>
      <c r="D22" s="229"/>
      <c r="E22" s="15"/>
    </row>
    <row r="23" spans="1:7">
      <c r="A23" s="171" t="s">
        <v>76</v>
      </c>
      <c r="B23" s="37">
        <f>aantalw2001_niet_gespec</f>
        <v>343</v>
      </c>
      <c r="C23" s="166" t="s">
        <v>111</v>
      </c>
      <c r="D23" s="228"/>
      <c r="E23" s="15"/>
    </row>
    <row r="24" spans="1:7">
      <c r="A24" s="171" t="s">
        <v>77</v>
      </c>
      <c r="B24" s="37">
        <f>aantalw2001_steenkool</f>
        <v>650</v>
      </c>
      <c r="C24" s="166" t="s">
        <v>111</v>
      </c>
      <c r="D24" s="229"/>
      <c r="E24" s="15"/>
    </row>
    <row r="25" spans="1:7">
      <c r="A25" s="171" t="s">
        <v>78</v>
      </c>
      <c r="B25" s="37">
        <f>aantalw2001_stookolie</f>
        <v>4453</v>
      </c>
      <c r="C25" s="166" t="s">
        <v>111</v>
      </c>
      <c r="D25" s="228"/>
      <c r="E25" s="52"/>
    </row>
    <row r="26" spans="1:7">
      <c r="A26" s="171" t="s">
        <v>79</v>
      </c>
      <c r="B26" s="37">
        <f>aantalw2001_WP</f>
        <v>20</v>
      </c>
      <c r="C26" s="166" t="s">
        <v>111</v>
      </c>
      <c r="D26" s="228"/>
      <c r="E26" s="15"/>
    </row>
    <row r="27" spans="1:7" s="15" customFormat="1">
      <c r="A27" s="171"/>
      <c r="B27" s="29"/>
      <c r="C27" s="36"/>
      <c r="D27" s="228"/>
    </row>
    <row r="28" spans="1:7" s="15" customFormat="1">
      <c r="A28" s="230" t="s">
        <v>793</v>
      </c>
      <c r="B28" s="37">
        <f>aantalHuishoudens2011</f>
        <v>16475</v>
      </c>
      <c r="C28" s="36"/>
      <c r="D28" s="228"/>
    </row>
    <row r="29" spans="1:7" s="15" customFormat="1">
      <c r="A29" s="230" t="s">
        <v>794</v>
      </c>
      <c r="B29" s="37">
        <f>SUM(HH_hh_gas_aantal,HH_rest_gas_aantal)</f>
        <v>11412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11412</v>
      </c>
      <c r="C32" s="167">
        <f>IF(ISERROR(B32/SUM($B$32,$B$34,$B$35,$B$36,$B$38,$B$39)*100),0,B32/SUM($B$32,$B$34,$B$35,$B$36,$B$38,$B$39)*100)</f>
        <v>69.77682665851421</v>
      </c>
      <c r="D32" s="233"/>
      <c r="G32" s="15"/>
    </row>
    <row r="33" spans="1:7">
      <c r="A33" s="171" t="s">
        <v>72</v>
      </c>
      <c r="B33" s="34" t="s">
        <v>111</v>
      </c>
      <c r="C33" s="167"/>
      <c r="D33" s="233"/>
      <c r="G33" s="15"/>
    </row>
    <row r="34" spans="1:7">
      <c r="A34" s="171" t="s">
        <v>73</v>
      </c>
      <c r="B34" s="33">
        <f>IF((($B$28-$B$32-$B$39-$B$77-$B$38)*C20/100)&lt;0,0,($B$28-$B$32-$B$39-$B$77-$B$38)*C20/100)</f>
        <v>417.40557142857142</v>
      </c>
      <c r="C34" s="167">
        <f>IF(ISERROR(B34/SUM($B$32,$B$34,$B$35,$B$36,$B$38,$B$39)*100),0,B34/SUM($B$32,$B$34,$B$35,$B$36,$B$38,$B$39)*100)</f>
        <v>2.55215879809582</v>
      </c>
      <c r="D34" s="233"/>
      <c r="G34" s="15"/>
    </row>
    <row r="35" spans="1:7">
      <c r="A35" s="171" t="s">
        <v>74</v>
      </c>
      <c r="B35" s="33">
        <f>IF((($B$28-$B$32-$B$39-$B$77-$B$38)*C21/100)&lt;0,0,($B$28-$B$32-$B$39-$B$77-$B$38)*C21/100)</f>
        <v>3804.5491428571427</v>
      </c>
      <c r="C35" s="167">
        <f>IF(ISERROR(B35/SUM($B$32,$B$34,$B$35,$B$36,$B$38,$B$39)*100),0,B35/SUM($B$32,$B$34,$B$35,$B$36,$B$38,$B$39)*100)</f>
        <v>23.262299864611084</v>
      </c>
      <c r="D35" s="233"/>
      <c r="G35" s="15"/>
    </row>
    <row r="36" spans="1:7">
      <c r="A36" s="171" t="s">
        <v>75</v>
      </c>
      <c r="B36" s="33">
        <f>IF((($B$28-$B$32-$B$39-$B$77-$B$38)*C22/100)&lt;0,0,($B$28-$B$32-$B$39-$B$77-$B$38)*C22/100)</f>
        <v>567.94528571428566</v>
      </c>
      <c r="C36" s="167">
        <f>IF(ISERROR(B36/SUM($B$32,$B$34,$B$35,$B$36,$B$38,$B$39)*100),0,B36/SUM($B$32,$B$34,$B$35,$B$36,$B$38,$B$39)*100)</f>
        <v>3.4726095121631655</v>
      </c>
      <c r="D36" s="233"/>
      <c r="G36" s="15"/>
    </row>
    <row r="37" spans="1:7">
      <c r="A37" s="171" t="s">
        <v>76</v>
      </c>
      <c r="B37" s="34" t="s">
        <v>111</v>
      </c>
      <c r="C37" s="167"/>
      <c r="D37" s="173"/>
      <c r="G37" s="15"/>
    </row>
    <row r="38" spans="1:7">
      <c r="A38" s="171" t="s">
        <v>77</v>
      </c>
      <c r="B38" s="33">
        <f>IF((B24-(B29-B18)*0.1)&lt;0,0,B24-(B29-B18)*0.1)</f>
        <v>153.09999999999997</v>
      </c>
      <c r="C38" s="167">
        <f>IF(ISERROR(B38/SUM($B$32,$B$34,$B$35,$B$36,$B$38,$B$39)*100),0,B38/SUM($B$32,$B$34,$B$35,$B$36,$B$38,$B$39)*100)</f>
        <v>0.93610516661571364</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11412</v>
      </c>
      <c r="C44" s="34" t="s">
        <v>111</v>
      </c>
      <c r="D44" s="174"/>
    </row>
    <row r="45" spans="1:7">
      <c r="A45" s="171" t="s">
        <v>72</v>
      </c>
      <c r="B45" s="33" t="str">
        <f t="shared" si="0"/>
        <v>-</v>
      </c>
      <c r="C45" s="34" t="s">
        <v>111</v>
      </c>
      <c r="D45" s="174"/>
    </row>
    <row r="46" spans="1:7">
      <c r="A46" s="171" t="s">
        <v>73</v>
      </c>
      <c r="B46" s="33">
        <f t="shared" si="0"/>
        <v>417.40557142857142</v>
      </c>
      <c r="C46" s="34" t="s">
        <v>111</v>
      </c>
      <c r="D46" s="174"/>
    </row>
    <row r="47" spans="1:7">
      <c r="A47" s="171" t="s">
        <v>74</v>
      </c>
      <c r="B47" s="33">
        <f t="shared" si="0"/>
        <v>3804.5491428571427</v>
      </c>
      <c r="C47" s="34" t="s">
        <v>111</v>
      </c>
      <c r="D47" s="174"/>
    </row>
    <row r="48" spans="1:7">
      <c r="A48" s="171" t="s">
        <v>75</v>
      </c>
      <c r="B48" s="33">
        <f t="shared" si="0"/>
        <v>567.94528571428566</v>
      </c>
      <c r="C48" s="33">
        <f>B48*10</f>
        <v>5679.4528571428564</v>
      </c>
      <c r="D48" s="234"/>
    </row>
    <row r="49" spans="1:6">
      <c r="A49" s="171" t="s">
        <v>76</v>
      </c>
      <c r="B49" s="33" t="str">
        <f t="shared" si="0"/>
        <v>-</v>
      </c>
      <c r="C49" s="34" t="s">
        <v>111</v>
      </c>
      <c r="D49" s="234"/>
    </row>
    <row r="50" spans="1:6">
      <c r="A50" s="171" t="s">
        <v>77</v>
      </c>
      <c r="B50" s="33">
        <f t="shared" si="0"/>
        <v>153.09999999999997</v>
      </c>
      <c r="C50" s="33">
        <f>B50*2</f>
        <v>306.19999999999993</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405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79758.379677277131</v>
      </c>
      <c r="C5" s="17">
        <f>IF(ISERROR('Eigen informatie GS &amp; warmtenet'!B58),0,'Eigen informatie GS &amp; warmtenet'!B58)</f>
        <v>0</v>
      </c>
      <c r="D5" s="30">
        <f>SUM(D6:D12)</f>
        <v>95778.61401803355</v>
      </c>
      <c r="E5" s="17">
        <f>SUM(E6:E12)</f>
        <v>1511.0478082094492</v>
      </c>
      <c r="F5" s="17">
        <f>SUM(F6:F12)</f>
        <v>14798.888163129977</v>
      </c>
      <c r="G5" s="18"/>
      <c r="H5" s="17"/>
      <c r="I5" s="17"/>
      <c r="J5" s="17">
        <f>SUM(J6:J12)</f>
        <v>0.25523114736769237</v>
      </c>
      <c r="K5" s="17"/>
      <c r="L5" s="17"/>
      <c r="M5" s="17"/>
      <c r="N5" s="17">
        <f>SUM(N6:N12)</f>
        <v>10140.532014485112</v>
      </c>
      <c r="O5" s="17">
        <f>B38*B39*B40</f>
        <v>14.070000000000002</v>
      </c>
      <c r="P5" s="17">
        <f>B46*B47*B48/1000-B46*B47*B48/1000/B49</f>
        <v>152.53333333333333</v>
      </c>
      <c r="R5" s="32"/>
    </row>
    <row r="6" spans="1:18">
      <c r="A6" s="32" t="s">
        <v>54</v>
      </c>
      <c r="B6" s="37">
        <f>B26</f>
        <v>9720.3220578787204</v>
      </c>
      <c r="C6" s="33"/>
      <c r="D6" s="37">
        <f>IF(ISERROR(TER_kantoor_gas_kWh/1000),0,TER_kantoor_gas_kWh/1000)*0.902</f>
        <v>12391.277608592294</v>
      </c>
      <c r="E6" s="33">
        <f>$C$26*'E Balans VL '!I12/100/3.6*1000000</f>
        <v>6.0923745730315747E-2</v>
      </c>
      <c r="F6" s="33">
        <f>$C$26*('E Balans VL '!L12+'E Balans VL '!N12)/100/3.6*1000000</f>
        <v>1460.6927935962444</v>
      </c>
      <c r="G6" s="34"/>
      <c r="H6" s="33"/>
      <c r="I6" s="33"/>
      <c r="J6" s="33">
        <f>$C$26*('E Balans VL '!D12+'E Balans VL '!E12)/100/3.6*1000000</f>
        <v>0</v>
      </c>
      <c r="K6" s="33"/>
      <c r="L6" s="33"/>
      <c r="M6" s="33"/>
      <c r="N6" s="33">
        <f>$C$26*'E Balans VL '!Y12/100/3.6*1000000</f>
        <v>9.2960468524530722</v>
      </c>
      <c r="O6" s="33"/>
      <c r="P6" s="33"/>
      <c r="R6" s="32"/>
    </row>
    <row r="7" spans="1:18">
      <c r="A7" s="32" t="s">
        <v>53</v>
      </c>
      <c r="B7" s="37">
        <f t="shared" ref="B7:B12" si="0">B27</f>
        <v>4556.8939693483599</v>
      </c>
      <c r="C7" s="33"/>
      <c r="D7" s="37">
        <f>IF(ISERROR(TER_horeca_gas_kWh/1000),0,TER_horeca_gas_kWh/1000)*0.902</f>
        <v>4360.4363890290115</v>
      </c>
      <c r="E7" s="33">
        <f>$C$27*'E Balans VL '!I9/100/3.6*1000000</f>
        <v>65.253962607431319</v>
      </c>
      <c r="F7" s="33">
        <f>$C$27*('E Balans VL '!L9+'E Balans VL '!N9)/100/3.6*1000000</f>
        <v>577.05306867274669</v>
      </c>
      <c r="G7" s="34"/>
      <c r="H7" s="33"/>
      <c r="I7" s="33"/>
      <c r="J7" s="33">
        <f>$C$27*('E Balans VL '!D9+'E Balans VL '!E9)/100/3.6*1000000</f>
        <v>0</v>
      </c>
      <c r="K7" s="33"/>
      <c r="L7" s="33"/>
      <c r="M7" s="33"/>
      <c r="N7" s="33">
        <f>$C$27*'E Balans VL '!Y9/100/3.6*1000000</f>
        <v>1.3100065453000169</v>
      </c>
      <c r="O7" s="33"/>
      <c r="P7" s="33"/>
      <c r="R7" s="32"/>
    </row>
    <row r="8" spans="1:18">
      <c r="A8" s="6" t="s">
        <v>52</v>
      </c>
      <c r="B8" s="37">
        <f t="shared" si="0"/>
        <v>32871.402906506599</v>
      </c>
      <c r="C8" s="33"/>
      <c r="D8" s="37">
        <f>IF(ISERROR(TER_handel_gas_kWh/1000),0,TER_handel_gas_kWh/1000)*0.902</f>
        <v>32085.416330995628</v>
      </c>
      <c r="E8" s="33">
        <f>$C$28*'E Balans VL '!I13/100/3.6*1000000</f>
        <v>1192.2417298991918</v>
      </c>
      <c r="F8" s="33">
        <f>$C$28*('E Balans VL '!L13+'E Balans VL '!N13)/100/3.6*1000000</f>
        <v>6331.3650439091671</v>
      </c>
      <c r="G8" s="34"/>
      <c r="H8" s="33"/>
      <c r="I8" s="33"/>
      <c r="J8" s="33">
        <f>$C$28*('E Balans VL '!D13+'E Balans VL '!E13)/100/3.6*1000000</f>
        <v>0</v>
      </c>
      <c r="K8" s="33"/>
      <c r="L8" s="33"/>
      <c r="M8" s="33"/>
      <c r="N8" s="33">
        <f>$C$28*'E Balans VL '!Y13/100/3.6*1000000</f>
        <v>45.534456398004124</v>
      </c>
      <c r="O8" s="33"/>
      <c r="P8" s="33"/>
      <c r="R8" s="32"/>
    </row>
    <row r="9" spans="1:18">
      <c r="A9" s="32" t="s">
        <v>51</v>
      </c>
      <c r="B9" s="37">
        <f t="shared" si="0"/>
        <v>3749.3790463014598</v>
      </c>
      <c r="C9" s="33"/>
      <c r="D9" s="37">
        <f>IF(ISERROR(TER_gezond_gas_kWh/1000),0,TER_gezond_gas_kWh/1000)*0.902</f>
        <v>9068.9468297566309</v>
      </c>
      <c r="E9" s="33">
        <f>$C$29*'E Balans VL '!I10/100/3.6*1000000</f>
        <v>0.23474814672878747</v>
      </c>
      <c r="F9" s="33">
        <f>$C$29*('E Balans VL '!L10+'E Balans VL '!N10)/100/3.6*1000000</f>
        <v>556.98167310009717</v>
      </c>
      <c r="G9" s="34"/>
      <c r="H9" s="33"/>
      <c r="I9" s="33"/>
      <c r="J9" s="33">
        <f>$C$29*('E Balans VL '!D10+'E Balans VL '!E10)/100/3.6*1000000</f>
        <v>0</v>
      </c>
      <c r="K9" s="33"/>
      <c r="L9" s="33"/>
      <c r="M9" s="33"/>
      <c r="N9" s="33">
        <f>$C$29*'E Balans VL '!Y10/100/3.6*1000000</f>
        <v>57.99575687234357</v>
      </c>
      <c r="O9" s="33"/>
      <c r="P9" s="33"/>
      <c r="R9" s="32"/>
    </row>
    <row r="10" spans="1:18">
      <c r="A10" s="32" t="s">
        <v>50</v>
      </c>
      <c r="B10" s="37">
        <f t="shared" si="0"/>
        <v>9886.2090023219098</v>
      </c>
      <c r="C10" s="33"/>
      <c r="D10" s="37">
        <f>IF(ISERROR(TER_ander_gas_kWh/1000),0,TER_ander_gas_kWh/1000)*0.902</f>
        <v>18883.424409710766</v>
      </c>
      <c r="E10" s="33">
        <f>$C$30*'E Balans VL '!I14/100/3.6*1000000</f>
        <v>11.784007857350693</v>
      </c>
      <c r="F10" s="33">
        <f>$C$30*('E Balans VL '!L14+'E Balans VL '!N14)/100/3.6*1000000</f>
        <v>2586.6717813394471</v>
      </c>
      <c r="G10" s="34"/>
      <c r="H10" s="33"/>
      <c r="I10" s="33"/>
      <c r="J10" s="33">
        <f>$C$30*('E Balans VL '!D14+'E Balans VL '!E14)/100/3.6*1000000</f>
        <v>0.21459084457116223</v>
      </c>
      <c r="K10" s="33"/>
      <c r="L10" s="33"/>
      <c r="M10" s="33"/>
      <c r="N10" s="33">
        <f>$C$30*'E Balans VL '!Y14/100/3.6*1000000</f>
        <v>8395.126772642634</v>
      </c>
      <c r="O10" s="33"/>
      <c r="P10" s="33"/>
      <c r="R10" s="32"/>
    </row>
    <row r="11" spans="1:18">
      <c r="A11" s="32" t="s">
        <v>55</v>
      </c>
      <c r="B11" s="37">
        <f t="shared" si="0"/>
        <v>2191.2368065598798</v>
      </c>
      <c r="C11" s="33"/>
      <c r="D11" s="37">
        <f>IF(ISERROR(TER_onderwijs_gas_kWh/1000),0,TER_onderwijs_gas_kWh/1000)*0.902</f>
        <v>4974.6647548787269</v>
      </c>
      <c r="E11" s="33">
        <f>$C$31*'E Balans VL '!I11/100/3.6*1000000</f>
        <v>33.06223408850942</v>
      </c>
      <c r="F11" s="33">
        <f>$C$31*('E Balans VL '!L11+'E Balans VL '!N11)/100/3.6*1000000</f>
        <v>383.93969455869387</v>
      </c>
      <c r="G11" s="34"/>
      <c r="H11" s="33"/>
      <c r="I11" s="33"/>
      <c r="J11" s="33">
        <f>$C$31*('E Balans VL '!D11+'E Balans VL '!E11)/100/3.6*1000000</f>
        <v>0</v>
      </c>
      <c r="K11" s="33"/>
      <c r="L11" s="33"/>
      <c r="M11" s="33"/>
      <c r="N11" s="33">
        <f>$C$31*'E Balans VL '!Y11/100/3.6*1000000</f>
        <v>6.1663069578253715</v>
      </c>
      <c r="O11" s="33"/>
      <c r="P11" s="33"/>
      <c r="R11" s="32"/>
    </row>
    <row r="12" spans="1:18">
      <c r="A12" s="32" t="s">
        <v>260</v>
      </c>
      <c r="B12" s="37">
        <f t="shared" si="0"/>
        <v>16782.9358883602</v>
      </c>
      <c r="C12" s="33"/>
      <c r="D12" s="37">
        <f>IF(ISERROR(TER_rest_gas_kWh/1000),0,TER_rest_gas_kWh/1000)*0.902</f>
        <v>14014.447695070503</v>
      </c>
      <c r="E12" s="33">
        <f>$C$32*'E Balans VL '!I8/100/3.6*1000000</f>
        <v>208.41020186450663</v>
      </c>
      <c r="F12" s="33">
        <f>$C$32*('E Balans VL '!L8+'E Balans VL '!N8)/100/3.6*1000000</f>
        <v>2902.184107953582</v>
      </c>
      <c r="G12" s="34"/>
      <c r="H12" s="33"/>
      <c r="I12" s="33"/>
      <c r="J12" s="33">
        <f>$C$32*('E Balans VL '!D8+'E Balans VL '!E8)/100/3.6*1000000</f>
        <v>4.0640302796530109E-2</v>
      </c>
      <c r="K12" s="33"/>
      <c r="L12" s="33"/>
      <c r="M12" s="33"/>
      <c r="N12" s="33">
        <f>$C$32*'E Balans VL '!Y8/100/3.6*1000000</f>
        <v>1625.1026682165509</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79758.379677277131</v>
      </c>
      <c r="C16" s="21">
        <f t="shared" ca="1" si="1"/>
        <v>0</v>
      </c>
      <c r="D16" s="21">
        <f t="shared" ca="1" si="1"/>
        <v>95778.61401803355</v>
      </c>
      <c r="E16" s="21">
        <f t="shared" si="1"/>
        <v>1511.0478082094492</v>
      </c>
      <c r="F16" s="21">
        <f t="shared" ca="1" si="1"/>
        <v>14798.888163129977</v>
      </c>
      <c r="G16" s="21">
        <f t="shared" si="1"/>
        <v>0</v>
      </c>
      <c r="H16" s="21">
        <f t="shared" si="1"/>
        <v>0</v>
      </c>
      <c r="I16" s="21">
        <f t="shared" si="1"/>
        <v>0</v>
      </c>
      <c r="J16" s="21">
        <f t="shared" si="1"/>
        <v>0.25523114736769237</v>
      </c>
      <c r="K16" s="21">
        <f t="shared" si="1"/>
        <v>0</v>
      </c>
      <c r="L16" s="21">
        <f t="shared" ca="1" si="1"/>
        <v>0</v>
      </c>
      <c r="M16" s="21">
        <f t="shared" si="1"/>
        <v>0</v>
      </c>
      <c r="N16" s="21">
        <f t="shared" ca="1" si="1"/>
        <v>10140.532014485112</v>
      </c>
      <c r="O16" s="21">
        <f>O5</f>
        <v>14.070000000000002</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0.20432010064531336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16296.240162968379</v>
      </c>
      <c r="C20" s="23">
        <f t="shared" ref="C20:P20" ca="1" si="2">C16*C18</f>
        <v>0</v>
      </c>
      <c r="D20" s="23">
        <f t="shared" ca="1" si="2"/>
        <v>19347.280031642778</v>
      </c>
      <c r="E20" s="23">
        <f t="shared" si="2"/>
        <v>343.00785246354496</v>
      </c>
      <c r="F20" s="23">
        <f t="shared" ca="1" si="2"/>
        <v>3951.3031395557041</v>
      </c>
      <c r="G20" s="23">
        <f t="shared" si="2"/>
        <v>0</v>
      </c>
      <c r="H20" s="23">
        <f t="shared" si="2"/>
        <v>0</v>
      </c>
      <c r="I20" s="23">
        <f t="shared" si="2"/>
        <v>0</v>
      </c>
      <c r="J20" s="23">
        <f t="shared" si="2"/>
        <v>9.0351826168163091E-2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9720.3220578787204</v>
      </c>
      <c r="C26" s="39">
        <f>IF(ISERROR(B26*3.6/1000000/'E Balans VL '!Z12*100),0,B26*3.6/1000000/'E Balans VL '!Z12*100)</f>
        <v>0.20547221006962305</v>
      </c>
      <c r="D26" s="237" t="s">
        <v>754</v>
      </c>
      <c r="F26" s="6"/>
    </row>
    <row r="27" spans="1:18">
      <c r="A27" s="231" t="s">
        <v>53</v>
      </c>
      <c r="B27" s="33">
        <f>IF(ISERROR(TER_horeca_ele_kWh/1000),0,TER_horeca_ele_kWh/1000)</f>
        <v>4556.8939693483599</v>
      </c>
      <c r="C27" s="39">
        <f>IF(ISERROR(B27*3.6/1000000/'E Balans VL '!Z9*100),0,B27*3.6/1000000/'E Balans VL '!Z9*100)</f>
        <v>0.35921825316264033</v>
      </c>
      <c r="D27" s="237" t="s">
        <v>754</v>
      </c>
      <c r="F27" s="6"/>
    </row>
    <row r="28" spans="1:18">
      <c r="A28" s="171" t="s">
        <v>52</v>
      </c>
      <c r="B28" s="33">
        <f>IF(ISERROR(TER_handel_ele_kWh/1000),0,TER_handel_ele_kWh/1000)</f>
        <v>32871.402906506599</v>
      </c>
      <c r="C28" s="39">
        <f>IF(ISERROR(B28*3.6/1000000/'E Balans VL '!Z13*100),0,B28*3.6/1000000/'E Balans VL '!Z13*100)</f>
        <v>0.95406092769733453</v>
      </c>
      <c r="D28" s="237" t="s">
        <v>754</v>
      </c>
      <c r="F28" s="6"/>
    </row>
    <row r="29" spans="1:18">
      <c r="A29" s="231" t="s">
        <v>51</v>
      </c>
      <c r="B29" s="33">
        <f>IF(ISERROR(TER_gezond_ele_kWh/1000),0,TER_gezond_ele_kWh/1000)</f>
        <v>3749.3790463014598</v>
      </c>
      <c r="C29" s="39">
        <f>IF(ISERROR(B29*3.6/1000000/'E Balans VL '!Z10*100),0,B29*3.6/1000000/'E Balans VL '!Z10*100)</f>
        <v>0.3948711800045997</v>
      </c>
      <c r="D29" s="237" t="s">
        <v>754</v>
      </c>
      <c r="F29" s="6"/>
    </row>
    <row r="30" spans="1:18">
      <c r="A30" s="231" t="s">
        <v>50</v>
      </c>
      <c r="B30" s="33">
        <f>IF(ISERROR(TER_ander_ele_kWh/1000),0,TER_ander_ele_kWh/1000)</f>
        <v>9886.2090023219098</v>
      </c>
      <c r="C30" s="39">
        <f>IF(ISERROR(B30*3.6/1000000/'E Balans VL '!Z14*100),0,B30*3.6/1000000/'E Balans VL '!Z14*100)</f>
        <v>0.72920892328517817</v>
      </c>
      <c r="D30" s="237" t="s">
        <v>754</v>
      </c>
      <c r="F30" s="6"/>
    </row>
    <row r="31" spans="1:18">
      <c r="A31" s="231" t="s">
        <v>55</v>
      </c>
      <c r="B31" s="33">
        <f>IF(ISERROR(TER_onderwijs_ele_kWh/1000),0,TER_onderwijs_ele_kWh/1000)</f>
        <v>2191.2368065598798</v>
      </c>
      <c r="C31" s="39">
        <f>IF(ISERROR(B31*3.6/1000000/'E Balans VL '!Z11*100),0,B31*3.6/1000000/'E Balans VL '!Z11*100)</f>
        <v>0.54418674264572897</v>
      </c>
      <c r="D31" s="237" t="s">
        <v>754</v>
      </c>
    </row>
    <row r="32" spans="1:18">
      <c r="A32" s="231" t="s">
        <v>260</v>
      </c>
      <c r="B32" s="33">
        <f>IF(ISERROR(TER_rest_ele_kWh/1000),0,TER_rest_ele_kWh/1000)</f>
        <v>16782.9358883602</v>
      </c>
      <c r="C32" s="39">
        <f>IF(ISERROR(B32*3.6/1000000/'E Balans VL '!Z8*100),0,B32*3.6/1000000/'E Balans VL '!Z8*100)</f>
        <v>0.13810128527833693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8</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66601.681871649722</v>
      </c>
      <c r="C5" s="17">
        <f>IF(ISERROR('Eigen informatie GS &amp; warmtenet'!B59),0,'Eigen informatie GS &amp; warmtenet'!B59)</f>
        <v>0</v>
      </c>
      <c r="D5" s="30">
        <f>SUM(D6:D15)</f>
        <v>54332.039972608167</v>
      </c>
      <c r="E5" s="17">
        <f>SUM(E6:E15)</f>
        <v>5768.6039388735053</v>
      </c>
      <c r="F5" s="17">
        <f>SUM(F6:F15)</f>
        <v>18837.987807197951</v>
      </c>
      <c r="G5" s="18"/>
      <c r="H5" s="17"/>
      <c r="I5" s="17"/>
      <c r="J5" s="17">
        <f>SUM(J6:J15)</f>
        <v>59.512124725490033</v>
      </c>
      <c r="K5" s="17"/>
      <c r="L5" s="17"/>
      <c r="M5" s="17"/>
      <c r="N5" s="17">
        <f>SUM(N6:N15)</f>
        <v>11291.98101028479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16608.615555948702</v>
      </c>
      <c r="C8" s="33"/>
      <c r="D8" s="37">
        <f>IF( ISERROR(IND_metaal_Gas_kWH/1000),0,IND_metaal_Gas_kWH/1000)*0.902</f>
        <v>10013.734367515417</v>
      </c>
      <c r="E8" s="33">
        <f>C30*'E Balans VL '!I18/100/3.6*1000000</f>
        <v>152.70017928349634</v>
      </c>
      <c r="F8" s="33">
        <f>C30*'E Balans VL '!L18/100/3.6*1000000+C30*'E Balans VL '!N18/100/3.6*1000000</f>
        <v>1557.3351823633097</v>
      </c>
      <c r="G8" s="34"/>
      <c r="H8" s="33"/>
      <c r="I8" s="33"/>
      <c r="J8" s="40">
        <f>C30*'E Balans VL '!D18/100/3.6*1000000+C30*'E Balans VL '!E18/100/3.6*1000000</f>
        <v>0</v>
      </c>
      <c r="K8" s="33"/>
      <c r="L8" s="33"/>
      <c r="M8" s="33"/>
      <c r="N8" s="33">
        <f>C30*'E Balans VL '!Y18/100/3.6*1000000</f>
        <v>236.94934779863186</v>
      </c>
      <c r="O8" s="33"/>
      <c r="P8" s="33"/>
      <c r="R8" s="32"/>
    </row>
    <row r="9" spans="1:18">
      <c r="A9" s="6" t="s">
        <v>33</v>
      </c>
      <c r="B9" s="37">
        <f t="shared" si="0"/>
        <v>15944.239940428</v>
      </c>
      <c r="C9" s="33"/>
      <c r="D9" s="37">
        <f>IF( ISERROR(IND_andere_gas_kWh/1000),0,IND_andere_gas_kWh/1000)*0.902</f>
        <v>5099.875493270024</v>
      </c>
      <c r="E9" s="33">
        <f>C31*'E Balans VL '!I19/100/3.6*1000000</f>
        <v>4660.8117323275437</v>
      </c>
      <c r="F9" s="33">
        <f>C31*'E Balans VL '!L19/100/3.6*1000000+C31*'E Balans VL '!N19/100/3.6*1000000</f>
        <v>12812.403660203205</v>
      </c>
      <c r="G9" s="34"/>
      <c r="H9" s="33"/>
      <c r="I9" s="33"/>
      <c r="J9" s="40">
        <f>C31*'E Balans VL '!D19/100/3.6*1000000+C31*'E Balans VL '!E19/100/3.6*1000000</f>
        <v>0</v>
      </c>
      <c r="K9" s="33"/>
      <c r="L9" s="33"/>
      <c r="M9" s="33"/>
      <c r="N9" s="33">
        <f>C31*'E Balans VL '!Y19/100/3.6*1000000</f>
        <v>5268.2241539468896</v>
      </c>
      <c r="O9" s="33"/>
      <c r="P9" s="33"/>
      <c r="R9" s="32"/>
    </row>
    <row r="10" spans="1:18">
      <c r="A10" s="6" t="s">
        <v>41</v>
      </c>
      <c r="B10" s="37">
        <f t="shared" si="0"/>
        <v>16460.018216015702</v>
      </c>
      <c r="C10" s="33"/>
      <c r="D10" s="37">
        <f>IF( ISERROR(IND_voed_gas_kWh/1000),0,IND_voed_gas_kWh/1000)*0.902</f>
        <v>20625.781177804838</v>
      </c>
      <c r="E10" s="33">
        <f>C32*'E Balans VL '!I20/100/3.6*1000000</f>
        <v>34.821423751586387</v>
      </c>
      <c r="F10" s="33">
        <f>C32*'E Balans VL '!L20/100/3.6*1000000+C32*'E Balans VL '!N20/100/3.6*1000000</f>
        <v>1046.5447715898401</v>
      </c>
      <c r="G10" s="34"/>
      <c r="H10" s="33"/>
      <c r="I10" s="33"/>
      <c r="J10" s="40">
        <f>C32*'E Balans VL '!D20/100/3.6*1000000+C32*'E Balans VL '!E20/100/3.6*1000000</f>
        <v>0</v>
      </c>
      <c r="K10" s="33"/>
      <c r="L10" s="33"/>
      <c r="M10" s="33"/>
      <c r="N10" s="33">
        <f>C32*'E Balans VL '!Y20/100/3.6*1000000</f>
        <v>1135.9036883337831</v>
      </c>
      <c r="O10" s="33"/>
      <c r="P10" s="33"/>
      <c r="R10" s="32"/>
    </row>
    <row r="11" spans="1:18">
      <c r="A11" s="6" t="s">
        <v>40</v>
      </c>
      <c r="B11" s="37">
        <f t="shared" si="0"/>
        <v>301.42132950476901</v>
      </c>
      <c r="C11" s="33"/>
      <c r="D11" s="37">
        <f>IF( ISERROR(IND_textiel_gas_kWh/1000),0,IND_textiel_gas_kWh/1000)*0.902</f>
        <v>4749.6136358645981</v>
      </c>
      <c r="E11" s="33">
        <f>C33*'E Balans VL '!I21/100/3.6*1000000</f>
        <v>0.89519536111465414</v>
      </c>
      <c r="F11" s="33">
        <f>C33*'E Balans VL '!L21/100/3.6*1000000+C33*'E Balans VL '!N21/100/3.6*1000000</f>
        <v>30.451829536311518</v>
      </c>
      <c r="G11" s="34"/>
      <c r="H11" s="33"/>
      <c r="I11" s="33"/>
      <c r="J11" s="40">
        <f>C33*'E Balans VL '!D21/100/3.6*1000000+C33*'E Balans VL '!E21/100/3.6*1000000</f>
        <v>0</v>
      </c>
      <c r="K11" s="33"/>
      <c r="L11" s="33"/>
      <c r="M11" s="33"/>
      <c r="N11" s="33">
        <f>C33*'E Balans VL '!Y21/100/3.6*1000000</f>
        <v>16.624348264429351</v>
      </c>
      <c r="O11" s="33"/>
      <c r="P11" s="33"/>
      <c r="R11" s="32"/>
    </row>
    <row r="12" spans="1:18">
      <c r="A12" s="6" t="s">
        <v>37</v>
      </c>
      <c r="B12" s="37">
        <f t="shared" si="0"/>
        <v>363.60015581608803</v>
      </c>
      <c r="C12" s="33"/>
      <c r="D12" s="37">
        <f>IF( ISERROR(IND_min_gas_kWh/1000),0,IND_min_gas_kWh/1000)*0.902</f>
        <v>0</v>
      </c>
      <c r="E12" s="33">
        <f>C34*'E Balans VL '!I22/100/3.6*1000000</f>
        <v>10.539271333788751</v>
      </c>
      <c r="F12" s="33">
        <f>C34*'E Balans VL '!L22/100/3.6*1000000+C34*'E Balans VL '!N22/100/3.6*1000000</f>
        <v>125.00984234290439</v>
      </c>
      <c r="G12" s="34"/>
      <c r="H12" s="33"/>
      <c r="I12" s="33"/>
      <c r="J12" s="40">
        <f>C34*'E Balans VL '!D22/100/3.6*1000000+C34*'E Balans VL '!E22/100/3.6*1000000</f>
        <v>0.59750462527841819</v>
      </c>
      <c r="K12" s="33"/>
      <c r="L12" s="33"/>
      <c r="M12" s="33"/>
      <c r="N12" s="33">
        <f>C34*'E Balans VL '!Y22/100/3.6*1000000</f>
        <v>79.598049255413329</v>
      </c>
      <c r="O12" s="33"/>
      <c r="P12" s="33"/>
      <c r="R12" s="32"/>
    </row>
    <row r="13" spans="1:18">
      <c r="A13" s="6" t="s">
        <v>39</v>
      </c>
      <c r="B13" s="37">
        <f t="shared" si="0"/>
        <v>296.53845489297498</v>
      </c>
      <c r="C13" s="33"/>
      <c r="D13" s="37">
        <f>IF( ISERROR(IND_papier_gas_kWh/1000),0,IND_papier_gas_kWh/1000)*0.902</f>
        <v>231.30686888219807</v>
      </c>
      <c r="E13" s="33">
        <f>C35*'E Balans VL '!I23/100/3.6*1000000</f>
        <v>0.42072024967496585</v>
      </c>
      <c r="F13" s="33">
        <f>C35*'E Balans VL '!L23/100/3.6*1000000+C35*'E Balans VL '!N23/100/3.6*1000000</f>
        <v>7.2396187404205259</v>
      </c>
      <c r="G13" s="34"/>
      <c r="H13" s="33"/>
      <c r="I13" s="33"/>
      <c r="J13" s="40">
        <f>C35*'E Balans VL '!D23/100/3.6*1000000+C35*'E Balans VL '!E23/100/3.6*1000000</f>
        <v>4.5862456121867415E-2</v>
      </c>
      <c r="K13" s="33"/>
      <c r="L13" s="33"/>
      <c r="M13" s="33"/>
      <c r="N13" s="33">
        <f>C35*'E Balans VL '!Y23/100/3.6*1000000</f>
        <v>861.96709290011938</v>
      </c>
      <c r="O13" s="33"/>
      <c r="P13" s="33"/>
      <c r="R13" s="32"/>
    </row>
    <row r="14" spans="1:18">
      <c r="A14" s="6" t="s">
        <v>34</v>
      </c>
      <c r="B14" s="37">
        <f t="shared" si="0"/>
        <v>183.37382388027999</v>
      </c>
      <c r="C14" s="33"/>
      <c r="D14" s="37">
        <f>IF( ISERROR(IND_chemie_gas_kWh/1000),0,IND_chemie_gas_kWh/1000)*0.902</f>
        <v>602.78935744482055</v>
      </c>
      <c r="E14" s="33">
        <f>C36*'E Balans VL '!I24/100/3.6*1000000</f>
        <v>0.45141381434418787</v>
      </c>
      <c r="F14" s="33">
        <f>C36*'E Balans VL '!L24/100/3.6*1000000+C36*'E Balans VL '!N24/100/3.6*1000000</f>
        <v>1.9635583057151453</v>
      </c>
      <c r="G14" s="34"/>
      <c r="H14" s="33"/>
      <c r="I14" s="33"/>
      <c r="J14" s="40">
        <f>C36*'E Balans VL '!D24/100/3.6*1000000+C36*'E Balans VL '!E24/100/3.6*1000000</f>
        <v>0</v>
      </c>
      <c r="K14" s="33"/>
      <c r="L14" s="33"/>
      <c r="M14" s="33"/>
      <c r="N14" s="33">
        <f>C36*'E Balans VL '!Y24/100/3.6*1000000</f>
        <v>4.0951901497883334</v>
      </c>
      <c r="O14" s="33"/>
      <c r="P14" s="33"/>
      <c r="R14" s="32"/>
    </row>
    <row r="15" spans="1:18">
      <c r="A15" s="6" t="s">
        <v>270</v>
      </c>
      <c r="B15" s="37">
        <f t="shared" si="0"/>
        <v>16443.874395163202</v>
      </c>
      <c r="C15" s="33"/>
      <c r="D15" s="37">
        <f>IF( ISERROR(IND_rest_gas_kWh/1000),0,IND_rest_gas_kWh/1000)*0.902</f>
        <v>13008.939071826277</v>
      </c>
      <c r="E15" s="33">
        <f>C37*'E Balans VL '!I15/100/3.6*1000000</f>
        <v>907.96400275195629</v>
      </c>
      <c r="F15" s="33">
        <f>C37*'E Balans VL '!L15/100/3.6*1000000+C37*'E Balans VL '!N15/100/3.6*1000000</f>
        <v>3257.0393441162446</v>
      </c>
      <c r="G15" s="34"/>
      <c r="H15" s="33"/>
      <c r="I15" s="33"/>
      <c r="J15" s="40">
        <f>C37*'E Balans VL '!D15/100/3.6*1000000+C37*'E Balans VL '!E15/100/3.6*1000000</f>
        <v>58.868757644089747</v>
      </c>
      <c r="K15" s="33"/>
      <c r="L15" s="33"/>
      <c r="M15" s="33"/>
      <c r="N15" s="33">
        <f>C37*'E Balans VL '!Y15/100/3.6*1000000</f>
        <v>3688.6191396357349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66601.681871649722</v>
      </c>
      <c r="C18" s="21">
        <f>C5+C16</f>
        <v>0</v>
      </c>
      <c r="D18" s="21">
        <f>MAX((D5+D16),0)</f>
        <v>54332.039972608167</v>
      </c>
      <c r="E18" s="21">
        <f>MAX((E5+E16),0)</f>
        <v>5768.6039388735053</v>
      </c>
      <c r="F18" s="21">
        <f>MAX((F5+F16),0)</f>
        <v>18837.987807197951</v>
      </c>
      <c r="G18" s="21"/>
      <c r="H18" s="21"/>
      <c r="I18" s="21"/>
      <c r="J18" s="21">
        <f>MAX((J5+J16),0)</f>
        <v>59.512124725490033</v>
      </c>
      <c r="K18" s="21"/>
      <c r="L18" s="21">
        <f>MAX((L5+L16),0)</f>
        <v>0</v>
      </c>
      <c r="M18" s="21"/>
      <c r="N18" s="21">
        <f>MAX((N5+N16),0)</f>
        <v>11291.98101028479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0.20432010064531336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13608.062343162614</v>
      </c>
      <c r="C22" s="23">
        <f ca="1">C18*C20</f>
        <v>0</v>
      </c>
      <c r="D22" s="23">
        <f>D18*D20</f>
        <v>10975.072074466851</v>
      </c>
      <c r="E22" s="23">
        <f>E18*E20</f>
        <v>1309.4730941242858</v>
      </c>
      <c r="F22" s="23">
        <f>F18*F20</f>
        <v>5029.7427445218536</v>
      </c>
      <c r="G22" s="23"/>
      <c r="H22" s="23"/>
      <c r="I22" s="23"/>
      <c r="J22" s="23">
        <f>J18*J20</f>
        <v>21.06729215282347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16608.615555948702</v>
      </c>
      <c r="C30" s="39">
        <f>IF(ISERROR(B30*3.6/1000000/'E Balans VL '!Z18*100),0,B30*3.6/1000000/'E Balans VL '!Z18*100)</f>
        <v>0.94125283083131228</v>
      </c>
      <c r="D30" s="237" t="s">
        <v>754</v>
      </c>
    </row>
    <row r="31" spans="1:18">
      <c r="A31" s="6" t="s">
        <v>33</v>
      </c>
      <c r="B31" s="37">
        <f>IF( ISERROR(IND_ander_ele_kWh/1000),0,IND_ander_ele_kWh/1000)</f>
        <v>15944.239940428</v>
      </c>
      <c r="C31" s="39">
        <f>IF(ISERROR(B31*3.6/1000000/'E Balans VL '!Z19*100),0,B31*3.6/1000000/'E Balans VL '!Z19*100)</f>
        <v>0.72316433303821137</v>
      </c>
      <c r="D31" s="237" t="s">
        <v>754</v>
      </c>
    </row>
    <row r="32" spans="1:18">
      <c r="A32" s="171" t="s">
        <v>41</v>
      </c>
      <c r="B32" s="37">
        <f>IF( ISERROR(IND_voed_ele_kWh/1000),0,IND_voed_ele_kWh/1000)</f>
        <v>16460.018216015702</v>
      </c>
      <c r="C32" s="39">
        <f>IF(ISERROR(B32*3.6/1000000/'E Balans VL '!Z20*100),0,B32*3.6/1000000/'E Balans VL '!Z20*100)</f>
        <v>0.50918308559486269</v>
      </c>
      <c r="D32" s="237" t="s">
        <v>754</v>
      </c>
    </row>
    <row r="33" spans="1:5">
      <c r="A33" s="171" t="s">
        <v>40</v>
      </c>
      <c r="B33" s="37">
        <f>IF( ISERROR(IND_textiel_ele_kWh/1000),0,IND_textiel_ele_kWh/1000)</f>
        <v>301.42132950476901</v>
      </c>
      <c r="C33" s="39">
        <f>IF(ISERROR(B33*3.6/1000000/'E Balans VL '!Z21*100),0,B33*3.6/1000000/'E Balans VL '!Z21*100)</f>
        <v>3.9301990898738114E-2</v>
      </c>
      <c r="D33" s="237" t="s">
        <v>754</v>
      </c>
    </row>
    <row r="34" spans="1:5">
      <c r="A34" s="171" t="s">
        <v>37</v>
      </c>
      <c r="B34" s="37">
        <f>IF( ISERROR(IND_min_ele_kWh/1000),0,IND_min_ele_kWh/1000)</f>
        <v>363.60015581608803</v>
      </c>
      <c r="C34" s="39">
        <f>IF(ISERROR(B34*3.6/1000000/'E Balans VL '!Z22*100),0,B34*3.6/1000000/'E Balans VL '!Z22*100)</f>
        <v>6.5400323837102897E-2</v>
      </c>
      <c r="D34" s="237" t="s">
        <v>754</v>
      </c>
    </row>
    <row r="35" spans="1:5">
      <c r="A35" s="171" t="s">
        <v>39</v>
      </c>
      <c r="B35" s="37">
        <f>IF( ISERROR(IND_papier_ele_kWh/1000),0,IND_papier_ele_kWh/1000)</f>
        <v>296.53845489297498</v>
      </c>
      <c r="C35" s="39">
        <f>IF(ISERROR(B35*3.6/1000000/'E Balans VL '!Z22*100),0,B35*3.6/1000000/'E Balans VL '!Z22*100)</f>
        <v>5.3338016142006811E-2</v>
      </c>
      <c r="D35" s="237" t="s">
        <v>754</v>
      </c>
    </row>
    <row r="36" spans="1:5">
      <c r="A36" s="171" t="s">
        <v>34</v>
      </c>
      <c r="B36" s="37">
        <f>IF( ISERROR(IND_chemie_ele_kWh/1000),0,IND_chemie_ele_kWh/1000)</f>
        <v>183.37382388027999</v>
      </c>
      <c r="C36" s="39">
        <f>IF(ISERROR(B36*3.6/1000000/'E Balans VL '!Z24*100),0,B36*3.6/1000000/'E Balans VL '!Z24*100)</f>
        <v>5.5918059455175089E-3</v>
      </c>
      <c r="D36" s="237" t="s">
        <v>754</v>
      </c>
    </row>
    <row r="37" spans="1:5">
      <c r="A37" s="171" t="s">
        <v>270</v>
      </c>
      <c r="B37" s="37">
        <f>IF( ISERROR(IND_rest_ele_kWh/1000),0,IND_rest_ele_kWh/1000)</f>
        <v>16443.874395163202</v>
      </c>
      <c r="C37" s="39">
        <f>IF(ISERROR(B37*3.6/1000000/'E Balans VL '!Z15*100),0,B37*3.6/1000000/'E Balans VL '!Z15*100)</f>
        <v>0.1303378995800672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3671.8618751786325</v>
      </c>
      <c r="C5" s="17">
        <f>'Eigen informatie GS &amp; warmtenet'!B60</f>
        <v>0</v>
      </c>
      <c r="D5" s="30">
        <f>IF(ISERROR(SUM(LB_lb_gas_kWh,LB_rest_gas_kWh)/1000),0,SUM(LB_lb_gas_kWh,LB_rest_gas_kWh)/1000)*0.902</f>
        <v>5816.556946428027</v>
      </c>
      <c r="E5" s="17">
        <f>B17*'E Balans VL '!I25/3.6*1000000/100</f>
        <v>107.92723567213744</v>
      </c>
      <c r="F5" s="17">
        <f>B17*('E Balans VL '!L25/3.6*1000000+'E Balans VL '!N25/3.6*1000000)/100</f>
        <v>15296.778154992895</v>
      </c>
      <c r="G5" s="18"/>
      <c r="H5" s="17"/>
      <c r="I5" s="17"/>
      <c r="J5" s="17">
        <f>('E Balans VL '!D25+'E Balans VL '!E25)/3.6*1000000*landbouw!B17/100</f>
        <v>531.97393157697991</v>
      </c>
      <c r="K5" s="17"/>
      <c r="L5" s="17">
        <f>L6*(-1)</f>
        <v>0</v>
      </c>
      <c r="M5" s="17"/>
      <c r="N5" s="17">
        <f>N6*(-1)</f>
        <v>124.71428571428569</v>
      </c>
      <c r="O5" s="17"/>
      <c r="P5" s="17"/>
      <c r="R5" s="32"/>
    </row>
    <row r="6" spans="1:18">
      <c r="A6" s="16" t="s">
        <v>488</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3671.8618751786325</v>
      </c>
      <c r="C8" s="21">
        <f>C5+C6</f>
        <v>62.357142857142847</v>
      </c>
      <c r="D8" s="21">
        <f>MAX((D5+D6),0)</f>
        <v>5816.556946428027</v>
      </c>
      <c r="E8" s="21">
        <f>MAX((E5+E6),0)</f>
        <v>107.92723567213744</v>
      </c>
      <c r="F8" s="21">
        <f>MAX((F5+F6),0)</f>
        <v>15296.778154992895</v>
      </c>
      <c r="G8" s="21"/>
      <c r="H8" s="21"/>
      <c r="I8" s="21"/>
      <c r="J8" s="21">
        <f>MAX((J5+J6),0)</f>
        <v>531.97393157697991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0.20432010064531336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750.23518789218724</v>
      </c>
      <c r="C12" s="23">
        <f ca="1">C8*C10</f>
        <v>0</v>
      </c>
      <c r="D12" s="23">
        <f>D8*D10</f>
        <v>1174.9445031784614</v>
      </c>
      <c r="E12" s="23">
        <f>E8*E10</f>
        <v>24.499482497575201</v>
      </c>
      <c r="F12" s="23">
        <f>F8*F10</f>
        <v>4084.2397673831033</v>
      </c>
      <c r="G12" s="23"/>
      <c r="H12" s="23"/>
      <c r="I12" s="23"/>
      <c r="J12" s="23">
        <f>J8*J10</f>
        <v>188.31877177825089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0.52104872020315363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929.52872486461615</v>
      </c>
      <c r="C26" s="247">
        <f>B26*'GWP N2O_CH4'!B5</f>
        <v>19520.10322215694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221.58154696199875</v>
      </c>
      <c r="C27" s="247">
        <f>B27*'GWP N2O_CH4'!B5</f>
        <v>4653.2124862019737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11.984645848625942</v>
      </c>
      <c r="C28" s="247">
        <f>B28*'GWP N2O_CH4'!B4</f>
        <v>3715.240213074042</v>
      </c>
      <c r="D28" s="50"/>
    </row>
    <row r="29" spans="1:4">
      <c r="A29" s="41" t="s">
        <v>277</v>
      </c>
      <c r="B29" s="247">
        <f>B34*'ha_N2O bodem landbouw'!B4</f>
        <v>22.78270676901036</v>
      </c>
      <c r="C29" s="247">
        <f>B29*'GWP N2O_CH4'!B4</f>
        <v>7062.6390983932115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5.1989351719878372E-3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5.6525699204545477E-4</v>
      </c>
      <c r="C5" s="463" t="s">
        <v>211</v>
      </c>
      <c r="D5" s="448">
        <f>SUM(D6:D11)</f>
        <v>1.9626678610162327E-3</v>
      </c>
      <c r="E5" s="448">
        <f>SUM(E6:E11)</f>
        <v>2.9779799156478687E-3</v>
      </c>
      <c r="F5" s="461" t="s">
        <v>211</v>
      </c>
      <c r="G5" s="448">
        <f>SUM(G6:G11)</f>
        <v>1.3591409361832156</v>
      </c>
      <c r="H5" s="448">
        <f>SUM(H6:H11)</f>
        <v>0.22673515315814843</v>
      </c>
      <c r="I5" s="463" t="s">
        <v>211</v>
      </c>
      <c r="J5" s="463" t="s">
        <v>211</v>
      </c>
      <c r="K5" s="463" t="s">
        <v>211</v>
      </c>
      <c r="L5" s="463" t="s">
        <v>211</v>
      </c>
      <c r="M5" s="448">
        <f>SUM(M6:M11)</f>
        <v>8.6097837001459843E-2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1.3963214824680453E-4</v>
      </c>
      <c r="C6" s="449"/>
      <c r="D6" s="892">
        <f>vkm_2011_GW_PW*SUMIFS(TableVerdeelsleutelVkm[CNG],TableVerdeelsleutelVkm[Voertuigtype],"Lichte voertuigen")*SUMIFS(TableECFTransport[EnergieConsumptieFactor (PJ per km)],TableECFTransport[Index],CONCATENATE($A6,"_CNG_CNG"))</f>
        <v>4.1881630317707564E-4</v>
      </c>
      <c r="E6" s="892">
        <f>vkm_2011_GW_PW*SUMIFS(TableVerdeelsleutelVkm[LPG],TableVerdeelsleutelVkm[Voertuigtype],"Lichte voertuigen")*SUMIFS(TableECFTransport[EnergieConsumptieFactor (PJ per km)],TableECFTransport[Index],CONCATENATE($A6,"_LPG_LPG"))</f>
        <v>5.7216323013701631E-4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0.14793518294330363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4.7635535361603684E-2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1.0048279999858096E-2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8.7211495375835987E-2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2.658029164396418E-5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5.0963455548796799E-3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9.4941025605146283E-5</v>
      </c>
      <c r="C8" s="449"/>
      <c r="D8" s="451">
        <f>vkm_2011_NGW_PW*SUMIFS(TableVerdeelsleutelVkm[CNG],TableVerdeelsleutelVkm[Voertuigtype],"Lichte voertuigen")*SUMIFS(TableECFTransport[EnergieConsumptieFactor (PJ per km)],TableECFTransport[Index],CONCATENATE($A8,"_CNG_CNG"))</f>
        <v>5.0632173531831059E-4</v>
      </c>
      <c r="E8" s="451">
        <f>vkm_2011_NGW_PW*SUMIFS(TableVerdeelsleutelVkm[LPG],TableVerdeelsleutelVkm[Voertuigtype],"Lichte voertuigen")*SUMIFS(TableECFTransport[EnergieConsumptieFactor (PJ per km)],TableECFTransport[Index],CONCATENATE($A8,"_LPG_LPG"))</f>
        <v>6.4060030247957596E-4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0.15434951624101628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5.5963186314199248E-2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1.0668637595944979E-2</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5.2744863288802159E-2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1.513375264783722E-5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3.0822040854624252E-3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3.3068381819350402E-4</v>
      </c>
      <c r="C10" s="449"/>
      <c r="D10" s="451">
        <f>vkm_2011_SW_PW*SUMIFS(TableVerdeelsleutelVkm[CNG],TableVerdeelsleutelVkm[Voertuigtype],"Lichte voertuigen")*SUMIFS(TableECFTransport[EnergieConsumptieFactor (PJ per km)],TableECFTransport[Index],CONCATENATE($A10,"_CNG_CNG"))</f>
        <v>1.0375298225208465E-3</v>
      </c>
      <c r="E10" s="451">
        <f>vkm_2011_SW_PW*SUMIFS(TableVerdeelsleutelVkm[LPG],TableVerdeelsleutelVkm[Voertuigtype],"Lichte voertuigen")*SUMIFS(TableECFTransport[EnergieConsumptieFactor (PJ per km)],TableECFTransport[Index],CONCATENATE($A10,"_LPG_LPG"))</f>
        <v>1.7652163830312762E-3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0.4068863757352093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0.12292685744151696</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2.7398535146056609E-2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0.51001350259904821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1.6785999653674754E-4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2.9803834619258045E-2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157.01583112373746</v>
      </c>
      <c r="C14" s="21"/>
      <c r="D14" s="21">
        <f t="shared" ref="D14:M14" si="0">((D5)*10^9/3600)+D12</f>
        <v>545.18551694895359</v>
      </c>
      <c r="E14" s="21">
        <f t="shared" si="0"/>
        <v>827.21664323551909</v>
      </c>
      <c r="F14" s="21"/>
      <c r="G14" s="21">
        <f t="shared" si="0"/>
        <v>377539.14893978211</v>
      </c>
      <c r="H14" s="21">
        <f t="shared" si="0"/>
        <v>62981.986988374563</v>
      </c>
      <c r="I14" s="21"/>
      <c r="J14" s="21"/>
      <c r="K14" s="21"/>
      <c r="L14" s="21"/>
      <c r="M14" s="21">
        <f t="shared" si="0"/>
        <v>23916.065833738845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0.20432010064531336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32.08149041810956</v>
      </c>
      <c r="C18" s="23"/>
      <c r="D18" s="23">
        <f t="shared" ref="D18:M18" si="1">D14*D16</f>
        <v>110.12747442368864</v>
      </c>
      <c r="E18" s="23">
        <f t="shared" si="1"/>
        <v>187.77817801446284</v>
      </c>
      <c r="F18" s="23"/>
      <c r="G18" s="23">
        <f t="shared" si="1"/>
        <v>100802.95276692184</v>
      </c>
      <c r="H18" s="23">
        <f t="shared" si="1"/>
        <v>15682.514760105267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7.0108283445056273E-3</v>
      </c>
      <c r="H50" s="321">
        <f t="shared" si="2"/>
        <v>0</v>
      </c>
      <c r="I50" s="321">
        <f t="shared" si="2"/>
        <v>0</v>
      </c>
      <c r="J50" s="321">
        <f t="shared" si="2"/>
        <v>0</v>
      </c>
      <c r="K50" s="321">
        <f t="shared" si="2"/>
        <v>0</v>
      </c>
      <c r="L50" s="321">
        <f t="shared" si="2"/>
        <v>0</v>
      </c>
      <c r="M50" s="321">
        <f t="shared" si="2"/>
        <v>3.9818410013067371E-4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7.0108283445056273E-3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3.9818410013067371E-4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1947.4523179182299</v>
      </c>
      <c r="H54" s="21">
        <f t="shared" si="3"/>
        <v>0</v>
      </c>
      <c r="I54" s="21">
        <f t="shared" si="3"/>
        <v>0</v>
      </c>
      <c r="J54" s="21">
        <f t="shared" si="3"/>
        <v>0</v>
      </c>
      <c r="K54" s="21">
        <f t="shared" si="3"/>
        <v>0</v>
      </c>
      <c r="L54" s="21">
        <f t="shared" si="3"/>
        <v>0</v>
      </c>
      <c r="M54" s="21">
        <f t="shared" si="3"/>
        <v>110.6066944807427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0.20432010064531336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519.96976888416748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82054.845836715758</v>
      </c>
      <c r="D10" s="1013">
        <f ca="1">tertiair!C16</f>
        <v>0</v>
      </c>
      <c r="E10" s="1013">
        <f ca="1">tertiair!D16</f>
        <v>95778.61401803355</v>
      </c>
      <c r="F10" s="1013">
        <f>tertiair!E16</f>
        <v>1511.0478082094492</v>
      </c>
      <c r="G10" s="1013">
        <f ca="1">tertiair!F16</f>
        <v>14798.888163129977</v>
      </c>
      <c r="H10" s="1013">
        <f>tertiair!G16</f>
        <v>0</v>
      </c>
      <c r="I10" s="1013">
        <f>tertiair!H16</f>
        <v>0</v>
      </c>
      <c r="J10" s="1013">
        <f>tertiair!I16</f>
        <v>0</v>
      </c>
      <c r="K10" s="1013">
        <f>tertiair!J16</f>
        <v>0.25523114736769237</v>
      </c>
      <c r="L10" s="1013">
        <f>tertiair!K16</f>
        <v>0</v>
      </c>
      <c r="M10" s="1013">
        <f ca="1">tertiair!L16</f>
        <v>0</v>
      </c>
      <c r="N10" s="1013">
        <f>tertiair!M16</f>
        <v>0</v>
      </c>
      <c r="O10" s="1013">
        <f ca="1">tertiair!N16</f>
        <v>10140.532014485112</v>
      </c>
      <c r="P10" s="1013">
        <f>tertiair!O16</f>
        <v>14.070000000000002</v>
      </c>
      <c r="Q10" s="1014">
        <f>tertiair!P16</f>
        <v>152.53333333333333</v>
      </c>
      <c r="R10" s="700">
        <f ca="1">SUM(C10:Q10)</f>
        <v>204450.78640505456</v>
      </c>
      <c r="S10" s="67"/>
    </row>
    <row r="11" spans="1:19" s="473" customFormat="1">
      <c r="A11" s="809" t="s">
        <v>225</v>
      </c>
      <c r="B11" s="814"/>
      <c r="C11" s="1013">
        <f>huishoudens!B8</f>
        <v>70043.400954608311</v>
      </c>
      <c r="D11" s="1013">
        <f>huishoudens!C8</f>
        <v>0</v>
      </c>
      <c r="E11" s="1013">
        <f>huishoudens!D8</f>
        <v>154062.58702605584</v>
      </c>
      <c r="F11" s="1013">
        <f>huishoudens!E8</f>
        <v>8837.9094808192476</v>
      </c>
      <c r="G11" s="1013">
        <f>huishoudens!F8</f>
        <v>0</v>
      </c>
      <c r="H11" s="1013">
        <f>huishoudens!G8</f>
        <v>0</v>
      </c>
      <c r="I11" s="1013">
        <f>huishoudens!H8</f>
        <v>0</v>
      </c>
      <c r="J11" s="1013">
        <f>huishoudens!I8</f>
        <v>0</v>
      </c>
      <c r="K11" s="1013">
        <f>huishoudens!J8</f>
        <v>5398.356058730732</v>
      </c>
      <c r="L11" s="1013">
        <f>huishoudens!K8</f>
        <v>0</v>
      </c>
      <c r="M11" s="1013">
        <f>huishoudens!L8</f>
        <v>0</v>
      </c>
      <c r="N11" s="1013">
        <f>huishoudens!M8</f>
        <v>0</v>
      </c>
      <c r="O11" s="1013">
        <f>huishoudens!N8</f>
        <v>40981.747633189938</v>
      </c>
      <c r="P11" s="1013">
        <f>huishoudens!O8</f>
        <v>633.15</v>
      </c>
      <c r="Q11" s="1014">
        <f>huishoudens!P8</f>
        <v>2288</v>
      </c>
      <c r="R11" s="700">
        <f>SUM(C11:Q11)</f>
        <v>282245.15115340409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66601.681871649722</v>
      </c>
      <c r="D13" s="1013">
        <f>industrie!C18</f>
        <v>0</v>
      </c>
      <c r="E13" s="1013">
        <f>industrie!D18</f>
        <v>54332.039972608167</v>
      </c>
      <c r="F13" s="1013">
        <f>industrie!E18</f>
        <v>5768.6039388735053</v>
      </c>
      <c r="G13" s="1013">
        <f>industrie!F18</f>
        <v>18837.987807197951</v>
      </c>
      <c r="H13" s="1013">
        <f>industrie!G18</f>
        <v>0</v>
      </c>
      <c r="I13" s="1013">
        <f>industrie!H18</f>
        <v>0</v>
      </c>
      <c r="J13" s="1013">
        <f>industrie!I18</f>
        <v>0</v>
      </c>
      <c r="K13" s="1013">
        <f>industrie!J18</f>
        <v>59.512124725490033</v>
      </c>
      <c r="L13" s="1013">
        <f>industrie!K18</f>
        <v>0</v>
      </c>
      <c r="M13" s="1013">
        <f>industrie!L18</f>
        <v>0</v>
      </c>
      <c r="N13" s="1013">
        <f>industrie!M18</f>
        <v>0</v>
      </c>
      <c r="O13" s="1013">
        <f>industrie!N18</f>
        <v>11291.98101028479</v>
      </c>
      <c r="P13" s="1013">
        <f>industrie!O18</f>
        <v>0</v>
      </c>
      <c r="Q13" s="1014">
        <f>industrie!P18</f>
        <v>0</v>
      </c>
      <c r="R13" s="700">
        <f>SUM(C13:Q13)</f>
        <v>156891.80672533964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218699.92866297378</v>
      </c>
      <c r="D16" s="732">
        <f t="shared" ref="D16:R16" ca="1" si="0">SUM(D9:D15)</f>
        <v>0</v>
      </c>
      <c r="E16" s="732">
        <f t="shared" ca="1" si="0"/>
        <v>304173.24101669755</v>
      </c>
      <c r="F16" s="732">
        <f t="shared" si="0"/>
        <v>16117.561227902203</v>
      </c>
      <c r="G16" s="732">
        <f t="shared" ca="1" si="0"/>
        <v>33636.875970327928</v>
      </c>
      <c r="H16" s="732">
        <f t="shared" si="0"/>
        <v>0</v>
      </c>
      <c r="I16" s="732">
        <f t="shared" si="0"/>
        <v>0</v>
      </c>
      <c r="J16" s="732">
        <f t="shared" si="0"/>
        <v>0</v>
      </c>
      <c r="K16" s="732">
        <f t="shared" si="0"/>
        <v>5458.1234146035895</v>
      </c>
      <c r="L16" s="732">
        <f t="shared" si="0"/>
        <v>0</v>
      </c>
      <c r="M16" s="732">
        <f t="shared" ca="1" si="0"/>
        <v>0</v>
      </c>
      <c r="N16" s="732">
        <f t="shared" si="0"/>
        <v>0</v>
      </c>
      <c r="O16" s="732">
        <f t="shared" ca="1" si="0"/>
        <v>62414.260657959843</v>
      </c>
      <c r="P16" s="732">
        <f t="shared" si="0"/>
        <v>647.22</v>
      </c>
      <c r="Q16" s="732">
        <f t="shared" si="0"/>
        <v>2440.5333333333333</v>
      </c>
      <c r="R16" s="732">
        <f t="shared" ca="1" si="0"/>
        <v>643587.74428379827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1947.4523179182299</v>
      </c>
      <c r="I19" s="1013">
        <f>transport!H54</f>
        <v>0</v>
      </c>
      <c r="J19" s="1013">
        <f>transport!I54</f>
        <v>0</v>
      </c>
      <c r="K19" s="1013">
        <f>transport!J54</f>
        <v>0</v>
      </c>
      <c r="L19" s="1013">
        <f>transport!K54</f>
        <v>0</v>
      </c>
      <c r="M19" s="1013">
        <f>transport!L54</f>
        <v>0</v>
      </c>
      <c r="N19" s="1013">
        <f>transport!M54</f>
        <v>110.6066944807427</v>
      </c>
      <c r="O19" s="1013">
        <f>transport!N54</f>
        <v>0</v>
      </c>
      <c r="P19" s="1013">
        <f>transport!O54</f>
        <v>0</v>
      </c>
      <c r="Q19" s="1014">
        <f>transport!P54</f>
        <v>0</v>
      </c>
      <c r="R19" s="700">
        <f>SUM(C19:Q19)</f>
        <v>2058.0590123989728</v>
      </c>
      <c r="S19" s="67"/>
    </row>
    <row r="20" spans="1:19" s="473" customFormat="1">
      <c r="A20" s="809" t="s">
        <v>307</v>
      </c>
      <c r="B20" s="814"/>
      <c r="C20" s="1013">
        <f>transport!B14</f>
        <v>157.01583112373746</v>
      </c>
      <c r="D20" s="1013">
        <f>transport!C14</f>
        <v>0</v>
      </c>
      <c r="E20" s="1013">
        <f>transport!D14</f>
        <v>545.18551694895359</v>
      </c>
      <c r="F20" s="1013">
        <f>transport!E14</f>
        <v>827.21664323551909</v>
      </c>
      <c r="G20" s="1013">
        <f>transport!F14</f>
        <v>0</v>
      </c>
      <c r="H20" s="1013">
        <f>transport!G14</f>
        <v>377539.14893978211</v>
      </c>
      <c r="I20" s="1013">
        <f>transport!H14</f>
        <v>62981.986988374563</v>
      </c>
      <c r="J20" s="1013">
        <f>transport!I14</f>
        <v>0</v>
      </c>
      <c r="K20" s="1013">
        <f>transport!J14</f>
        <v>0</v>
      </c>
      <c r="L20" s="1013">
        <f>transport!K14</f>
        <v>0</v>
      </c>
      <c r="M20" s="1013">
        <f>transport!L14</f>
        <v>0</v>
      </c>
      <c r="N20" s="1013">
        <f>transport!M14</f>
        <v>23916.065833738845</v>
      </c>
      <c r="O20" s="1013">
        <f>transport!N14</f>
        <v>0</v>
      </c>
      <c r="P20" s="1013">
        <f>transport!O14</f>
        <v>0</v>
      </c>
      <c r="Q20" s="1014">
        <f>transport!P14</f>
        <v>0</v>
      </c>
      <c r="R20" s="700">
        <f>SUM(C20:Q20)</f>
        <v>465966.6197532037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157.01583112373746</v>
      </c>
      <c r="D22" s="812">
        <f t="shared" ref="D22:R22" si="1">SUM(D18:D21)</f>
        <v>0</v>
      </c>
      <c r="E22" s="812">
        <f t="shared" si="1"/>
        <v>545.18551694895359</v>
      </c>
      <c r="F22" s="812">
        <f t="shared" si="1"/>
        <v>827.21664323551909</v>
      </c>
      <c r="G22" s="812">
        <f t="shared" si="1"/>
        <v>0</v>
      </c>
      <c r="H22" s="812">
        <f t="shared" si="1"/>
        <v>379486.60125770036</v>
      </c>
      <c r="I22" s="812">
        <f t="shared" si="1"/>
        <v>62981.986988374563</v>
      </c>
      <c r="J22" s="812">
        <f t="shared" si="1"/>
        <v>0</v>
      </c>
      <c r="K22" s="812">
        <f t="shared" si="1"/>
        <v>0</v>
      </c>
      <c r="L22" s="812">
        <f t="shared" si="1"/>
        <v>0</v>
      </c>
      <c r="M22" s="812">
        <f t="shared" si="1"/>
        <v>0</v>
      </c>
      <c r="N22" s="812">
        <f t="shared" si="1"/>
        <v>24026.672528219588</v>
      </c>
      <c r="O22" s="812">
        <f t="shared" si="1"/>
        <v>0</v>
      </c>
      <c r="P22" s="812">
        <f t="shared" si="1"/>
        <v>0</v>
      </c>
      <c r="Q22" s="812">
        <f t="shared" si="1"/>
        <v>0</v>
      </c>
      <c r="R22" s="812">
        <f t="shared" si="1"/>
        <v>468024.6787656027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3671.8618751786325</v>
      </c>
      <c r="D24" s="1013">
        <f>+landbouw!C8</f>
        <v>62.357142857142847</v>
      </c>
      <c r="E24" s="1013">
        <f>+landbouw!D8</f>
        <v>5816.556946428027</v>
      </c>
      <c r="F24" s="1013">
        <f>+landbouw!E8</f>
        <v>107.92723567213744</v>
      </c>
      <c r="G24" s="1013">
        <f>+landbouw!F8</f>
        <v>15296.778154992895</v>
      </c>
      <c r="H24" s="1013">
        <f>+landbouw!G8</f>
        <v>0</v>
      </c>
      <c r="I24" s="1013">
        <f>+landbouw!H8</f>
        <v>0</v>
      </c>
      <c r="J24" s="1013">
        <f>+landbouw!I8</f>
        <v>0</v>
      </c>
      <c r="K24" s="1013">
        <f>+landbouw!J8</f>
        <v>531.97393157697991</v>
      </c>
      <c r="L24" s="1013">
        <f>+landbouw!K8</f>
        <v>0</v>
      </c>
      <c r="M24" s="1013">
        <f>+landbouw!L8</f>
        <v>0</v>
      </c>
      <c r="N24" s="1013">
        <f>+landbouw!M8</f>
        <v>0</v>
      </c>
      <c r="O24" s="1013">
        <f>+landbouw!N8</f>
        <v>0</v>
      </c>
      <c r="P24" s="1013">
        <f>+landbouw!O8</f>
        <v>0</v>
      </c>
      <c r="Q24" s="1014">
        <f>+landbouw!P8</f>
        <v>0</v>
      </c>
      <c r="R24" s="700">
        <f>SUM(C24:Q24)</f>
        <v>25487.455286705816</v>
      </c>
      <c r="S24" s="67"/>
    </row>
    <row r="25" spans="1:19" s="473" customFormat="1" ht="15" thickBot="1">
      <c r="A25" s="831" t="s">
        <v>836</v>
      </c>
      <c r="B25" s="1016"/>
      <c r="C25" s="1017">
        <f>IF(Onbekend_ele_kWh="---",0,Onbekend_ele_kWh)/1000+IF(REST_rest_ele_kWh="---",0,REST_rest_ele_kWh)/1000</f>
        <v>2182.9993956718199</v>
      </c>
      <c r="D25" s="1017"/>
      <c r="E25" s="1017">
        <f>IF(onbekend_gas_kWh="---",0,onbekend_gas_kWh)/1000+IF(REST_rest_gas_kWh="---",0,REST_rest_gas_kWh)/1000</f>
        <v>5533.0556766775098</v>
      </c>
      <c r="F25" s="1017"/>
      <c r="G25" s="1017"/>
      <c r="H25" s="1017"/>
      <c r="I25" s="1017"/>
      <c r="J25" s="1017"/>
      <c r="K25" s="1017"/>
      <c r="L25" s="1017"/>
      <c r="M25" s="1017"/>
      <c r="N25" s="1017"/>
      <c r="O25" s="1017"/>
      <c r="P25" s="1017"/>
      <c r="Q25" s="1018"/>
      <c r="R25" s="700">
        <f>SUM(C25:Q25)</f>
        <v>7716.0550723493297</v>
      </c>
      <c r="S25" s="67"/>
    </row>
    <row r="26" spans="1:19" s="473" customFormat="1" ht="15.75" thickBot="1">
      <c r="A26" s="705" t="s">
        <v>837</v>
      </c>
      <c r="B26" s="817"/>
      <c r="C26" s="812">
        <f>SUM(C24:C25)</f>
        <v>5854.8612708504525</v>
      </c>
      <c r="D26" s="812">
        <f t="shared" ref="D26:R26" si="2">SUM(D24:D25)</f>
        <v>62.357142857142847</v>
      </c>
      <c r="E26" s="812">
        <f t="shared" si="2"/>
        <v>11349.612623105537</v>
      </c>
      <c r="F26" s="812">
        <f t="shared" si="2"/>
        <v>107.92723567213744</v>
      </c>
      <c r="G26" s="812">
        <f t="shared" si="2"/>
        <v>15296.778154992895</v>
      </c>
      <c r="H26" s="812">
        <f t="shared" si="2"/>
        <v>0</v>
      </c>
      <c r="I26" s="812">
        <f t="shared" si="2"/>
        <v>0</v>
      </c>
      <c r="J26" s="812">
        <f t="shared" si="2"/>
        <v>0</v>
      </c>
      <c r="K26" s="812">
        <f t="shared" si="2"/>
        <v>531.97393157697991</v>
      </c>
      <c r="L26" s="812">
        <f t="shared" si="2"/>
        <v>0</v>
      </c>
      <c r="M26" s="812">
        <f t="shared" si="2"/>
        <v>0</v>
      </c>
      <c r="N26" s="812">
        <f t="shared" si="2"/>
        <v>0</v>
      </c>
      <c r="O26" s="812">
        <f t="shared" si="2"/>
        <v>0</v>
      </c>
      <c r="P26" s="812">
        <f t="shared" si="2"/>
        <v>0</v>
      </c>
      <c r="Q26" s="812">
        <f t="shared" si="2"/>
        <v>0</v>
      </c>
      <c r="R26" s="812">
        <f t="shared" si="2"/>
        <v>33203.510359055144</v>
      </c>
      <c r="S26" s="67"/>
    </row>
    <row r="27" spans="1:19" s="473" customFormat="1" ht="17.25" thickTop="1" thickBot="1">
      <c r="A27" s="706" t="s">
        <v>116</v>
      </c>
      <c r="B27" s="805"/>
      <c r="C27" s="707">
        <f ca="1">C22+C16+C26</f>
        <v>224711.80576494799</v>
      </c>
      <c r="D27" s="707">
        <f t="shared" ref="D27:R27" ca="1" si="3">D22+D16+D26</f>
        <v>62.357142857142847</v>
      </c>
      <c r="E27" s="707">
        <f t="shared" ca="1" si="3"/>
        <v>316068.039156752</v>
      </c>
      <c r="F27" s="707">
        <f t="shared" si="3"/>
        <v>17052.705106809859</v>
      </c>
      <c r="G27" s="707">
        <f t="shared" ca="1" si="3"/>
        <v>48933.654125320827</v>
      </c>
      <c r="H27" s="707">
        <f t="shared" si="3"/>
        <v>379486.60125770036</v>
      </c>
      <c r="I27" s="707">
        <f t="shared" si="3"/>
        <v>62981.986988374563</v>
      </c>
      <c r="J27" s="707">
        <f t="shared" si="3"/>
        <v>0</v>
      </c>
      <c r="K27" s="707">
        <f t="shared" si="3"/>
        <v>5990.0973461805697</v>
      </c>
      <c r="L27" s="707">
        <f t="shared" si="3"/>
        <v>0</v>
      </c>
      <c r="M27" s="707">
        <f t="shared" ca="1" si="3"/>
        <v>0</v>
      </c>
      <c r="N27" s="707">
        <f t="shared" si="3"/>
        <v>24026.672528219588</v>
      </c>
      <c r="O27" s="707">
        <f t="shared" ca="1" si="3"/>
        <v>62414.260657959843</v>
      </c>
      <c r="P27" s="707">
        <f t="shared" si="3"/>
        <v>647.22</v>
      </c>
      <c r="Q27" s="707">
        <f t="shared" si="3"/>
        <v>2440.5333333333333</v>
      </c>
      <c r="R27" s="707">
        <f t="shared" ca="1" si="3"/>
        <v>1144815.9334084562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16765.454359793435</v>
      </c>
      <c r="D40" s="1013">
        <f ca="1">tertiair!C20</f>
        <v>0</v>
      </c>
      <c r="E40" s="1013">
        <f ca="1">tertiair!D20</f>
        <v>19347.280031642778</v>
      </c>
      <c r="F40" s="1013">
        <f>tertiair!E20</f>
        <v>343.00785246354496</v>
      </c>
      <c r="G40" s="1013">
        <f ca="1">tertiair!F20</f>
        <v>3951.3031395557041</v>
      </c>
      <c r="H40" s="1013">
        <f>tertiair!G20</f>
        <v>0</v>
      </c>
      <c r="I40" s="1013">
        <f>tertiair!H20</f>
        <v>0</v>
      </c>
      <c r="J40" s="1013">
        <f>tertiair!I20</f>
        <v>0</v>
      </c>
      <c r="K40" s="1013">
        <f>tertiair!J20</f>
        <v>9.0351826168163091E-2</v>
      </c>
      <c r="L40" s="1013">
        <f>tertiair!K20</f>
        <v>0</v>
      </c>
      <c r="M40" s="1013">
        <f ca="1">tertiair!L20</f>
        <v>0</v>
      </c>
      <c r="N40" s="1013">
        <f>tertiair!M20</f>
        <v>0</v>
      </c>
      <c r="O40" s="1013">
        <f ca="1">tertiair!N20</f>
        <v>0</v>
      </c>
      <c r="P40" s="1013">
        <f>tertiair!O20</f>
        <v>0</v>
      </c>
      <c r="Q40" s="774">
        <f>tertiair!P20</f>
        <v>0</v>
      </c>
      <c r="R40" s="850">
        <f t="shared" ca="1" si="4"/>
        <v>40407.135735281634</v>
      </c>
    </row>
    <row r="41" spans="1:18">
      <c r="A41" s="822" t="s">
        <v>225</v>
      </c>
      <c r="B41" s="829"/>
      <c r="C41" s="1013">
        <f ca="1">huishoudens!B12</f>
        <v>14311.274732585609</v>
      </c>
      <c r="D41" s="1013">
        <f ca="1">huishoudens!C12</f>
        <v>0</v>
      </c>
      <c r="E41" s="1013">
        <f>huishoudens!D12</f>
        <v>31120.642579263284</v>
      </c>
      <c r="F41" s="1013">
        <f>huishoudens!E12</f>
        <v>2006.2054521459693</v>
      </c>
      <c r="G41" s="1013">
        <f>huishoudens!F12</f>
        <v>0</v>
      </c>
      <c r="H41" s="1013">
        <f>huishoudens!G12</f>
        <v>0</v>
      </c>
      <c r="I41" s="1013">
        <f>huishoudens!H12</f>
        <v>0</v>
      </c>
      <c r="J41" s="1013">
        <f>huishoudens!I12</f>
        <v>0</v>
      </c>
      <c r="K41" s="1013">
        <f>huishoudens!J12</f>
        <v>1911.0180447906791</v>
      </c>
      <c r="L41" s="1013">
        <f>huishoudens!K12</f>
        <v>0</v>
      </c>
      <c r="M41" s="1013">
        <f>huishoudens!L12</f>
        <v>0</v>
      </c>
      <c r="N41" s="1013">
        <f>huishoudens!M12</f>
        <v>0</v>
      </c>
      <c r="O41" s="1013">
        <f>huishoudens!N12</f>
        <v>0</v>
      </c>
      <c r="P41" s="1013">
        <f>huishoudens!O12</f>
        <v>0</v>
      </c>
      <c r="Q41" s="774">
        <f>huishoudens!P12</f>
        <v>0</v>
      </c>
      <c r="R41" s="850">
        <f t="shared" ca="1" si="4"/>
        <v>49349.140808785545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13608.062343162614</v>
      </c>
      <c r="D43" s="1013">
        <f ca="1">industrie!C22</f>
        <v>0</v>
      </c>
      <c r="E43" s="1013">
        <f>industrie!D22</f>
        <v>10975.072074466851</v>
      </c>
      <c r="F43" s="1013">
        <f>industrie!E22</f>
        <v>1309.4730941242858</v>
      </c>
      <c r="G43" s="1013">
        <f>industrie!F22</f>
        <v>5029.7427445218536</v>
      </c>
      <c r="H43" s="1013">
        <f>industrie!G22</f>
        <v>0</v>
      </c>
      <c r="I43" s="1013">
        <f>industrie!H22</f>
        <v>0</v>
      </c>
      <c r="J43" s="1013">
        <f>industrie!I22</f>
        <v>0</v>
      </c>
      <c r="K43" s="1013">
        <f>industrie!J22</f>
        <v>21.06729215282347</v>
      </c>
      <c r="L43" s="1013">
        <f>industrie!K22</f>
        <v>0</v>
      </c>
      <c r="M43" s="1013">
        <f>industrie!L22</f>
        <v>0</v>
      </c>
      <c r="N43" s="1013">
        <f>industrie!M22</f>
        <v>0</v>
      </c>
      <c r="O43" s="1013">
        <f>industrie!N22</f>
        <v>0</v>
      </c>
      <c r="P43" s="1013">
        <f>industrie!O22</f>
        <v>0</v>
      </c>
      <c r="Q43" s="774">
        <f>industrie!P22</f>
        <v>0</v>
      </c>
      <c r="R43" s="849">
        <f t="shared" ca="1" si="4"/>
        <v>30943.417548428428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44684.791435541658</v>
      </c>
      <c r="D46" s="732">
        <f t="shared" ref="D46:Q46" ca="1" si="5">SUM(D39:D45)</f>
        <v>0</v>
      </c>
      <c r="E46" s="732">
        <f t="shared" ca="1" si="5"/>
        <v>61442.994685372912</v>
      </c>
      <c r="F46" s="732">
        <f t="shared" si="5"/>
        <v>3658.6863987338002</v>
      </c>
      <c r="G46" s="732">
        <f t="shared" ca="1" si="5"/>
        <v>8981.0458840775573</v>
      </c>
      <c r="H46" s="732">
        <f t="shared" si="5"/>
        <v>0</v>
      </c>
      <c r="I46" s="732">
        <f t="shared" si="5"/>
        <v>0</v>
      </c>
      <c r="J46" s="732">
        <f t="shared" si="5"/>
        <v>0</v>
      </c>
      <c r="K46" s="732">
        <f t="shared" si="5"/>
        <v>1932.1756887696708</v>
      </c>
      <c r="L46" s="732">
        <f t="shared" si="5"/>
        <v>0</v>
      </c>
      <c r="M46" s="732">
        <f t="shared" ca="1" si="5"/>
        <v>0</v>
      </c>
      <c r="N46" s="732">
        <f t="shared" si="5"/>
        <v>0</v>
      </c>
      <c r="O46" s="732">
        <f t="shared" ca="1" si="5"/>
        <v>0</v>
      </c>
      <c r="P46" s="732">
        <f t="shared" si="5"/>
        <v>0</v>
      </c>
      <c r="Q46" s="732">
        <f t="shared" si="5"/>
        <v>0</v>
      </c>
      <c r="R46" s="732">
        <f ca="1">SUM(R39:R45)</f>
        <v>120699.6940924956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519.96976888416748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519.96976888416748</v>
      </c>
    </row>
    <row r="50" spans="1:18">
      <c r="A50" s="825" t="s">
        <v>307</v>
      </c>
      <c r="B50" s="835"/>
      <c r="C50" s="703">
        <f ca="1">transport!B18</f>
        <v>32.08149041810956</v>
      </c>
      <c r="D50" s="703">
        <f>transport!C18</f>
        <v>0</v>
      </c>
      <c r="E50" s="703">
        <f>transport!D18</f>
        <v>110.12747442368864</v>
      </c>
      <c r="F50" s="703">
        <f>transport!E18</f>
        <v>187.77817801446284</v>
      </c>
      <c r="G50" s="703">
        <f>transport!F18</f>
        <v>0</v>
      </c>
      <c r="H50" s="703">
        <f>transport!G18</f>
        <v>100802.95276692184</v>
      </c>
      <c r="I50" s="703">
        <f>transport!H18</f>
        <v>15682.514760105267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116815.45466988336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32.08149041810956</v>
      </c>
      <c r="D52" s="732">
        <f t="shared" ref="D52:Q52" ca="1" si="6">SUM(D48:D51)</f>
        <v>0</v>
      </c>
      <c r="E52" s="732">
        <f t="shared" si="6"/>
        <v>110.12747442368864</v>
      </c>
      <c r="F52" s="732">
        <f t="shared" si="6"/>
        <v>187.77817801446284</v>
      </c>
      <c r="G52" s="732">
        <f t="shared" si="6"/>
        <v>0</v>
      </c>
      <c r="H52" s="732">
        <f t="shared" si="6"/>
        <v>101322.92253580601</v>
      </c>
      <c r="I52" s="732">
        <f t="shared" si="6"/>
        <v>15682.514760105267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117335.42443876753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750.23518789218724</v>
      </c>
      <c r="D54" s="703">
        <f ca="1">+landbouw!C12</f>
        <v>0</v>
      </c>
      <c r="E54" s="703">
        <f>+landbouw!D12</f>
        <v>1174.9445031784614</v>
      </c>
      <c r="F54" s="703">
        <f>+landbouw!E12</f>
        <v>24.499482497575201</v>
      </c>
      <c r="G54" s="703">
        <f>+landbouw!F12</f>
        <v>4084.2397673831033</v>
      </c>
      <c r="H54" s="703">
        <f>+landbouw!G12</f>
        <v>0</v>
      </c>
      <c r="I54" s="703">
        <f>+landbouw!H12</f>
        <v>0</v>
      </c>
      <c r="J54" s="703">
        <f>+landbouw!I12</f>
        <v>0</v>
      </c>
      <c r="K54" s="703">
        <f>+landbouw!J12</f>
        <v>188.31877177825089</v>
      </c>
      <c r="L54" s="703">
        <f>+landbouw!K12</f>
        <v>0</v>
      </c>
      <c r="M54" s="703">
        <f>+landbouw!L12</f>
        <v>0</v>
      </c>
      <c r="N54" s="703">
        <f>+landbouw!M12</f>
        <v>0</v>
      </c>
      <c r="O54" s="703">
        <f>+landbouw!N12</f>
        <v>0</v>
      </c>
      <c r="P54" s="703">
        <f>+landbouw!O12</f>
        <v>0</v>
      </c>
      <c r="Q54" s="704">
        <f>+landbouw!P12</f>
        <v>0</v>
      </c>
      <c r="R54" s="731">
        <f ca="1">SUM(C54:Q54)</f>
        <v>6222.2377127295786</v>
      </c>
    </row>
    <row r="55" spans="1:18" ht="15" thickBot="1">
      <c r="A55" s="825" t="s">
        <v>836</v>
      </c>
      <c r="B55" s="835"/>
      <c r="C55" s="703">
        <f ca="1">C25*'EF ele_warmte'!B12</f>
        <v>446.03065623232447</v>
      </c>
      <c r="D55" s="703"/>
      <c r="E55" s="703">
        <f>E25*EF_CO2_aardgas</f>
        <v>1117.6772466888572</v>
      </c>
      <c r="F55" s="703"/>
      <c r="G55" s="703"/>
      <c r="H55" s="703"/>
      <c r="I55" s="703"/>
      <c r="J55" s="703"/>
      <c r="K55" s="703"/>
      <c r="L55" s="703"/>
      <c r="M55" s="703"/>
      <c r="N55" s="703"/>
      <c r="O55" s="703"/>
      <c r="P55" s="703"/>
      <c r="Q55" s="704"/>
      <c r="R55" s="731">
        <f ca="1">SUM(C55:Q55)</f>
        <v>1563.7079029211816</v>
      </c>
    </row>
    <row r="56" spans="1:18" ht="15.75" thickBot="1">
      <c r="A56" s="823" t="s">
        <v>837</v>
      </c>
      <c r="B56" s="836"/>
      <c r="C56" s="732">
        <f ca="1">SUM(C54:C55)</f>
        <v>1196.2658441245117</v>
      </c>
      <c r="D56" s="732">
        <f t="shared" ref="D56:Q56" ca="1" si="7">SUM(D54:D55)</f>
        <v>0</v>
      </c>
      <c r="E56" s="732">
        <f t="shared" si="7"/>
        <v>2292.6217498673186</v>
      </c>
      <c r="F56" s="732">
        <f t="shared" si="7"/>
        <v>24.499482497575201</v>
      </c>
      <c r="G56" s="732">
        <f t="shared" si="7"/>
        <v>4084.2397673831033</v>
      </c>
      <c r="H56" s="732">
        <f t="shared" si="7"/>
        <v>0</v>
      </c>
      <c r="I56" s="732">
        <f t="shared" si="7"/>
        <v>0</v>
      </c>
      <c r="J56" s="732">
        <f t="shared" si="7"/>
        <v>0</v>
      </c>
      <c r="K56" s="732">
        <f t="shared" si="7"/>
        <v>188.31877177825089</v>
      </c>
      <c r="L56" s="732">
        <f t="shared" si="7"/>
        <v>0</v>
      </c>
      <c r="M56" s="732">
        <f t="shared" si="7"/>
        <v>0</v>
      </c>
      <c r="N56" s="732">
        <f t="shared" si="7"/>
        <v>0</v>
      </c>
      <c r="O56" s="732">
        <f t="shared" si="7"/>
        <v>0</v>
      </c>
      <c r="P56" s="732">
        <f t="shared" si="7"/>
        <v>0</v>
      </c>
      <c r="Q56" s="733">
        <f t="shared" si="7"/>
        <v>0</v>
      </c>
      <c r="R56" s="734">
        <f ca="1">SUM(R54:R55)</f>
        <v>7785.9456156507604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45913.138770084282</v>
      </c>
      <c r="D61" s="740">
        <f t="shared" ref="D61:Q61" ca="1" si="8">D46+D52+D56</f>
        <v>0</v>
      </c>
      <c r="E61" s="740">
        <f t="shared" ca="1" si="8"/>
        <v>63845.743909663921</v>
      </c>
      <c r="F61" s="740">
        <f t="shared" si="8"/>
        <v>3870.9640592458381</v>
      </c>
      <c r="G61" s="740">
        <f t="shared" ca="1" si="8"/>
        <v>13065.285651460661</v>
      </c>
      <c r="H61" s="740">
        <f t="shared" si="8"/>
        <v>101322.92253580601</v>
      </c>
      <c r="I61" s="740">
        <f t="shared" si="8"/>
        <v>15682.514760105267</v>
      </c>
      <c r="J61" s="740">
        <f t="shared" si="8"/>
        <v>0</v>
      </c>
      <c r="K61" s="740">
        <f t="shared" si="8"/>
        <v>2120.4944605479218</v>
      </c>
      <c r="L61" s="740">
        <f t="shared" si="8"/>
        <v>0</v>
      </c>
      <c r="M61" s="740">
        <f t="shared" ca="1" si="8"/>
        <v>0</v>
      </c>
      <c r="N61" s="740">
        <f t="shared" si="8"/>
        <v>0</v>
      </c>
      <c r="O61" s="740">
        <f t="shared" ca="1" si="8"/>
        <v>0</v>
      </c>
      <c r="P61" s="740">
        <f t="shared" si="8"/>
        <v>0</v>
      </c>
      <c r="Q61" s="740">
        <f t="shared" si="8"/>
        <v>0</v>
      </c>
      <c r="R61" s="740">
        <f ca="1">R46+R52+R56</f>
        <v>245821.06414691391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0.20432010064531336</v>
      </c>
      <c r="D63" s="781">
        <f t="shared" ca="1" si="9"/>
        <v>0</v>
      </c>
      <c r="E63" s="1024">
        <f t="shared" ca="1" si="9"/>
        <v>0.20200000000000007</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16916.396624295117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43.649999999999991</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51.35294117647058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16960.046624295119</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16916.396624295117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43.649999999999991</v>
      </c>
      <c r="C8" s="570">
        <f>B101</f>
        <v>0</v>
      </c>
      <c r="D8" s="1044"/>
      <c r="E8" s="1044">
        <f>E101</f>
        <v>0</v>
      </c>
      <c r="F8" s="1045"/>
      <c r="G8" s="571"/>
      <c r="H8" s="1044">
        <f>I101</f>
        <v>0</v>
      </c>
      <c r="I8" s="1044">
        <f>G101+F101</f>
        <v>0</v>
      </c>
      <c r="J8" s="1044">
        <f>H101+D101+C101</f>
        <v>51.35294117647058</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16960.046624295119</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62.357142857142847</v>
      </c>
      <c r="C17" s="595">
        <f>B102</f>
        <v>0</v>
      </c>
      <c r="D17" s="596"/>
      <c r="E17" s="596">
        <f>E102</f>
        <v>0</v>
      </c>
      <c r="F17" s="1050"/>
      <c r="G17" s="597"/>
      <c r="H17" s="595">
        <f>I102</f>
        <v>0</v>
      </c>
      <c r="I17" s="596">
        <f>G102+F102</f>
        <v>0</v>
      </c>
      <c r="J17" s="596">
        <f>H102+D102+C102</f>
        <v>73.361344537815114</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46014</v>
      </c>
      <c r="C28" s="796">
        <v>9160</v>
      </c>
      <c r="D28" s="653" t="s">
        <v>881</v>
      </c>
      <c r="E28" s="652" t="s">
        <v>882</v>
      </c>
      <c r="F28" s="652" t="s">
        <v>883</v>
      </c>
      <c r="G28" s="652" t="s">
        <v>884</v>
      </c>
      <c r="H28" s="652" t="s">
        <v>885</v>
      </c>
      <c r="I28" s="652" t="s">
        <v>886</v>
      </c>
      <c r="J28" s="795">
        <v>40941</v>
      </c>
      <c r="K28" s="795">
        <v>41214</v>
      </c>
      <c r="L28" s="652" t="s">
        <v>887</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70043.400954608311</v>
      </c>
      <c r="C4" s="477">
        <f>huishoudens!C8</f>
        <v>0</v>
      </c>
      <c r="D4" s="477">
        <f>huishoudens!D8</f>
        <v>154062.58702605584</v>
      </c>
      <c r="E4" s="477">
        <f>huishoudens!E8</f>
        <v>8837.9094808192476</v>
      </c>
      <c r="F4" s="477">
        <f>huishoudens!F8</f>
        <v>0</v>
      </c>
      <c r="G4" s="477">
        <f>huishoudens!G8</f>
        <v>0</v>
      </c>
      <c r="H4" s="477">
        <f>huishoudens!H8</f>
        <v>0</v>
      </c>
      <c r="I4" s="477">
        <f>huishoudens!I8</f>
        <v>0</v>
      </c>
      <c r="J4" s="477">
        <f>huishoudens!J8</f>
        <v>5398.356058730732</v>
      </c>
      <c r="K4" s="477">
        <f>huishoudens!K8</f>
        <v>0</v>
      </c>
      <c r="L4" s="477">
        <f>huishoudens!L8</f>
        <v>0</v>
      </c>
      <c r="M4" s="477">
        <f>huishoudens!M8</f>
        <v>0</v>
      </c>
      <c r="N4" s="477">
        <f>huishoudens!N8</f>
        <v>40981.747633189938</v>
      </c>
      <c r="O4" s="477">
        <f>huishoudens!O8</f>
        <v>633.15</v>
      </c>
      <c r="P4" s="478">
        <f>huishoudens!P8</f>
        <v>2288</v>
      </c>
      <c r="Q4" s="479">
        <f>SUM(B4:P4)</f>
        <v>282245.15115340409</v>
      </c>
    </row>
    <row r="5" spans="1:17">
      <c r="A5" s="476" t="s">
        <v>156</v>
      </c>
      <c r="B5" s="477">
        <f ca="1">tertiair!B16</f>
        <v>79758.379677277131</v>
      </c>
      <c r="C5" s="477">
        <f ca="1">tertiair!C16</f>
        <v>0</v>
      </c>
      <c r="D5" s="477">
        <f ca="1">tertiair!D16</f>
        <v>95778.61401803355</v>
      </c>
      <c r="E5" s="477">
        <f>tertiair!E16</f>
        <v>1511.0478082094492</v>
      </c>
      <c r="F5" s="477">
        <f ca="1">tertiair!F16</f>
        <v>14798.888163129977</v>
      </c>
      <c r="G5" s="477">
        <f>tertiair!G16</f>
        <v>0</v>
      </c>
      <c r="H5" s="477">
        <f>tertiair!H16</f>
        <v>0</v>
      </c>
      <c r="I5" s="477">
        <f>tertiair!I16</f>
        <v>0</v>
      </c>
      <c r="J5" s="477">
        <f>tertiair!J16</f>
        <v>0.25523114736769237</v>
      </c>
      <c r="K5" s="477">
        <f>tertiair!K16</f>
        <v>0</v>
      </c>
      <c r="L5" s="477">
        <f ca="1">tertiair!L16</f>
        <v>0</v>
      </c>
      <c r="M5" s="477">
        <f>tertiair!M16</f>
        <v>0</v>
      </c>
      <c r="N5" s="477">
        <f ca="1">tertiair!N16</f>
        <v>10140.532014485112</v>
      </c>
      <c r="O5" s="477">
        <f>tertiair!O16</f>
        <v>14.070000000000002</v>
      </c>
      <c r="P5" s="478">
        <f>tertiair!P16</f>
        <v>152.53333333333333</v>
      </c>
      <c r="Q5" s="476">
        <f t="shared" ref="Q5:Q14" ca="1" si="0">SUM(B5:P5)</f>
        <v>202154.32024561591</v>
      </c>
    </row>
    <row r="6" spans="1:17">
      <c r="A6" s="476" t="s">
        <v>194</v>
      </c>
      <c r="B6" s="477">
        <f>'openbare verlichting'!B8</f>
        <v>2296.4661594386303</v>
      </c>
      <c r="C6" s="477"/>
      <c r="D6" s="477"/>
      <c r="E6" s="477"/>
      <c r="F6" s="477"/>
      <c r="G6" s="477"/>
      <c r="H6" s="477"/>
      <c r="I6" s="477"/>
      <c r="J6" s="477"/>
      <c r="K6" s="477"/>
      <c r="L6" s="477"/>
      <c r="M6" s="477"/>
      <c r="N6" s="477"/>
      <c r="O6" s="477"/>
      <c r="P6" s="478"/>
      <c r="Q6" s="476">
        <f t="shared" si="0"/>
        <v>2296.4661594386303</v>
      </c>
    </row>
    <row r="7" spans="1:17">
      <c r="A7" s="476" t="s">
        <v>112</v>
      </c>
      <c r="B7" s="477">
        <f>landbouw!B8</f>
        <v>3671.8618751786325</v>
      </c>
      <c r="C7" s="477">
        <f>landbouw!C8</f>
        <v>62.357142857142847</v>
      </c>
      <c r="D7" s="477">
        <f>landbouw!D8</f>
        <v>5816.556946428027</v>
      </c>
      <c r="E7" s="477">
        <f>landbouw!E8</f>
        <v>107.92723567213744</v>
      </c>
      <c r="F7" s="477">
        <f>landbouw!F8</f>
        <v>15296.778154992895</v>
      </c>
      <c r="G7" s="477">
        <f>landbouw!G8</f>
        <v>0</v>
      </c>
      <c r="H7" s="477">
        <f>landbouw!H8</f>
        <v>0</v>
      </c>
      <c r="I7" s="477">
        <f>landbouw!I8</f>
        <v>0</v>
      </c>
      <c r="J7" s="477">
        <f>landbouw!J8</f>
        <v>531.97393157697991</v>
      </c>
      <c r="K7" s="477">
        <f>landbouw!K8</f>
        <v>0</v>
      </c>
      <c r="L7" s="477">
        <f>landbouw!L8</f>
        <v>0</v>
      </c>
      <c r="M7" s="477">
        <f>landbouw!M8</f>
        <v>0</v>
      </c>
      <c r="N7" s="477">
        <f>landbouw!N8</f>
        <v>0</v>
      </c>
      <c r="O7" s="477">
        <f>landbouw!O8</f>
        <v>0</v>
      </c>
      <c r="P7" s="478">
        <f>landbouw!P8</f>
        <v>0</v>
      </c>
      <c r="Q7" s="476">
        <f t="shared" si="0"/>
        <v>25487.455286705816</v>
      </c>
    </row>
    <row r="8" spans="1:17">
      <c r="A8" s="476" t="s">
        <v>635</v>
      </c>
      <c r="B8" s="477">
        <f>industrie!B18</f>
        <v>66601.681871649722</v>
      </c>
      <c r="C8" s="477">
        <f>industrie!C18</f>
        <v>0</v>
      </c>
      <c r="D8" s="477">
        <f>industrie!D18</f>
        <v>54332.039972608167</v>
      </c>
      <c r="E8" s="477">
        <f>industrie!E18</f>
        <v>5768.6039388735053</v>
      </c>
      <c r="F8" s="477">
        <f>industrie!F18</f>
        <v>18837.987807197951</v>
      </c>
      <c r="G8" s="477">
        <f>industrie!G18</f>
        <v>0</v>
      </c>
      <c r="H8" s="477">
        <f>industrie!H18</f>
        <v>0</v>
      </c>
      <c r="I8" s="477">
        <f>industrie!I18</f>
        <v>0</v>
      </c>
      <c r="J8" s="477">
        <f>industrie!J18</f>
        <v>59.512124725490033</v>
      </c>
      <c r="K8" s="477">
        <f>industrie!K18</f>
        <v>0</v>
      </c>
      <c r="L8" s="477">
        <f>industrie!L18</f>
        <v>0</v>
      </c>
      <c r="M8" s="477">
        <f>industrie!M18</f>
        <v>0</v>
      </c>
      <c r="N8" s="477">
        <f>industrie!N18</f>
        <v>11291.98101028479</v>
      </c>
      <c r="O8" s="477">
        <f>industrie!O18</f>
        <v>0</v>
      </c>
      <c r="P8" s="478">
        <f>industrie!P18</f>
        <v>0</v>
      </c>
      <c r="Q8" s="476">
        <f t="shared" si="0"/>
        <v>156891.80672533964</v>
      </c>
    </row>
    <row r="9" spans="1:17" s="482" customFormat="1">
      <c r="A9" s="480" t="s">
        <v>561</v>
      </c>
      <c r="B9" s="481">
        <f>transport!B14</f>
        <v>157.01583112373746</v>
      </c>
      <c r="C9" s="481">
        <f>transport!C14</f>
        <v>0</v>
      </c>
      <c r="D9" s="481">
        <f>transport!D14</f>
        <v>545.18551694895359</v>
      </c>
      <c r="E9" s="481">
        <f>transport!E14</f>
        <v>827.21664323551909</v>
      </c>
      <c r="F9" s="481">
        <f>transport!F14</f>
        <v>0</v>
      </c>
      <c r="G9" s="481">
        <f>transport!G14</f>
        <v>377539.14893978211</v>
      </c>
      <c r="H9" s="481">
        <f>transport!H14</f>
        <v>62981.986988374563</v>
      </c>
      <c r="I9" s="481">
        <f>transport!I14</f>
        <v>0</v>
      </c>
      <c r="J9" s="481">
        <f>transport!J14</f>
        <v>0</v>
      </c>
      <c r="K9" s="481">
        <f>transport!K14</f>
        <v>0</v>
      </c>
      <c r="L9" s="481">
        <f>transport!L14</f>
        <v>0</v>
      </c>
      <c r="M9" s="481">
        <f>transport!M14</f>
        <v>23916.065833738845</v>
      </c>
      <c r="N9" s="481">
        <f>transport!N14</f>
        <v>0</v>
      </c>
      <c r="O9" s="481">
        <f>transport!O14</f>
        <v>0</v>
      </c>
      <c r="P9" s="481">
        <f>transport!P14</f>
        <v>0</v>
      </c>
      <c r="Q9" s="480">
        <f>SUM(B9:P9)</f>
        <v>465966.6197532037</v>
      </c>
    </row>
    <row r="10" spans="1:17">
      <c r="A10" s="476" t="s">
        <v>551</v>
      </c>
      <c r="B10" s="477">
        <f>transport!B54</f>
        <v>0</v>
      </c>
      <c r="C10" s="477">
        <f>transport!C54</f>
        <v>0</v>
      </c>
      <c r="D10" s="477">
        <f>transport!D54</f>
        <v>0</v>
      </c>
      <c r="E10" s="477">
        <f>transport!E54</f>
        <v>0</v>
      </c>
      <c r="F10" s="477">
        <f>transport!F54</f>
        <v>0</v>
      </c>
      <c r="G10" s="477">
        <f>transport!G54</f>
        <v>1947.4523179182299</v>
      </c>
      <c r="H10" s="477">
        <f>transport!H54</f>
        <v>0</v>
      </c>
      <c r="I10" s="477">
        <f>transport!I54</f>
        <v>0</v>
      </c>
      <c r="J10" s="477">
        <f>transport!J54</f>
        <v>0</v>
      </c>
      <c r="K10" s="477">
        <f>transport!K54</f>
        <v>0</v>
      </c>
      <c r="L10" s="477">
        <f>transport!L54</f>
        <v>0</v>
      </c>
      <c r="M10" s="477">
        <f>transport!M54</f>
        <v>110.6066944807427</v>
      </c>
      <c r="N10" s="477">
        <f>transport!N54</f>
        <v>0</v>
      </c>
      <c r="O10" s="477">
        <f>transport!O54</f>
        <v>0</v>
      </c>
      <c r="P10" s="478">
        <f>transport!P54</f>
        <v>0</v>
      </c>
      <c r="Q10" s="476">
        <f t="shared" si="0"/>
        <v>2058.0590123989728</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2182.9993956718199</v>
      </c>
      <c r="C14" s="484"/>
      <c r="D14" s="484">
        <f>'SEAP template'!E25</f>
        <v>5533.0556766775098</v>
      </c>
      <c r="E14" s="484"/>
      <c r="F14" s="484"/>
      <c r="G14" s="484"/>
      <c r="H14" s="484"/>
      <c r="I14" s="484"/>
      <c r="J14" s="484"/>
      <c r="K14" s="484"/>
      <c r="L14" s="484"/>
      <c r="M14" s="484"/>
      <c r="N14" s="484"/>
      <c r="O14" s="484"/>
      <c r="P14" s="485"/>
      <c r="Q14" s="476">
        <f t="shared" si="0"/>
        <v>7716.0550723493297</v>
      </c>
    </row>
    <row r="15" spans="1:17" s="486" customFormat="1">
      <c r="A15" s="1039" t="s">
        <v>555</v>
      </c>
      <c r="B15" s="987">
        <f ca="1">SUM(B4:B14)</f>
        <v>224711.80576494802</v>
      </c>
      <c r="C15" s="987">
        <f t="shared" ref="C15:Q15" ca="1" si="1">SUM(C4:C14)</f>
        <v>62.357142857142847</v>
      </c>
      <c r="D15" s="987">
        <f t="shared" ca="1" si="1"/>
        <v>316068.039156752</v>
      </c>
      <c r="E15" s="987">
        <f t="shared" si="1"/>
        <v>17052.705106809859</v>
      </c>
      <c r="F15" s="987">
        <f t="shared" ca="1" si="1"/>
        <v>48933.654125320827</v>
      </c>
      <c r="G15" s="987">
        <f t="shared" si="1"/>
        <v>379486.60125770036</v>
      </c>
      <c r="H15" s="987">
        <f t="shared" si="1"/>
        <v>62981.986988374563</v>
      </c>
      <c r="I15" s="987">
        <f t="shared" si="1"/>
        <v>0</v>
      </c>
      <c r="J15" s="987">
        <f t="shared" si="1"/>
        <v>5990.0973461805697</v>
      </c>
      <c r="K15" s="987">
        <f t="shared" si="1"/>
        <v>0</v>
      </c>
      <c r="L15" s="987">
        <f t="shared" ca="1" si="1"/>
        <v>0</v>
      </c>
      <c r="M15" s="987">
        <f t="shared" si="1"/>
        <v>24026.672528219588</v>
      </c>
      <c r="N15" s="987">
        <f t="shared" ca="1" si="1"/>
        <v>62414.260657959843</v>
      </c>
      <c r="O15" s="987">
        <f t="shared" si="1"/>
        <v>647.22</v>
      </c>
      <c r="P15" s="987">
        <f t="shared" si="1"/>
        <v>2440.5333333333333</v>
      </c>
      <c r="Q15" s="987">
        <f t="shared" ca="1" si="1"/>
        <v>1144815.9334084562</v>
      </c>
    </row>
    <row r="17" spans="1:17">
      <c r="A17" s="487" t="s">
        <v>556</v>
      </c>
      <c r="B17" s="786">
        <f ca="1">huishoudens!B10</f>
        <v>0.20432010064531336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14311.274732585609</v>
      </c>
      <c r="C22" s="477">
        <f t="shared" ref="C22:C32" ca="1" si="3">C4*$C$17</f>
        <v>0</v>
      </c>
      <c r="D22" s="477">
        <f t="shared" ref="D22:D32" si="4">D4*$D$17</f>
        <v>31120.642579263284</v>
      </c>
      <c r="E22" s="477">
        <f t="shared" ref="E22:E32" si="5">E4*$E$17</f>
        <v>2006.2054521459693</v>
      </c>
      <c r="F22" s="477">
        <f t="shared" ref="F22:F32" si="6">F4*$F$17</f>
        <v>0</v>
      </c>
      <c r="G22" s="477">
        <f t="shared" ref="G22:G32" si="7">G4*$G$17</f>
        <v>0</v>
      </c>
      <c r="H22" s="477">
        <f t="shared" ref="H22:H32" si="8">H4*$H$17</f>
        <v>0</v>
      </c>
      <c r="I22" s="477">
        <f t="shared" ref="I22:I32" si="9">I4*$I$17</f>
        <v>0</v>
      </c>
      <c r="J22" s="477">
        <f t="shared" ref="J22:J32" si="10">J4*$J$17</f>
        <v>1911.0180447906791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49349.140808785545</v>
      </c>
    </row>
    <row r="23" spans="1:17">
      <c r="A23" s="476" t="s">
        <v>156</v>
      </c>
      <c r="B23" s="477">
        <f t="shared" ca="1" si="2"/>
        <v>16296.240162968379</v>
      </c>
      <c r="C23" s="477">
        <f t="shared" ca="1" si="3"/>
        <v>0</v>
      </c>
      <c r="D23" s="477">
        <f t="shared" ca="1" si="4"/>
        <v>19347.280031642778</v>
      </c>
      <c r="E23" s="477">
        <f t="shared" si="5"/>
        <v>343.00785246354496</v>
      </c>
      <c r="F23" s="477">
        <f t="shared" ca="1" si="6"/>
        <v>3951.3031395557041</v>
      </c>
      <c r="G23" s="477">
        <f t="shared" si="7"/>
        <v>0</v>
      </c>
      <c r="H23" s="477">
        <f t="shared" si="8"/>
        <v>0</v>
      </c>
      <c r="I23" s="477">
        <f t="shared" si="9"/>
        <v>0</v>
      </c>
      <c r="J23" s="477">
        <f t="shared" si="10"/>
        <v>9.0351826168163091E-2</v>
      </c>
      <c r="K23" s="477">
        <f t="shared" si="11"/>
        <v>0</v>
      </c>
      <c r="L23" s="477">
        <f t="shared" ca="1" si="12"/>
        <v>0</v>
      </c>
      <c r="M23" s="477">
        <f t="shared" si="13"/>
        <v>0</v>
      </c>
      <c r="N23" s="477">
        <f t="shared" ca="1" si="14"/>
        <v>0</v>
      </c>
      <c r="O23" s="477">
        <f t="shared" si="15"/>
        <v>0</v>
      </c>
      <c r="P23" s="478">
        <f t="shared" si="16"/>
        <v>0</v>
      </c>
      <c r="Q23" s="476">
        <f t="shared" ref="Q23:Q32" ca="1" si="17">SUM(B23:P23)</f>
        <v>39937.921538456576</v>
      </c>
    </row>
    <row r="24" spans="1:17">
      <c r="A24" s="476" t="s">
        <v>194</v>
      </c>
      <c r="B24" s="477">
        <f t="shared" ca="1" si="2"/>
        <v>469.21419682505717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469.21419682505717</v>
      </c>
    </row>
    <row r="25" spans="1:17">
      <c r="A25" s="476" t="s">
        <v>112</v>
      </c>
      <c r="B25" s="477">
        <f t="shared" ca="1" si="2"/>
        <v>750.23518789218724</v>
      </c>
      <c r="C25" s="477">
        <f t="shared" ca="1" si="3"/>
        <v>0</v>
      </c>
      <c r="D25" s="477">
        <f t="shared" si="4"/>
        <v>1174.9445031784614</v>
      </c>
      <c r="E25" s="477">
        <f t="shared" si="5"/>
        <v>24.499482497575201</v>
      </c>
      <c r="F25" s="477">
        <f t="shared" si="6"/>
        <v>4084.2397673831033</v>
      </c>
      <c r="G25" s="477">
        <f t="shared" si="7"/>
        <v>0</v>
      </c>
      <c r="H25" s="477">
        <f t="shared" si="8"/>
        <v>0</v>
      </c>
      <c r="I25" s="477">
        <f t="shared" si="9"/>
        <v>0</v>
      </c>
      <c r="J25" s="477">
        <f t="shared" si="10"/>
        <v>188.31877177825089</v>
      </c>
      <c r="K25" s="477">
        <f t="shared" si="11"/>
        <v>0</v>
      </c>
      <c r="L25" s="477">
        <f t="shared" si="12"/>
        <v>0</v>
      </c>
      <c r="M25" s="477">
        <f t="shared" si="13"/>
        <v>0</v>
      </c>
      <c r="N25" s="477">
        <f t="shared" si="14"/>
        <v>0</v>
      </c>
      <c r="O25" s="477">
        <f t="shared" si="15"/>
        <v>0</v>
      </c>
      <c r="P25" s="478">
        <f t="shared" si="16"/>
        <v>0</v>
      </c>
      <c r="Q25" s="476">
        <f t="shared" ca="1" si="17"/>
        <v>6222.2377127295786</v>
      </c>
    </row>
    <row r="26" spans="1:17">
      <c r="A26" s="476" t="s">
        <v>635</v>
      </c>
      <c r="B26" s="477">
        <f t="shared" ca="1" si="2"/>
        <v>13608.062343162614</v>
      </c>
      <c r="C26" s="477">
        <f t="shared" ca="1" si="3"/>
        <v>0</v>
      </c>
      <c r="D26" s="477">
        <f t="shared" si="4"/>
        <v>10975.072074466851</v>
      </c>
      <c r="E26" s="477">
        <f t="shared" si="5"/>
        <v>1309.4730941242858</v>
      </c>
      <c r="F26" s="477">
        <f t="shared" si="6"/>
        <v>5029.7427445218536</v>
      </c>
      <c r="G26" s="477">
        <f t="shared" si="7"/>
        <v>0</v>
      </c>
      <c r="H26" s="477">
        <f t="shared" si="8"/>
        <v>0</v>
      </c>
      <c r="I26" s="477">
        <f t="shared" si="9"/>
        <v>0</v>
      </c>
      <c r="J26" s="477">
        <f t="shared" si="10"/>
        <v>21.06729215282347</v>
      </c>
      <c r="K26" s="477">
        <f t="shared" si="11"/>
        <v>0</v>
      </c>
      <c r="L26" s="477">
        <f t="shared" si="12"/>
        <v>0</v>
      </c>
      <c r="M26" s="477">
        <f t="shared" si="13"/>
        <v>0</v>
      </c>
      <c r="N26" s="477">
        <f t="shared" si="14"/>
        <v>0</v>
      </c>
      <c r="O26" s="477">
        <f t="shared" si="15"/>
        <v>0</v>
      </c>
      <c r="P26" s="478">
        <f t="shared" si="16"/>
        <v>0</v>
      </c>
      <c r="Q26" s="476">
        <f t="shared" ca="1" si="17"/>
        <v>30943.417548428428</v>
      </c>
    </row>
    <row r="27" spans="1:17" s="482" customFormat="1">
      <c r="A27" s="480" t="s">
        <v>561</v>
      </c>
      <c r="B27" s="780">
        <f t="shared" ca="1" si="2"/>
        <v>32.08149041810956</v>
      </c>
      <c r="C27" s="481">
        <f t="shared" ca="1" si="3"/>
        <v>0</v>
      </c>
      <c r="D27" s="481">
        <f t="shared" si="4"/>
        <v>110.12747442368864</v>
      </c>
      <c r="E27" s="481">
        <f t="shared" si="5"/>
        <v>187.77817801446284</v>
      </c>
      <c r="F27" s="481">
        <f t="shared" si="6"/>
        <v>0</v>
      </c>
      <c r="G27" s="481">
        <f t="shared" si="7"/>
        <v>100802.95276692184</v>
      </c>
      <c r="H27" s="481">
        <f t="shared" si="8"/>
        <v>15682.514760105267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116815.45466988336</v>
      </c>
    </row>
    <row r="28" spans="1:17">
      <c r="A28" s="476" t="s">
        <v>551</v>
      </c>
      <c r="B28" s="477">
        <f t="shared" ca="1" si="2"/>
        <v>0</v>
      </c>
      <c r="C28" s="477">
        <f t="shared" ca="1" si="3"/>
        <v>0</v>
      </c>
      <c r="D28" s="477">
        <f t="shared" si="4"/>
        <v>0</v>
      </c>
      <c r="E28" s="477">
        <f t="shared" si="5"/>
        <v>0</v>
      </c>
      <c r="F28" s="477">
        <f t="shared" si="6"/>
        <v>0</v>
      </c>
      <c r="G28" s="477">
        <f t="shared" si="7"/>
        <v>519.96976888416748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519.96976888416748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446.03065623232447</v>
      </c>
      <c r="C32" s="477">
        <f t="shared" ca="1" si="3"/>
        <v>0</v>
      </c>
      <c r="D32" s="477">
        <f t="shared" si="4"/>
        <v>1117.6772466888572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1563.7079029211816</v>
      </c>
    </row>
    <row r="33" spans="1:17" s="486" customFormat="1">
      <c r="A33" s="1039" t="s">
        <v>555</v>
      </c>
      <c r="B33" s="987">
        <f ca="1">SUM(B22:B32)</f>
        <v>45913.138770084282</v>
      </c>
      <c r="C33" s="987">
        <f t="shared" ref="C33:Q33" ca="1" si="18">SUM(C22:C32)</f>
        <v>0</v>
      </c>
      <c r="D33" s="987">
        <f t="shared" ca="1" si="18"/>
        <v>63845.743909663921</v>
      </c>
      <c r="E33" s="987">
        <f t="shared" si="18"/>
        <v>3870.9640592458377</v>
      </c>
      <c r="F33" s="987">
        <f t="shared" ca="1" si="18"/>
        <v>13065.285651460661</v>
      </c>
      <c r="G33" s="987">
        <f t="shared" si="18"/>
        <v>101322.92253580601</v>
      </c>
      <c r="H33" s="987">
        <f t="shared" si="18"/>
        <v>15682.514760105267</v>
      </c>
      <c r="I33" s="987">
        <f t="shared" si="18"/>
        <v>0</v>
      </c>
      <c r="J33" s="987">
        <f t="shared" si="18"/>
        <v>2120.4944605479218</v>
      </c>
      <c r="K33" s="987">
        <f t="shared" si="18"/>
        <v>0</v>
      </c>
      <c r="L33" s="987">
        <f t="shared" ca="1" si="18"/>
        <v>0</v>
      </c>
      <c r="M33" s="987">
        <f t="shared" si="18"/>
        <v>0</v>
      </c>
      <c r="N33" s="987">
        <f t="shared" ca="1" si="18"/>
        <v>0</v>
      </c>
      <c r="O33" s="987">
        <f t="shared" si="18"/>
        <v>0</v>
      </c>
      <c r="P33" s="987">
        <f t="shared" si="18"/>
        <v>0</v>
      </c>
      <c r="Q33" s="987">
        <f t="shared" ca="1" si="18"/>
        <v>245821.06414691388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16916.396624295117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43.649999999999991</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51.35294117647058</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16960.046624295119</v>
      </c>
      <c r="C10" s="1060">
        <f>SUM(C4:C9)</f>
        <v>0</v>
      </c>
      <c r="D10" s="1060">
        <f t="shared" ref="D10:H10" si="0">SUM(D8:D9)</f>
        <v>0</v>
      </c>
      <c r="E10" s="1060">
        <f t="shared" si="0"/>
        <v>0</v>
      </c>
      <c r="F10" s="1060">
        <f t="shared" si="0"/>
        <v>0</v>
      </c>
      <c r="G10" s="1060">
        <f t="shared" si="0"/>
        <v>0</v>
      </c>
      <c r="H10" s="1060">
        <f t="shared" si="0"/>
        <v>0</v>
      </c>
      <c r="I10" s="1060">
        <f>SUM(I8:I9)</f>
        <v>0</v>
      </c>
      <c r="J10" s="1060">
        <f>SUM(J8:J9)</f>
        <v>51.35294117647058</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0.20432010064531336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62.357142857142847</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73.361344537815114</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62.357142857142847</v>
      </c>
      <c r="C20" s="1060">
        <f>SUM(C17:C19)</f>
        <v>0</v>
      </c>
      <c r="D20" s="1060">
        <f t="shared" ref="D20:H20" si="2">SUM(D17:D19)</f>
        <v>0</v>
      </c>
      <c r="E20" s="1060">
        <f t="shared" si="2"/>
        <v>0</v>
      </c>
      <c r="F20" s="1060">
        <f t="shared" si="2"/>
        <v>0</v>
      </c>
      <c r="G20" s="1060">
        <f t="shared" si="2"/>
        <v>0</v>
      </c>
      <c r="H20" s="1060">
        <f t="shared" si="2"/>
        <v>0</v>
      </c>
      <c r="I20" s="1060">
        <f>SUM(I17:I19)</f>
        <v>0</v>
      </c>
      <c r="J20" s="1060">
        <f>SUM(J17:J19)</f>
        <v>73.361344537815114</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0.20432010064531336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2019-08-12T08:35:01Z</dcterms:modified>
</cp:coreProperties>
</file>