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R22" l="1"/>
  <c r="G27" i="48"/>
  <c r="G33" s="1"/>
  <c r="G15"/>
  <c r="J8"/>
  <c r="K13" i="14"/>
  <c r="F13"/>
  <c r="E8" i="48"/>
  <c r="H63" i="14"/>
  <c r="F16"/>
  <c r="F27" s="1"/>
  <c r="R20"/>
  <c r="K16"/>
  <c r="K27" s="1"/>
  <c r="K63"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<sst xmlns="http://schemas.openxmlformats.org/spreadsheetml/2006/main" count="2401" uniqueCount="892">
  <si>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</si>
  <si>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</si>
  <si>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</si>
  <si>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</si>
  <si>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</si>
  <si>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</si>
  <si>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</si>
  <si>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</si>
  <si>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</si>
  <si>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</si>
  <si>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</si>
  <si>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</si>
  <si>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</si>
  <si>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</si>
  <si>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</si>
  <si>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</si>
  <si>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</si>
  <si>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</si>
  <si>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</si>
  <si>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</si>
  <si>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</si>
  <si>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</si>
  <si>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</si>
  <si>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</si>
  <si>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</si>
  <si>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</si>
  <si>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</si>
  <si>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</si>
  <si>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</si>
  <si>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</si>
  <si>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</si>
  <si>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</si>
  <si>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</si>
  <si>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</si>
  <si>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</si>
  <si>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</si>
  <si>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</si>
  <si>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</si>
  <si>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</si>
  <si>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</si>
  <si>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</si>
  <si>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</si>
  <si>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</si>
  <si>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</si>
  <si>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</si>
  <si>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</si>
  <si>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</si>
  <si>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</si>
  <si>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</si>
  <si>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</si>
  <si>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</si>
  <si>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</si>
  <si>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</si>
  <si>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</si>
  <si>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</si>
  <si>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</si>
  <si>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</si>
  <si>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</si>
  <si>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</si>
  <si>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</si>
  <si>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</si>
  <si>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</si>
  <si>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</si>
  <si>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</si>
  <si>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</si>
  <si>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</si>
  <si>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</si>
  <si>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</si>
  <si>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</si>
  <si>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</si>
  <si>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</si>
  <si>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</si>
  <si>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</si>
  <si>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</si>
  <si>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</si>
  <si>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</si>
  <si>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</si>
  <si>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</si>
  <si>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</si>
  <si>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</si>
  <si>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</si>
  <si>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</si>
  <si>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</si>
  <si>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</si>
  <si>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</si>
  <si>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</si>
  <si>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</si>
  <si>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</si>
  <si>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</si>
  <si>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</si>
  <si>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</si>
  <si>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</si>
  <si>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</si>
  <si>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</si>
  <si>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</si>
  <si>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</si>
  <si>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</si>
  <si>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</si>
  <si>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</si>
  <si>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</si>
  <si>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</si>
  <si>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</si>
  <si>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</si>
  <si>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</si>
  <si>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</si>
  <si>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</si>
  <si>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</si>
  <si>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</si>
  <si>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</si>
  <si>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</si>
  <si>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</si>
  <si>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</si>
  <si>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</si>
  <si>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</si>
  <si>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</si>
  <si>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</si>
  <si>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</si>
  <si>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</si>
  <si>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</si>
  <si>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</si>
  <si>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</si>
  <si>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</si>
  <si>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</si>
  <si>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</si>
  <si>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</si>
  <si>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</si>
  <si>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</si>
  <si>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</si>
  <si>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</si>
  <si>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</si>
  <si>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</si>
  <si>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</si>
  <si>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</si>
  <si>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</si>
  <si>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</si>
  <si>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</si>
  <si>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</si>
  <si>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</si>
  <si>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</si>
  <si>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</si>
  <si>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</si>
  <si>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</si>
  <si>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</si>
  <si>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</si>
  <si>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</si>
  <si>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</si>
  <si>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</si>
  <si>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</si>
  <si>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</si>
  <si>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</si>
  <si>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</si>
  <si>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</si>
  <si>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</si>
  <si>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</si>
  <si>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</si>
  <si>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</si>
  <si>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</si>
  <si>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</si>
  <si>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</si>
  <si>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</si>
  <si>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</si>
  <si>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</si>
  <si>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</si>
  <si>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</si>
  <si>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</si>
  <si>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</si>
  <si>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</si>
  <si>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</si>
  <si>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</si>
  <si>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</si>
  <si>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</si>
  <si>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</si>
  <si>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</si>
  <si>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</si>
  <si>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</si>
  <si>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</si>
  <si>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</si>
  <si>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</si>
  <si>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</si>
  <si>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</si>
  <si>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</si>
  <si>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</si>
  <si>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</si>
  <si>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</si>
  <si>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</si>
  <si>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</si>
  <si>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</si>
  <si>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</si>
  <si>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</si>
  <si>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</si>
  <si>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</si>
  <si>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</si>
  <si>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</si>
  <si>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</si>
  <si>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</si>
  <si>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</si>
  <si>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</si>
  <si>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</si>
  <si>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</si>
  <si>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</si>
  <si>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</si>
  <si>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</si>
  <si>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</si>
  <si>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</si>
  <si>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</si>
  <si>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</si>
  <si>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</si>
  <si>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</si>
  <si>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</si>
  <si>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</si>
  <si>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</si>
  <si>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</si>
  <si>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</si>
  <si>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</si>
  <si>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</si>
  <si>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</si>
  <si>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</si>
  <si>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</si>
  <si>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</si>
  <si>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</si>
  <si>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</si>
  <si>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</si>
  <si>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</si>
  <si>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</si>
  <si>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</si>
  <si>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</si>
  <si>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</si>
  <si>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</si>
  <si>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</si>
  <si>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</si>
  <si>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</si>
  <si>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</si>
  <si>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</si>
  <si>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</si>
  <si>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</si>
  <si>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</si>
  <si>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</si>
  <si>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</si>
  <si>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</si>
  <si>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</si>
  <si>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</si>
  <si>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</si>
  <si>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</si>
  <si>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</si>
  <si>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</si>
  <si>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</si>
  <si>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</si>
  <si>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</si>
  <si>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</si>
  <si>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</si>
  <si>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</si>
  <si>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</si>
  <si>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</si>
  <si>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</si>
  <si>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</si>
  <si>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</si>
  <si>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</si>
  <si>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</si>
  <si>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</si>
  <si>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</si>
  <si>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</si>
  <si>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</si>
  <si>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</si>
  <si>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</si>
  <si>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</si>
  <si>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</si>
  <si>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</si>
  <si>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</si>
  <si>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</si>
  <si>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</si>
  <si>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</si>
  <si>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</si>
  <si>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</si>
  <si>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</si>
  <si>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</si>
  <si>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</si>
  <si>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</si>
  <si>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</si>
  <si>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</si>
  <si>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</si>
  <si>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</si>
  <si>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</si>
  <si>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</si>
  <si>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</si>
  <si>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</si>
  <si>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</si>
  <si>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</si>
  <si>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</si>
  <si>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</si>
  <si>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</si>
  <si>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</si>
  <si>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</si>
  <si>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</si>
  <si>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</si>
  <si>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</si>
  <si>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</si>
  <si>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</si>
  <si>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</si>
  <si>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</si>
  <si>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</si>
  <si>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</si>
  <si>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</si>
  <si>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</si>
  <si>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</si>
  <si>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</si>
  <si>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</si>
  <si>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</si>
  <si>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</si>
  <si>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</si>
  <si>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</si>
  <si>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</si>
  <si>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</si>
  <si>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</si>
  <si>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</si>
  <si>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</si>
  <si>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</si>
  <si>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</si>
  <si>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</si>
  <si>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</si>
  <si>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</si>
  <si>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</si>
  <si>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</si>
  <si>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</si>
  <si>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</si>
  <si>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</si>
  <si>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</si>
  <si>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</si>
  <si>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</si>
  <si>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</si>
  <si>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</si>
  <si>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</si>
  <si>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</si>
  <si>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</si>
  <si>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</si>
  <si>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</si>
  <si>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</si>
  <si>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</si>
  <si>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</si>
  <si>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</si>
  <si>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</si>
  <si>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</si>
  <si>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</si>
  <si>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</si>
  <si>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</si>
  <si>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</si>
  <si>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</si>
  <si>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</si>
  <si>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</si>
  <si>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</si>
  <si>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</si>
  <si>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</si>
  <si>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</si>
  <si>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</si>
  <si>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</si>
  <si>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</si>
  <si>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</si>
  <si>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</si>
  <si>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</si>
  <si>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</si>
  <si>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</si>
  <si>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</si>
  <si>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</si>
  <si>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</si>
  <si>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</si>
  <si>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</si>
  <si>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</si>
  <si>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</si>
  <si>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</si>
  <si>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</si>
  <si>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</si>
  <si>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</si>
  <si>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</si>
  <si>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</si>
  <si>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</si>
  <si>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</si>
  <si>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</si>
  <si>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</si>
  <si>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</si>
  <si>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</si>
  <si>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</si>
  <si>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</si>
  <si>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</si>
  <si>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</si>
  <si>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</si>
  <si>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</si>
  <si>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</si>
  <si>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</si>
  <si>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</si>
  <si>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</si>
  <si>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</si>
  <si>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</si>
  <si>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</si>
  <si>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</si>
  <si>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</si>
  <si>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</si>
  <si>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</si>
  <si>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</si>
  <si>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</si>
  <si>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</si>
  <si>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</si>
  <si>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</si>
  <si>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</si>
  <si>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</si>
  <si>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</si>
  <si>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</si>
  <si>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</si>
  <si>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</si>
  <si>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</si>
  <si>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</si>
  <si>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</si>
  <si>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</si>
  <si>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</si>
  <si>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</si>
  <si>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</si>
  <si>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</si>
  <si>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</si>
  <si>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</si>
  <si>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</si>
  <si>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</si>
  <si>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</si>
  <si>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</si>
  <si>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</si>
  <si>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</si>
  <si>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</si>
  <si>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</si>
  <si>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</si>
  <si>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</si>
  <si>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</si>
  <si>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</si>
  <si>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</si>
  <si>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</si>
  <si>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</si>
  <si>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</si>
  <si>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</si>
  <si>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</si>
  <si>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</si>
  <si>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</si>
  <si>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</si>
  <si>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</si>
  <si>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</si>
  <si>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</si>
  <si>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</si>
  <si>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</si>
  <si>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</si>
  <si>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</si>
  <si>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</si>
  <si>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</si>
  <si>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</si>
  <si>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</si>
  <si>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</si>
  <si>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</si>
  <si>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</si>
  <si>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</si>
  <si>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</si>
  <si>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</si>
  <si>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</si>
  <si>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</si>
  <si>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</si>
  <si>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</si>
  <si>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</si>
  <si>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</si>
  <si>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</si>
  <si>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</si>
  <si>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</si>
  <si>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</si>
  <si>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</si>
  <si>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</si>
  <si>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</si>
  <si>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</si>
  <si>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</si>
  <si>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</si>
  <si>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</si>
  <si>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</si>
  <si>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</si>
  <si>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</si>
  <si>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</si>
  <si>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</si>
  <si>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</si>
  <si>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</si>
  <si>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</si>
  <si>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</si>
  <si>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</si>
  <si>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</si>
  <si>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</si>
  <si>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</si>
  <si>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</si>
  <si>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</si>
  <si>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</si>
  <si>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</si>
  <si>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</si>
  <si>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</si>
  <si>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</si>
  <si>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</si>
  <si>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</si>
  <si>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</si>
  <si>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</si>
  <si>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</si>
  <si>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</si>
  <si>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</si>
  <si>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</si>
  <si>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</si>
  <si>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</si>
  <si>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</si>
  <si>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</si>
  <si>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</si>
  <si>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</si>
  <si>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</si>
  <si>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</si>
  <si>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</si>
  <si>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</si>
  <si>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</si>
  <si>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</si>
  <si>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</si>
  <si>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</si>
  <si>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</si>
  <si>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</si>
  <si>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</si>
  <si>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</si>
  <si>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</si>
  <si>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</si>
  <si>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</si>
  <si>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</si>
  <si>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</si>
  <si>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</si>
  <si>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</si>
  <si>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</si>
  <si>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</si>
  <si>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</si>
  <si>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</si>
  <si>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</si>
  <si>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</si>
  <si>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</si>
  <si>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</si>
  <si>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</si>
  <si>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</si>
  <si>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</si>
  <si>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</si>
  <si>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</si>
  <si>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</si>
  <si>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</si>
  <si>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</si>
  <si>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</si>
  <si>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</si>
  <si>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</si>
  <si>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</si>
  <si>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</si>
  <si>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</si>
  <si>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</si>
  <si>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</si>
  <si>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</si>
  <si>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</si>
  <si>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</si>
  <si>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</si>
  <si>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</si>
  <si>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</si>
  <si>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</si>
  <si>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</si>
  <si>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</si>
  <si>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</si>
  <si>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</si>
  <si>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</si>
  <si>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</si>
  <si>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</si>
  <si>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</si>
  <si>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</si>
  <si>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</si>
  <si>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</si>
  <si>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</si>
  <si>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</si>
  <si>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</si>
  <si>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</si>
  <si>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</si>
  <si>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</si>
  <si>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</si>
  <si>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</si>
  <si>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</si>
  <si>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</si>
  <si>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</si>
  <si>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</si>
  <si>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</si>
  <si>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</si>
  <si>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</si>
  <si>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</si>
  <si>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</si>
  <si>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</si>
  <si>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</si>
  <si>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</si>
  <si>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</si>
  <si>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</si>
  <si>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</si>
  <si>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</si>
  <si>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</si>
  <si>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</si>
  <si>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</si>
  <si>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</si>
  <si>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</si>
  <si>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</si>
  <si>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</si>
  <si>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</si>
  <si>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</si>
  <si>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</si>
  <si>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</si>
  <si>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</si>
  <si>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</si>
  <si>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</si>
  <si>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</si>
  <si>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</si>
  <si>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</si>
  <si>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</si>
  <si>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</si>
  <si>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</si>
  <si>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</si>
  <si>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</si>
  <si>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</si>
  <si>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</si>
  <si>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</si>
  <si>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</si>
  <si>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</si>
  <si>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</si>
  <si>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</si>
  <si>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</si>
  <si>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</si>
  <si>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</si>
  <si>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</si>
  <si>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</si>
  <si>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</si>
  <si>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</si>
  <si>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</si>
  <si>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</si>
  <si>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</si>
  <si>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</si>
  <si>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</si>
  <si>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</si>
  <si>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</si>
  <si>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</si>
  <si>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</si>
  <si>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</si>
  <si>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</si>
  <si>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</si>
  <si>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</si>
  <si>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</si>
  <si>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</si>
  <si>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</si>
  <si>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</si>
  <si>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</si>
  <si>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</si>
  <si>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</si>
  <si>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</si>
  <si>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</si>
  <si>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</si>
  <si>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</si>
  <si>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</si>
  <si>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</si>
  <si>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</si>
  <si>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</si>
  <si>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</si>
  <si>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</si>
  <si>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</si>
  <si>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</si>
  <si>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</si>
  <si>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</si>
  <si>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</si>
  <si>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</si>
  <si>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</si>
  <si>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</si>
  <si>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</si>
  <si>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</si>
  <si>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</si>
  <si>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</si>
  <si>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</si>
  <si>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</si>
  <si>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</si>
  <si>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</si>
  <si>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</si>
  <si>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</si>
  <si>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</si>
  <si>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</si>
  <si>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</si>
  <si>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</si>
  <si>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</si>
  <si>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</si>
  <si>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</si>
  <si>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</si>
  <si>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</si>
  <si>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</si>
  <si>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</si>
  <si>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</si>
  <si>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</si>
  <si>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</si>
  <si>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</si>
  <si>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</si>
  <si>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</si>
  <si>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</si>
  <si>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</si>
  <si>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</si>
  <si>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</si>
  <si>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</si>
  <si>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</si>
  <si>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</si>
  <si>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</si>
  <si>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</si>
  <si>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</si>
  <si>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</si>
  <si>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</si>
  <si>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</si>
  <si>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</si>
  <si>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</si>
  <si>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</si>
  <si>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</si>
  <si>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</si>
  <si>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</si>
  <si>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</si>
  <si>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</si>
  <si>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</si>
  <si>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</si>
  <si>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</si>
  <si>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</si>
  <si>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</si>
  <si>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</si>
  <si>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</si>
  <si>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</si>
  <si>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</si>
  <si>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</si>
  <si>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</si>
  <si>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</si>
  <si>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</si>
  <si>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</si>
  <si>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</si>
  <si>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</si>
  <si>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</si>
  <si>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</si>
  <si>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</si>
  <si>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</si>
  <si>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</si>
  <si>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</si>
  <si>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</si>
  <si>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</si>
  <si>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</si>
  <si>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</si>
  <si>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</si>
  <si>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</si>
  <si>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</si>
  <si>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</si>
  <si>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</si>
  <si>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</si>
  <si>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</si>
  <si>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</si>
  <si>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</si>
  <si>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</si>
  <si>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</si>
  <si>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</si>
  <si>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</si>
  <si>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</si>
  <si>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</si>
  <si>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</si>
  <si>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</si>
  <si>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</si>
  <si>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</si>
  <si>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</si>
  <si>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</si>
  <si>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</si>
  <si>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</si>
  <si>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</si>
  <si>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</si>
  <si>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</si>
  <si>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</si>
  <si>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</si>
  <si>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</si>
  <si>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</si>
  <si>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</si>
  <si>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</si>
  <si>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</si>
  <si>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</si>
  <si>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</si>
  <si>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</si>
  <si>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</si>
  <si>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</si>
  <si>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</si>
  <si>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</si>
  <si>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</si>
  <si>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</si>
  <si>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</si>
  <si>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</si>
  <si>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</si>
  <si>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</si>
  <si>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</si>
  <si>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</si>
  <si>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</si>
  <si>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</si>
  <si>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</si>
  <si>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</si>
  <si>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</si>
  <si>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</si>
  <si>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</si>
  <si>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</si>
  <si>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</si>
  <si>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</si>
  <si>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</si>
  <si>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</si>
  <si>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</si>
  <si>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</si>
  <si>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</si>
  <si>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</si>
  <si>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</si>
  <si>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</si>
  <si>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</si>
  <si>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</si>
  <si>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</si>
  <si>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</si>
  <si>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</si>
  <si>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</si>
  <si>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</si>
  <si>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</si>
  <si>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</si>
  <si>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</si>
  <si>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</si>
  <si>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</si>
  <si>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</si>
  <si>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</si>
  <si>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</si>
  <si>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</si>
  <si>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</si>
  <si>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</si>
  <si>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</si>
  <si>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</si>
  <si>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</si>
  <si>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</si>
  <si>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</si>
  <si>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</si>
  <si>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</si>
  <si>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</si>
  <si>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</si>
  <si>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</si>
  <si>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</si>
  <si>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</si>
  <si>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</si>
  <si>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</si>
  <si>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</si>
  <si>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</si>
  <si>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</si>
  <si>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</si>
  <si>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</si>
  <si>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</si>
  <si>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</si>
  <si>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</si>
  <si>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</si>
  <si>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</si>
  <si>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</si>
  <si>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</si>
  <si>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</si>
  <si>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</si>
  <si>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</si>
  <si>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</si>
  <si>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</si>
  <si>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</si>
  <si>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</si>
  <si>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</si>
  <si>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</si>
  <si>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</si>
  <si>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</si>
  <si>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</si>
  <si>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</si>
  <si>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</si>
  <si>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</si>
  <si>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</si>
  <si>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</si>
  <si>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</si>
  <si>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</si>
  <si>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</si>
  <si>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</si>
  <si>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</si>
  <si>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</si>
  <si>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</si>
  <si>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46013</t>
  </si>
  <si>
    <t>KRUIBEKE</t>
  </si>
  <si>
    <t>Eandis (januari 2018); Infrax (juni 2018)</t>
  </si>
  <si>
    <t>MOW (september 2017)</t>
  </si>
  <si>
    <t>referentietaak LNE (2017); Jaarverslag De Lijn (2016)</t>
  </si>
  <si>
    <t>VEA (april 2018)</t>
  </si>
  <si>
    <t>VEA (januari 2017)</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</si>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</sst>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125323.36316663378</c:v>
                </c:pt>
                <c:pt idx="1">
                  <c:v>34047.9730443355</c:v>
                </c:pt>
                <c:pt idx="2">
                  <c:v>1146.2940000000001</c:v>
                </c:pt>
                <c:pt idx="3">
                  <c:v>13544.432121251974</c:v>
                </c:pt>
                <c:pt idx="4">
                  <c:v>18422.26071701289</c:v>
                </c:pt>
                <c:pt idx="5">
                  <c:v>165528.9070205843</c:v>
                </c:pt>
                <c:pt idx="6">
                  <c:v>1451.1237010477826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125323.36316663378</c:v>
                </c:pt>
                <c:pt idx="1">
                  <c:v>34047.9730443355</c:v>
                </c:pt>
                <c:pt idx="2">
                  <c:v>1146.2940000000001</c:v>
                </c:pt>
                <c:pt idx="3">
                  <c:v>13544.432121251974</c:v>
                </c:pt>
                <c:pt idx="4">
                  <c:v>18422.26071701289</c:v>
                </c:pt>
                <c:pt idx="5">
                  <c:v>165528.9070205843</c:v>
                </c:pt>
                <c:pt idx="6">
                  <c:v>1451.1237010477826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20178.352423996563</c:v>
                </c:pt>
                <c:pt idx="2">
                  <c:v>5882.3413315873722</c:v>
                </c:pt>
                <c:pt idx="3">
                  <c:v>157.31710311378671</c:v>
                </c:pt>
                <c:pt idx="4">
                  <c:v>2821.3155708305812</c:v>
                </c:pt>
                <c:pt idx="5">
                  <c:v>3108.2638438846475</c:v>
                </c:pt>
                <c:pt idx="6">
                  <c:v>41508.210716730544</c:v>
                </c:pt>
                <c:pt idx="7">
                  <c:v>366.62722055604445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20178.352423996563</c:v>
                </c:pt>
                <c:pt idx="2">
                  <c:v>5882.3413315873722</c:v>
                </c:pt>
                <c:pt idx="3">
                  <c:v>157.31710311378671</c:v>
                </c:pt>
                <c:pt idx="4">
                  <c:v>2821.3155708305812</c:v>
                </c:pt>
                <c:pt idx="5">
                  <c:v>3108.2638438846475</c:v>
                </c:pt>
                <c:pt idx="6">
                  <c:v>41508.210716730544</c:v>
                </c:pt>
                <c:pt idx="7">
                  <c:v>366.62722055604445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46013</v>
      </c>
      <c r="B6" s="415"/>
      <c r="C6" s="416"/>
    </row>
    <row r="7" spans="1:7" s="413" customFormat="1" ht="15.75" customHeight="1">
      <c r="A7" s="417" t="str">
        <f>txtMunicipality</f>
        <v>KRUIBEKE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14468.094493600858</v>
      </c>
      <c r="D10" s="1013">
        <f ca="1">tertiair!C16</f>
        <v>0</v>
      </c>
      <c r="E10" s="1013">
        <f ca="1">tertiair!D16</f>
        <v>16624.920475661394</v>
      </c>
      <c r="F10" s="1013">
        <f>tertiair!E16</f>
        <v>239.85447651495878</v>
      </c>
      <c r="G10" s="1013">
        <f ca="1">tertiair!F16</f>
        <v>2402.1230169273972</v>
      </c>
      <c r="H10" s="1013">
        <f>tertiair!G16</f>
        <v>0</v>
      </c>
      <c r="I10" s="1013">
        <f>tertiair!H16</f>
        <v>0</v>
      </c>
      <c r="J10" s="1013">
        <f>tertiair!I16</f>
        <v>0</v>
      </c>
      <c r="K10" s="1013">
        <f>tertiair!J16</f>
        <v>3.6727182759270977E-2</v>
      </c>
      <c r="L10" s="1013">
        <f>tertiair!K16</f>
        <v>0</v>
      </c>
      <c r="M10" s="1013">
        <f ca="1">tertiair!L16</f>
        <v>0</v>
      </c>
      <c r="N10" s="1013">
        <f>tertiair!M16</f>
        <v>0</v>
      </c>
      <c r="O10" s="1013">
        <f ca="1">tertiair!N16</f>
        <v>1456.1111877814621</v>
      </c>
      <c r="P10" s="1013">
        <f>tertiair!O16</f>
        <v>3.1266666666666669</v>
      </c>
      <c r="Q10" s="1014">
        <f>tertiair!P16</f>
        <v>0</v>
      </c>
      <c r="R10" s="700">
        <f ca="1">SUM(C10:Q10)</f>
        <v>35194.267044335487</v>
      </c>
      <c r="S10" s="67"/>
    </row>
    <row r="11" spans="1:19" s="473" customFormat="1">
      <c r="A11" s="809" t="s">
        <v>225</v>
      </c>
      <c r="B11" s="814"/>
      <c r="C11" s="1013">
        <f>huishoudens!B8</f>
        <v>29648.134314265571</v>
      </c>
      <c r="D11" s="1013">
        <f>huishoudens!C8</f>
        <v>0</v>
      </c>
      <c r="E11" s="1013">
        <f>huishoudens!D8</f>
        <v>76876.718322333094</v>
      </c>
      <c r="F11" s="1013">
        <f>huishoudens!E8</f>
        <v>1005.97339392486</v>
      </c>
      <c r="G11" s="1013">
        <f>huishoudens!F8</f>
        <v>0</v>
      </c>
      <c r="H11" s="1013">
        <f>huishoudens!G8</f>
        <v>0</v>
      </c>
      <c r="I11" s="1013">
        <f>huishoudens!H8</f>
        <v>0</v>
      </c>
      <c r="J11" s="1013">
        <f>huishoudens!I8</f>
        <v>0</v>
      </c>
      <c r="K11" s="1013">
        <f>huishoudens!J8</f>
        <v>994.34122048469362</v>
      </c>
      <c r="L11" s="1013">
        <f>huishoudens!K8</f>
        <v>0</v>
      </c>
      <c r="M11" s="1013">
        <f>huishoudens!L8</f>
        <v>0</v>
      </c>
      <c r="N11" s="1013">
        <f>huishoudens!M8</f>
        <v>0</v>
      </c>
      <c r="O11" s="1013">
        <f>huishoudens!N8</f>
        <v>15884.469248958892</v>
      </c>
      <c r="P11" s="1013">
        <f>huishoudens!O8</f>
        <v>284.52666666666664</v>
      </c>
      <c r="Q11" s="1014">
        <f>huishoudens!P8</f>
        <v>629.20000000000005</v>
      </c>
      <c r="R11" s="700">
        <f>SUM(C11:Q11)</f>
        <v>125323.36316663378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6881.0790063842342</v>
      </c>
      <c r="D13" s="1013">
        <f>industrie!C18</f>
        <v>0</v>
      </c>
      <c r="E13" s="1013">
        <f>industrie!D18</f>
        <v>7452.3604764610973</v>
      </c>
      <c r="F13" s="1013">
        <f>industrie!E18</f>
        <v>601.29269543274188</v>
      </c>
      <c r="G13" s="1013">
        <f>industrie!F18</f>
        <v>1933.3681841082935</v>
      </c>
      <c r="H13" s="1013">
        <f>industrie!G18</f>
        <v>0</v>
      </c>
      <c r="I13" s="1013">
        <f>industrie!H18</f>
        <v>0</v>
      </c>
      <c r="J13" s="1013">
        <f>industrie!I18</f>
        <v>0</v>
      </c>
      <c r="K13" s="1013">
        <f>industrie!J18</f>
        <v>16.459636401009593</v>
      </c>
      <c r="L13" s="1013">
        <f>industrie!K18</f>
        <v>0</v>
      </c>
      <c r="M13" s="1013">
        <f>industrie!L18</f>
        <v>0</v>
      </c>
      <c r="N13" s="1013">
        <f>industrie!M18</f>
        <v>0</v>
      </c>
      <c r="O13" s="1013">
        <f>industrie!N18</f>
        <v>1537.7007182255143</v>
      </c>
      <c r="P13" s="1013">
        <f>industrie!O18</f>
        <v>0</v>
      </c>
      <c r="Q13" s="1014">
        <f>industrie!P18</f>
        <v>0</v>
      </c>
      <c r="R13" s="700">
        <f>SUM(C13:Q13)</f>
        <v>18422.26071701289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50997.307814250664</v>
      </c>
      <c r="D16" s="732">
        <f t="shared" ref="D16:R16" ca="1" si="0">SUM(D9:D15)</f>
        <v>0</v>
      </c>
      <c r="E16" s="732">
        <f t="shared" ca="1" si="0"/>
        <v>100953.99927445558</v>
      </c>
      <c r="F16" s="732">
        <f t="shared" si="0"/>
        <v>1847.1205658725607</v>
      </c>
      <c r="G16" s="732">
        <f t="shared" ca="1" si="0"/>
        <v>4335.4912010356911</v>
      </c>
      <c r="H16" s="732">
        <f t="shared" si="0"/>
        <v>0</v>
      </c>
      <c r="I16" s="732">
        <f t="shared" si="0"/>
        <v>0</v>
      </c>
      <c r="J16" s="732">
        <f t="shared" si="0"/>
        <v>0</v>
      </c>
      <c r="K16" s="732">
        <f t="shared" si="0"/>
        <v>1010.8375840684624</v>
      </c>
      <c r="L16" s="732">
        <f t="shared" si="0"/>
        <v>0</v>
      </c>
      <c r="M16" s="732">
        <f t="shared" ca="1" si="0"/>
        <v>0</v>
      </c>
      <c r="N16" s="732">
        <f t="shared" si="0"/>
        <v>0</v>
      </c>
      <c r="O16" s="732">
        <f t="shared" ca="1" si="0"/>
        <v>18878.281154965869</v>
      </c>
      <c r="P16" s="732">
        <f t="shared" si="0"/>
        <v>287.65333333333331</v>
      </c>
      <c r="Q16" s="732">
        <f t="shared" si="0"/>
        <v>629.20000000000005</v>
      </c>
      <c r="R16" s="732">
        <f t="shared" ca="1" si="0"/>
        <v>178939.89092798214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1373.135657513275</v>
      </c>
      <c r="I19" s="1013">
        <f>transport!H54</f>
        <v>0</v>
      </c>
      <c r="J19" s="1013">
        <f>transport!I54</f>
        <v>0</v>
      </c>
      <c r="K19" s="1013">
        <f>transport!J54</f>
        <v>0</v>
      </c>
      <c r="L19" s="1013">
        <f>transport!K54</f>
        <v>0</v>
      </c>
      <c r="M19" s="1013">
        <f>transport!L54</f>
        <v>0</v>
      </c>
      <c r="N19" s="1013">
        <f>transport!M54</f>
        <v>77.988043534507554</v>
      </c>
      <c r="O19" s="1013">
        <f>transport!N54</f>
        <v>0</v>
      </c>
      <c r="P19" s="1013">
        <f>transport!O54</f>
        <v>0</v>
      </c>
      <c r="Q19" s="1014">
        <f>transport!P54</f>
        <v>0</v>
      </c>
      <c r="R19" s="700">
        <f>SUM(C19:Q19)</f>
        <v>1451.1237010477826</v>
      </c>
      <c r="S19" s="67"/>
    </row>
    <row r="20" spans="1:19" s="473" customFormat="1">
      <c r="A20" s="809" t="s">
        <v>307</v>
      </c>
      <c r="B20" s="814"/>
      <c r="C20" s="1013">
        <f>transport!B14</f>
        <v>53.398154601608077</v>
      </c>
      <c r="D20" s="1013">
        <f>transport!C14</f>
        <v>0</v>
      </c>
      <c r="E20" s="1013">
        <f>transport!D14</f>
        <v>182.11954277108802</v>
      </c>
      <c r="F20" s="1013">
        <f>transport!E14</f>
        <v>280.31802433774976</v>
      </c>
      <c r="G20" s="1013">
        <f>transport!F14</f>
        <v>0</v>
      </c>
      <c r="H20" s="1013">
        <f>transport!G14</f>
        <v>135369.56290915859</v>
      </c>
      <c r="I20" s="1013">
        <f>transport!H14</f>
        <v>21111.601330844467</v>
      </c>
      <c r="J20" s="1013">
        <f>transport!I14</f>
        <v>0</v>
      </c>
      <c r="K20" s="1013">
        <f>transport!J14</f>
        <v>0</v>
      </c>
      <c r="L20" s="1013">
        <f>transport!K14</f>
        <v>0</v>
      </c>
      <c r="M20" s="1013">
        <f>transport!L14</f>
        <v>0</v>
      </c>
      <c r="N20" s="1013">
        <f>transport!M14</f>
        <v>8531.9070588707855</v>
      </c>
      <c r="O20" s="1013">
        <f>transport!N14</f>
        <v>0</v>
      </c>
      <c r="P20" s="1013">
        <f>transport!O14</f>
        <v>0</v>
      </c>
      <c r="Q20" s="1014">
        <f>transport!P14</f>
        <v>0</v>
      </c>
      <c r="R20" s="700">
        <f>SUM(C20:Q20)</f>
        <v>165528.9070205843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53.398154601608077</v>
      </c>
      <c r="D22" s="812">
        <f t="shared" ref="D22:R22" si="1">SUM(D18:D21)</f>
        <v>0</v>
      </c>
      <c r="E22" s="812">
        <f t="shared" si="1"/>
        <v>182.11954277108802</v>
      </c>
      <c r="F22" s="812">
        <f t="shared" si="1"/>
        <v>280.31802433774976</v>
      </c>
      <c r="G22" s="812">
        <f t="shared" si="1"/>
        <v>0</v>
      </c>
      <c r="H22" s="812">
        <f t="shared" si="1"/>
        <v>136742.69856667187</v>
      </c>
      <c r="I22" s="812">
        <f t="shared" si="1"/>
        <v>21111.601330844467</v>
      </c>
      <c r="J22" s="812">
        <f t="shared" si="1"/>
        <v>0</v>
      </c>
      <c r="K22" s="812">
        <f t="shared" si="1"/>
        <v>0</v>
      </c>
      <c r="L22" s="812">
        <f t="shared" si="1"/>
        <v>0</v>
      </c>
      <c r="M22" s="812">
        <f t="shared" si="1"/>
        <v>0</v>
      </c>
      <c r="N22" s="812">
        <f t="shared" si="1"/>
        <v>8609.8951024052931</v>
      </c>
      <c r="O22" s="812">
        <f t="shared" si="1"/>
        <v>0</v>
      </c>
      <c r="P22" s="812">
        <f t="shared" si="1"/>
        <v>0</v>
      </c>
      <c r="Q22" s="812">
        <f t="shared" si="1"/>
        <v>0</v>
      </c>
      <c r="R22" s="812">
        <f t="shared" si="1"/>
        <v>166980.03072163209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2145.3118775164421</v>
      </c>
      <c r="D24" s="1013">
        <f>+landbouw!C8</f>
        <v>3573</v>
      </c>
      <c r="E24" s="1013">
        <f>+landbouw!D8</f>
        <v>0</v>
      </c>
      <c r="F24" s="1013">
        <f>+landbouw!E8</f>
        <v>63.057268618986015</v>
      </c>
      <c r="G24" s="1013">
        <f>+landbouw!F8</f>
        <v>7452.2533551643537</v>
      </c>
      <c r="H24" s="1013">
        <f>+landbouw!G8</f>
        <v>0</v>
      </c>
      <c r="I24" s="1013">
        <f>+landbouw!H8</f>
        <v>0</v>
      </c>
      <c r="J24" s="1013">
        <f>+landbouw!I8</f>
        <v>0</v>
      </c>
      <c r="K24" s="1013">
        <f>+landbouw!J8</f>
        <v>310.80961995219218</v>
      </c>
      <c r="L24" s="1013">
        <f>+landbouw!K8</f>
        <v>0</v>
      </c>
      <c r="M24" s="1013">
        <f>+landbouw!L8</f>
        <v>0</v>
      </c>
      <c r="N24" s="1013">
        <f>+landbouw!M8</f>
        <v>0</v>
      </c>
      <c r="O24" s="1013">
        <f>+landbouw!N8</f>
        <v>0</v>
      </c>
      <c r="P24" s="1013">
        <f>+landbouw!O8</f>
        <v>0</v>
      </c>
      <c r="Q24" s="1014">
        <f>+landbouw!P8</f>
        <v>0</v>
      </c>
      <c r="R24" s="700">
        <f>SUM(C24:Q24)</f>
        <v>13544.432121251974</v>
      </c>
      <c r="S24" s="67"/>
    </row>
    <row r="25" spans="1:19" s="473" customFormat="1" ht="15" thickBot="1">
      <c r="A25" s="831" t="s">
        <v>836</v>
      </c>
      <c r="B25" s="1016"/>
      <c r="C25" s="1017">
        <f>IF(Onbekend_ele_kWh="---",0,Onbekend_ele_kWh)/1000+IF(REST_rest_ele_kWh="---",0,REST_rest_ele_kWh)/1000</f>
        <v>1582.1767014556899</v>
      </c>
      <c r="D25" s="1017"/>
      <c r="E25" s="1017">
        <f>IF(onbekend_gas_kWh="---",0,onbekend_gas_kWh)/1000+IF(REST_rest_gas_kWh="---",0,REST_rest_gas_kWh)/1000</f>
        <v>2168.1548954820696</v>
      </c>
      <c r="F25" s="1017"/>
      <c r="G25" s="1017"/>
      <c r="H25" s="1017"/>
      <c r="I25" s="1017"/>
      <c r="J25" s="1017"/>
      <c r="K25" s="1017"/>
      <c r="L25" s="1017"/>
      <c r="M25" s="1017"/>
      <c r="N25" s="1017"/>
      <c r="O25" s="1017"/>
      <c r="P25" s="1017"/>
      <c r="Q25" s="1018"/>
      <c r="R25" s="700">
        <f>SUM(C25:Q25)</f>
        <v>3750.3315969377595</v>
      </c>
      <c r="S25" s="67"/>
    </row>
    <row r="26" spans="1:19" s="473" customFormat="1" ht="15.75" thickBot="1">
      <c r="A26" s="705" t="s">
        <v>837</v>
      </c>
      <c r="B26" s="817"/>
      <c r="C26" s="812">
        <f>SUM(C24:C25)</f>
        <v>3727.488578972132</v>
      </c>
      <c r="D26" s="812">
        <f t="shared" ref="D26:R26" si="2">SUM(D24:D25)</f>
        <v>3573</v>
      </c>
      <c r="E26" s="812">
        <f t="shared" si="2"/>
        <v>2168.1548954820696</v>
      </c>
      <c r="F26" s="812">
        <f t="shared" si="2"/>
        <v>63.057268618986015</v>
      </c>
      <c r="G26" s="812">
        <f t="shared" si="2"/>
        <v>7452.2533551643537</v>
      </c>
      <c r="H26" s="812">
        <f t="shared" si="2"/>
        <v>0</v>
      </c>
      <c r="I26" s="812">
        <f t="shared" si="2"/>
        <v>0</v>
      </c>
      <c r="J26" s="812">
        <f t="shared" si="2"/>
        <v>0</v>
      </c>
      <c r="K26" s="812">
        <f t="shared" si="2"/>
        <v>310.80961995219218</v>
      </c>
      <c r="L26" s="812">
        <f t="shared" si="2"/>
        <v>0</v>
      </c>
      <c r="M26" s="812">
        <f t="shared" si="2"/>
        <v>0</v>
      </c>
      <c r="N26" s="812">
        <f t="shared" si="2"/>
        <v>0</v>
      </c>
      <c r="O26" s="812">
        <f t="shared" si="2"/>
        <v>0</v>
      </c>
      <c r="P26" s="812">
        <f t="shared" si="2"/>
        <v>0</v>
      </c>
      <c r="Q26" s="812">
        <f t="shared" si="2"/>
        <v>0</v>
      </c>
      <c r="R26" s="812">
        <f t="shared" si="2"/>
        <v>17294.763718189733</v>
      </c>
      <c r="S26" s="67"/>
    </row>
    <row r="27" spans="1:19" s="473" customFormat="1" ht="17.25" thickTop="1" thickBot="1">
      <c r="A27" s="706" t="s">
        <v>116</v>
      </c>
      <c r="B27" s="805"/>
      <c r="C27" s="707">
        <f ca="1">C22+C16+C26</f>
        <v>54778.194547824402</v>
      </c>
      <c r="D27" s="707">
        <f t="shared" ref="D27:R27" ca="1" si="3">D22+D16+D26</f>
        <v>3573</v>
      </c>
      <c r="E27" s="707">
        <f t="shared" ca="1" si="3"/>
        <v>103304.27371270875</v>
      </c>
      <c r="F27" s="707">
        <f t="shared" si="3"/>
        <v>2190.4958588292966</v>
      </c>
      <c r="G27" s="707">
        <f t="shared" ca="1" si="3"/>
        <v>11787.744556200045</v>
      </c>
      <c r="H27" s="707">
        <f t="shared" si="3"/>
        <v>136742.69856667187</v>
      </c>
      <c r="I27" s="707">
        <f t="shared" si="3"/>
        <v>21111.601330844467</v>
      </c>
      <c r="J27" s="707">
        <f t="shared" si="3"/>
        <v>0</v>
      </c>
      <c r="K27" s="707">
        <f t="shared" si="3"/>
        <v>1321.6472040206545</v>
      </c>
      <c r="L27" s="707">
        <f t="shared" si="3"/>
        <v>0</v>
      </c>
      <c r="M27" s="707">
        <f t="shared" ca="1" si="3"/>
        <v>0</v>
      </c>
      <c r="N27" s="707">
        <f t="shared" si="3"/>
        <v>8609.8951024052931</v>
      </c>
      <c r="O27" s="707">
        <f t="shared" ca="1" si="3"/>
        <v>18878.281154965869</v>
      </c>
      <c r="P27" s="707">
        <f t="shared" si="3"/>
        <v>287.65333333333331</v>
      </c>
      <c r="Q27" s="707">
        <f t="shared" si="3"/>
        <v>629.20000000000005</v>
      </c>
      <c r="R27" s="707">
        <f t="shared" ca="1" si="3"/>
        <v>363214.68536780396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1985.59768550635</v>
      </c>
      <c r="D40" s="1013">
        <f ca="1">tertiair!C20</f>
        <v>0</v>
      </c>
      <c r="E40" s="1013">
        <f ca="1">tertiair!D20</f>
        <v>3358.2339360836017</v>
      </c>
      <c r="F40" s="1013">
        <f>tertiair!E20</f>
        <v>54.446966168895642</v>
      </c>
      <c r="G40" s="1013">
        <f ca="1">tertiair!F20</f>
        <v>641.36684551961514</v>
      </c>
      <c r="H40" s="1013">
        <f>tertiair!G20</f>
        <v>0</v>
      </c>
      <c r="I40" s="1013">
        <f>tertiair!H20</f>
        <v>0</v>
      </c>
      <c r="J40" s="1013">
        <f>tertiair!I20</f>
        <v>0</v>
      </c>
      <c r="K40" s="1013">
        <f>tertiair!J20</f>
        <v>1.3001422696781924E-2</v>
      </c>
      <c r="L40" s="1013">
        <f>tertiair!K20</f>
        <v>0</v>
      </c>
      <c r="M40" s="1013">
        <f ca="1">tertiair!L20</f>
        <v>0</v>
      </c>
      <c r="N40" s="1013">
        <f>tertiair!M20</f>
        <v>0</v>
      </c>
      <c r="O40" s="1013">
        <f ca="1">tertiair!N20</f>
        <v>0</v>
      </c>
      <c r="P40" s="1013">
        <f>tertiair!O20</f>
        <v>0</v>
      </c>
      <c r="Q40" s="774">
        <f>tertiair!P20</f>
        <v>0</v>
      </c>
      <c r="R40" s="850">
        <f t="shared" ca="1" si="4"/>
        <v>6039.6584347011594</v>
      </c>
    </row>
    <row r="41" spans="1:18">
      <c r="A41" s="822" t="s">
        <v>225</v>
      </c>
      <c r="B41" s="829"/>
      <c r="C41" s="1013">
        <f ca="1">huishoudens!B12</f>
        <v>4068.9025704127516</v>
      </c>
      <c r="D41" s="1013">
        <f ca="1">huishoudens!C12</f>
        <v>0</v>
      </c>
      <c r="E41" s="1013">
        <f>huishoudens!D12</f>
        <v>15529.097101111285</v>
      </c>
      <c r="F41" s="1013">
        <f>huishoudens!E12</f>
        <v>228.35596042094323</v>
      </c>
      <c r="G41" s="1013">
        <f>huishoudens!F12</f>
        <v>0</v>
      </c>
      <c r="H41" s="1013">
        <f>huishoudens!G12</f>
        <v>0</v>
      </c>
      <c r="I41" s="1013">
        <f>huishoudens!H12</f>
        <v>0</v>
      </c>
      <c r="J41" s="1013">
        <f>huishoudens!I12</f>
        <v>0</v>
      </c>
      <c r="K41" s="1013">
        <f>huishoudens!J12</f>
        <v>351.99679205158151</v>
      </c>
      <c r="L41" s="1013">
        <f>huishoudens!K12</f>
        <v>0</v>
      </c>
      <c r="M41" s="1013">
        <f>huishoudens!L12</f>
        <v>0</v>
      </c>
      <c r="N41" s="1013">
        <f>huishoudens!M12</f>
        <v>0</v>
      </c>
      <c r="O41" s="1013">
        <f>huishoudens!N12</f>
        <v>0</v>
      </c>
      <c r="P41" s="1013">
        <f>huishoudens!O12</f>
        <v>0</v>
      </c>
      <c r="Q41" s="774">
        <f>huishoudens!P12</f>
        <v>0</v>
      </c>
      <c r="R41" s="850">
        <f t="shared" ca="1" si="4"/>
        <v>20178.352423996563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944.35756933340099</v>
      </c>
      <c r="D43" s="1013">
        <f ca="1">industrie!C22</f>
        <v>0</v>
      </c>
      <c r="E43" s="1013">
        <f>industrie!D22</f>
        <v>1505.3768162451418</v>
      </c>
      <c r="F43" s="1013">
        <f>industrie!E22</f>
        <v>136.49344186323242</v>
      </c>
      <c r="G43" s="1013">
        <f>industrie!F22</f>
        <v>516.20930515691441</v>
      </c>
      <c r="H43" s="1013">
        <f>industrie!G22</f>
        <v>0</v>
      </c>
      <c r="I43" s="1013">
        <f>industrie!H22</f>
        <v>0</v>
      </c>
      <c r="J43" s="1013">
        <f>industrie!I22</f>
        <v>0</v>
      </c>
      <c r="K43" s="1013">
        <f>industrie!J22</f>
        <v>5.826711285957396</v>
      </c>
      <c r="L43" s="1013">
        <f>industrie!K22</f>
        <v>0</v>
      </c>
      <c r="M43" s="1013">
        <f>industrie!L22</f>
        <v>0</v>
      </c>
      <c r="N43" s="1013">
        <f>industrie!M22</f>
        <v>0</v>
      </c>
      <c r="O43" s="1013">
        <f>industrie!N22</f>
        <v>0</v>
      </c>
      <c r="P43" s="1013">
        <f>industrie!O22</f>
        <v>0</v>
      </c>
      <c r="Q43" s="774">
        <f>industrie!P22</f>
        <v>0</v>
      </c>
      <c r="R43" s="849">
        <f t="shared" ca="1" si="4"/>
        <v>3108.2638438846475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6998.8578252525022</v>
      </c>
      <c r="D46" s="732">
        <f t="shared" ref="D46:Q46" ca="1" si="5">SUM(D39:D45)</f>
        <v>0</v>
      </c>
      <c r="E46" s="732">
        <f t="shared" ca="1" si="5"/>
        <v>20392.707853440028</v>
      </c>
      <c r="F46" s="732">
        <f t="shared" si="5"/>
        <v>419.2963684530713</v>
      </c>
      <c r="G46" s="732">
        <f t="shared" ca="1" si="5"/>
        <v>1157.5761506765296</v>
      </c>
      <c r="H46" s="732">
        <f t="shared" si="5"/>
        <v>0</v>
      </c>
      <c r="I46" s="732">
        <f t="shared" si="5"/>
        <v>0</v>
      </c>
      <c r="J46" s="732">
        <f t="shared" si="5"/>
        <v>0</v>
      </c>
      <c r="K46" s="732">
        <f t="shared" si="5"/>
        <v>357.8365047602357</v>
      </c>
      <c r="L46" s="732">
        <f t="shared" si="5"/>
        <v>0</v>
      </c>
      <c r="M46" s="732">
        <f t="shared" ca="1" si="5"/>
        <v>0</v>
      </c>
      <c r="N46" s="732">
        <f t="shared" si="5"/>
        <v>0</v>
      </c>
      <c r="O46" s="732">
        <f t="shared" ca="1" si="5"/>
        <v>0</v>
      </c>
      <c r="P46" s="732">
        <f t="shared" si="5"/>
        <v>0</v>
      </c>
      <c r="Q46" s="732">
        <f t="shared" si="5"/>
        <v>0</v>
      </c>
      <c r="R46" s="732">
        <f ca="1">SUM(R39:R45)</f>
        <v>29326.27470258237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366.62722055604445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366.62722055604445</v>
      </c>
    </row>
    <row r="50" spans="1:18">
      <c r="A50" s="825" t="s">
        <v>307</v>
      </c>
      <c r="B50" s="835"/>
      <c r="C50" s="703">
        <f ca="1">transport!B18</f>
        <v>7.3283494404987737</v>
      </c>
      <c r="D50" s="703">
        <f>transport!C18</f>
        <v>0</v>
      </c>
      <c r="E50" s="703">
        <f>transport!D18</f>
        <v>36.788147639759785</v>
      </c>
      <c r="F50" s="703">
        <f>transport!E18</f>
        <v>63.632191524669196</v>
      </c>
      <c r="G50" s="703">
        <f>transport!F18</f>
        <v>0</v>
      </c>
      <c r="H50" s="703">
        <f>transport!G18</f>
        <v>36143.673296745343</v>
      </c>
      <c r="I50" s="703">
        <f>transport!H18</f>
        <v>5256.7887313802721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41508.210716730544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7.3283494404987737</v>
      </c>
      <c r="D52" s="732">
        <f t="shared" ref="D52:Q52" ca="1" si="6">SUM(D48:D51)</f>
        <v>0</v>
      </c>
      <c r="E52" s="732">
        <f t="shared" si="6"/>
        <v>36.788147639759785</v>
      </c>
      <c r="F52" s="732">
        <f t="shared" si="6"/>
        <v>63.632191524669196</v>
      </c>
      <c r="G52" s="732">
        <f t="shared" si="6"/>
        <v>0</v>
      </c>
      <c r="H52" s="732">
        <f t="shared" si="6"/>
        <v>36510.300517301388</v>
      </c>
      <c r="I52" s="732">
        <f t="shared" si="6"/>
        <v>5256.7887313802721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41874.837937286589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294.42206785212647</v>
      </c>
      <c r="D54" s="703">
        <f ca="1">+landbouw!C12</f>
        <v>412.80125170998633</v>
      </c>
      <c r="E54" s="703">
        <f>+landbouw!D12</f>
        <v>0</v>
      </c>
      <c r="F54" s="703">
        <f>+landbouw!E12</f>
        <v>14.313999976509827</v>
      </c>
      <c r="G54" s="703">
        <f>+landbouw!F12</f>
        <v>1989.7516458288826</v>
      </c>
      <c r="H54" s="703">
        <f>+landbouw!G12</f>
        <v>0</v>
      </c>
      <c r="I54" s="703">
        <f>+landbouw!H12</f>
        <v>0</v>
      </c>
      <c r="J54" s="703">
        <f>+landbouw!I12</f>
        <v>0</v>
      </c>
      <c r="K54" s="703">
        <f>+landbouw!J12</f>
        <v>110.02660546307602</v>
      </c>
      <c r="L54" s="703">
        <f>+landbouw!K12</f>
        <v>0</v>
      </c>
      <c r="M54" s="703">
        <f>+landbouw!L12</f>
        <v>0</v>
      </c>
      <c r="N54" s="703">
        <f>+landbouw!M12</f>
        <v>0</v>
      </c>
      <c r="O54" s="703">
        <f>+landbouw!N12</f>
        <v>0</v>
      </c>
      <c r="P54" s="703">
        <f>+landbouw!O12</f>
        <v>0</v>
      </c>
      <c r="Q54" s="704">
        <f>+landbouw!P12</f>
        <v>0</v>
      </c>
      <c r="R54" s="731">
        <f ca="1">SUM(C54:Q54)</f>
        <v>2821.3155708305812</v>
      </c>
    </row>
    <row r="55" spans="1:18" ht="15" thickBot="1">
      <c r="A55" s="825" t="s">
        <v>836</v>
      </c>
      <c r="B55" s="835"/>
      <c r="C55" s="703">
        <f ca="1">C25*'EF ele_warmte'!B12</f>
        <v>217.13753651954534</v>
      </c>
      <c r="D55" s="703"/>
      <c r="E55" s="703">
        <f>E25*EF_CO2_aardgas</f>
        <v>437.96728888737806</v>
      </c>
      <c r="F55" s="703"/>
      <c r="G55" s="703"/>
      <c r="H55" s="703"/>
      <c r="I55" s="703"/>
      <c r="J55" s="703"/>
      <c r="K55" s="703"/>
      <c r="L55" s="703"/>
      <c r="M55" s="703"/>
      <c r="N55" s="703"/>
      <c r="O55" s="703"/>
      <c r="P55" s="703"/>
      <c r="Q55" s="704"/>
      <c r="R55" s="731">
        <f ca="1">SUM(C55:Q55)</f>
        <v>655.1048254069234</v>
      </c>
    </row>
    <row r="56" spans="1:18" ht="15.75" thickBot="1">
      <c r="A56" s="823" t="s">
        <v>837</v>
      </c>
      <c r="B56" s="836"/>
      <c r="C56" s="732">
        <f ca="1">SUM(C54:C55)</f>
        <v>511.55960437167181</v>
      </c>
      <c r="D56" s="732">
        <f t="shared" ref="D56:Q56" ca="1" si="7">SUM(D54:D55)</f>
        <v>412.80125170998633</v>
      </c>
      <c r="E56" s="732">
        <f t="shared" si="7"/>
        <v>437.96728888737806</v>
      </c>
      <c r="F56" s="732">
        <f t="shared" si="7"/>
        <v>14.313999976509827</v>
      </c>
      <c r="G56" s="732">
        <f t="shared" si="7"/>
        <v>1989.7516458288826</v>
      </c>
      <c r="H56" s="732">
        <f t="shared" si="7"/>
        <v>0</v>
      </c>
      <c r="I56" s="732">
        <f t="shared" si="7"/>
        <v>0</v>
      </c>
      <c r="J56" s="732">
        <f t="shared" si="7"/>
        <v>0</v>
      </c>
      <c r="K56" s="732">
        <f t="shared" si="7"/>
        <v>110.02660546307602</v>
      </c>
      <c r="L56" s="732">
        <f t="shared" si="7"/>
        <v>0</v>
      </c>
      <c r="M56" s="732">
        <f t="shared" si="7"/>
        <v>0</v>
      </c>
      <c r="N56" s="732">
        <f t="shared" si="7"/>
        <v>0</v>
      </c>
      <c r="O56" s="732">
        <f t="shared" si="7"/>
        <v>0</v>
      </c>
      <c r="P56" s="732">
        <f t="shared" si="7"/>
        <v>0</v>
      </c>
      <c r="Q56" s="733">
        <f t="shared" si="7"/>
        <v>0</v>
      </c>
      <c r="R56" s="734">
        <f ca="1">SUM(R54:R55)</f>
        <v>3476.4203962375045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7517.7457790646722</v>
      </c>
      <c r="D61" s="740">
        <f t="shared" ref="D61:Q61" ca="1" si="8">D46+D52+D56</f>
        <v>412.80125170998633</v>
      </c>
      <c r="E61" s="740">
        <f t="shared" ca="1" si="8"/>
        <v>20867.463289967167</v>
      </c>
      <c r="F61" s="740">
        <f t="shared" si="8"/>
        <v>497.24255995425034</v>
      </c>
      <c r="G61" s="740">
        <f t="shared" ca="1" si="8"/>
        <v>3147.3277965054122</v>
      </c>
      <c r="H61" s="740">
        <f t="shared" si="8"/>
        <v>36510.300517301388</v>
      </c>
      <c r="I61" s="740">
        <f t="shared" si="8"/>
        <v>5256.7887313802721</v>
      </c>
      <c r="J61" s="740">
        <f t="shared" si="8"/>
        <v>0</v>
      </c>
      <c r="K61" s="740">
        <f t="shared" si="8"/>
        <v>467.86311022331171</v>
      </c>
      <c r="L61" s="740">
        <f t="shared" si="8"/>
        <v>0</v>
      </c>
      <c r="M61" s="740">
        <f t="shared" ca="1" si="8"/>
        <v>0</v>
      </c>
      <c r="N61" s="740">
        <f t="shared" si="8"/>
        <v>0</v>
      </c>
      <c r="O61" s="740">
        <f t="shared" ca="1" si="8"/>
        <v>0</v>
      </c>
      <c r="P61" s="740">
        <f t="shared" si="8"/>
        <v>0</v>
      </c>
      <c r="Q61" s="740">
        <f t="shared" si="8"/>
        <v>0</v>
      </c>
      <c r="R61" s="740">
        <f ca="1">R46+R52+R56</f>
        <v>74677.533036106455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0.13723975098341848</v>
      </c>
      <c r="D63" s="781">
        <f t="shared" ca="1" si="9"/>
        <v>0.11553351573187415</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14296.319439613448</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5030.3908060631775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1730.1976744186045</v>
      </c>
      <c r="C76" s="750">
        <f>'lokale energieproductie'!B8*IFERROR(SUM(D76:H76)/SUM(D76:O76),0)</f>
        <v>1275.8023255813955</v>
      </c>
      <c r="D76" s="1034">
        <f>'lokale energieproductie'!C8</f>
        <v>822.43502051983614</v>
      </c>
      <c r="E76" s="1035">
        <f>'lokale energieproductie'!D8</f>
        <v>0</v>
      </c>
      <c r="F76" s="1035">
        <f>'lokale energieproductie'!E8</f>
        <v>678.50889192886461</v>
      </c>
      <c r="G76" s="1035">
        <f>'lokale energieproductie'!F8</f>
        <v>0</v>
      </c>
      <c r="H76" s="1035">
        <f>'lokale energieproductie'!G8</f>
        <v>0</v>
      </c>
      <c r="I76" s="1035">
        <f>'lokale energieproductie'!I8</f>
        <v>2035.5266757865938</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347.29374829001381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21056.907920095229</v>
      </c>
      <c r="C78" s="755">
        <f>SUM(C72:C77)</f>
        <v>1275.8023255813955</v>
      </c>
      <c r="D78" s="756">
        <f t="shared" ref="D78:H78" si="10">SUM(D76:D77)</f>
        <v>822.43502051983614</v>
      </c>
      <c r="E78" s="756">
        <f t="shared" si="10"/>
        <v>0</v>
      </c>
      <c r="F78" s="756">
        <f t="shared" si="10"/>
        <v>678.50889192886461</v>
      </c>
      <c r="G78" s="756">
        <f t="shared" si="10"/>
        <v>0</v>
      </c>
      <c r="H78" s="756">
        <f t="shared" si="10"/>
        <v>0</v>
      </c>
      <c r="I78" s="756">
        <f>SUM(I76:I77)</f>
        <v>2035.5266757865938</v>
      </c>
      <c r="J78" s="756">
        <f>SUM(J76:J77)</f>
        <v>0</v>
      </c>
      <c r="K78" s="756">
        <f t="shared" ref="K78:L78" si="11">SUM(K76:K77)</f>
        <v>0</v>
      </c>
      <c r="L78" s="756">
        <f t="shared" si="11"/>
        <v>0</v>
      </c>
      <c r="M78" s="756">
        <f>SUM(M76:M77)</f>
        <v>0</v>
      </c>
      <c r="N78" s="756">
        <f>SUM(N76:N77)</f>
        <v>0</v>
      </c>
      <c r="O78" s="860">
        <f>SUM(O76:O77)</f>
        <v>0</v>
      </c>
      <c r="P78" s="757">
        <v>0</v>
      </c>
      <c r="Q78" s="757">
        <f>SUM(Q76:Q77)</f>
        <v>347.29374829001381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2056.5523255813951</v>
      </c>
      <c r="C87" s="766">
        <f>'lokale energieproductie'!B17*IFERROR(SUM(D87:H87)/SUM(D87:O87),0)</f>
        <v>1516.4476744186045</v>
      </c>
      <c r="D87" s="777">
        <f>'lokale energieproductie'!C17</f>
        <v>977.56497948016431</v>
      </c>
      <c r="E87" s="777">
        <f>'lokale energieproductie'!D17</f>
        <v>0</v>
      </c>
      <c r="F87" s="777">
        <f>'lokale energieproductie'!E17</f>
        <v>806.49110807113539</v>
      </c>
      <c r="G87" s="777">
        <f>'lokale energieproductie'!F17</f>
        <v>0</v>
      </c>
      <c r="H87" s="777">
        <f>'lokale energieproductie'!G17</f>
        <v>0</v>
      </c>
      <c r="I87" s="777">
        <f>'lokale energieproductie'!I17</f>
        <v>2419.4733242134062</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412.80125170998633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2056.5523255813951</v>
      </c>
      <c r="C90" s="755">
        <f>SUM(C87:C89)</f>
        <v>1516.4476744186045</v>
      </c>
      <c r="D90" s="755">
        <f t="shared" ref="D90:H90" si="12">SUM(D87:D89)</f>
        <v>977.56497948016431</v>
      </c>
      <c r="E90" s="755">
        <f t="shared" si="12"/>
        <v>0</v>
      </c>
      <c r="F90" s="755">
        <f t="shared" si="12"/>
        <v>806.49110807113539</v>
      </c>
      <c r="G90" s="755">
        <f t="shared" si="12"/>
        <v>0</v>
      </c>
      <c r="H90" s="755">
        <f t="shared" si="12"/>
        <v>0</v>
      </c>
      <c r="I90" s="755">
        <f>SUM(I87:I89)</f>
        <v>2419.4733242134062</v>
      </c>
      <c r="J90" s="755">
        <f>SUM(J87:J89)</f>
        <v>0</v>
      </c>
      <c r="K90" s="755">
        <f t="shared" ref="K90:L90" si="13">SUM(K87:K89)</f>
        <v>0</v>
      </c>
      <c r="L90" s="755">
        <f t="shared" si="13"/>
        <v>0</v>
      </c>
      <c r="M90" s="755">
        <f>SUM(M87:M89)</f>
        <v>0</v>
      </c>
      <c r="N90" s="755">
        <f>SUM(N87:N89)</f>
        <v>0</v>
      </c>
      <c r="O90" s="755">
        <f>SUM(O87:O89)</f>
        <v>0</v>
      </c>
      <c r="P90" s="755">
        <v>0</v>
      </c>
      <c r="Q90" s="755">
        <f>SUM(Q87:Q89)</f>
        <v>412.80125170998633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29648.134314265571</v>
      </c>
      <c r="C4" s="477">
        <f>huishoudens!C8</f>
        <v>0</v>
      </c>
      <c r="D4" s="477">
        <f>huishoudens!D8</f>
        <v>76876.718322333094</v>
      </c>
      <c r="E4" s="477">
        <f>huishoudens!E8</f>
        <v>1005.97339392486</v>
      </c>
      <c r="F4" s="477">
        <f>huishoudens!F8</f>
        <v>0</v>
      </c>
      <c r="G4" s="477">
        <f>huishoudens!G8</f>
        <v>0</v>
      </c>
      <c r="H4" s="477">
        <f>huishoudens!H8</f>
        <v>0</v>
      </c>
      <c r="I4" s="477">
        <f>huishoudens!I8</f>
        <v>0</v>
      </c>
      <c r="J4" s="477">
        <f>huishoudens!J8</f>
        <v>994.34122048469362</v>
      </c>
      <c r="K4" s="477">
        <f>huishoudens!K8</f>
        <v>0</v>
      </c>
      <c r="L4" s="477">
        <f>huishoudens!L8</f>
        <v>0</v>
      </c>
      <c r="M4" s="477">
        <f>huishoudens!M8</f>
        <v>0</v>
      </c>
      <c r="N4" s="477">
        <f>huishoudens!N8</f>
        <v>15884.469248958892</v>
      </c>
      <c r="O4" s="477">
        <f>huishoudens!O8</f>
        <v>284.52666666666664</v>
      </c>
      <c r="P4" s="478">
        <f>huishoudens!P8</f>
        <v>629.20000000000005</v>
      </c>
      <c r="Q4" s="479">
        <f>SUM(B4:P4)</f>
        <v>125323.36316663378</v>
      </c>
    </row>
    <row r="5" spans="1:17">
      <c r="A5" s="476" t="s">
        <v>156</v>
      </c>
      <c r="B5" s="477">
        <f ca="1">tertiair!B16</f>
        <v>13321.800493600858</v>
      </c>
      <c r="C5" s="477">
        <f ca="1">tertiair!C16</f>
        <v>0</v>
      </c>
      <c r="D5" s="477">
        <f ca="1">tertiair!D16</f>
        <v>16624.920475661394</v>
      </c>
      <c r="E5" s="477">
        <f>tertiair!E16</f>
        <v>239.85447651495878</v>
      </c>
      <c r="F5" s="477">
        <f ca="1">tertiair!F16</f>
        <v>2402.1230169273972</v>
      </c>
      <c r="G5" s="477">
        <f>tertiair!G16</f>
        <v>0</v>
      </c>
      <c r="H5" s="477">
        <f>tertiair!H16</f>
        <v>0</v>
      </c>
      <c r="I5" s="477">
        <f>tertiair!I16</f>
        <v>0</v>
      </c>
      <c r="J5" s="477">
        <f>tertiair!J16</f>
        <v>3.6727182759270977E-2</v>
      </c>
      <c r="K5" s="477">
        <f>tertiair!K16</f>
        <v>0</v>
      </c>
      <c r="L5" s="477">
        <f ca="1">tertiair!L16</f>
        <v>0</v>
      </c>
      <c r="M5" s="477">
        <f>tertiair!M16</f>
        <v>0</v>
      </c>
      <c r="N5" s="477">
        <f ca="1">tertiair!N16</f>
        <v>1456.1111877814621</v>
      </c>
      <c r="O5" s="477">
        <f>tertiair!O16</f>
        <v>3.1266666666666669</v>
      </c>
      <c r="P5" s="478">
        <f>tertiair!P16</f>
        <v>0</v>
      </c>
      <c r="Q5" s="476">
        <f t="shared" ref="Q5:Q14" ca="1" si="0">SUM(B5:P5)</f>
        <v>34047.9730443355</v>
      </c>
    </row>
    <row r="6" spans="1:17">
      <c r="A6" s="476" t="s">
        <v>194</v>
      </c>
      <c r="B6" s="477">
        <f>'openbare verlichting'!B8</f>
        <v>1146.2940000000001</v>
      </c>
      <c r="C6" s="477"/>
      <c r="D6" s="477"/>
      <c r="E6" s="477"/>
      <c r="F6" s="477"/>
      <c r="G6" s="477"/>
      <c r="H6" s="477"/>
      <c r="I6" s="477"/>
      <c r="J6" s="477"/>
      <c r="K6" s="477"/>
      <c r="L6" s="477"/>
      <c r="M6" s="477"/>
      <c r="N6" s="477"/>
      <c r="O6" s="477"/>
      <c r="P6" s="478"/>
      <c r="Q6" s="476">
        <f t="shared" si="0"/>
        <v>1146.2940000000001</v>
      </c>
    </row>
    <row r="7" spans="1:17">
      <c r="A7" s="476" t="s">
        <v>112</v>
      </c>
      <c r="B7" s="477">
        <f>landbouw!B8</f>
        <v>2145.3118775164421</v>
      </c>
      <c r="C7" s="477">
        <f>landbouw!C8</f>
        <v>3573</v>
      </c>
      <c r="D7" s="477">
        <f>landbouw!D8</f>
        <v>0</v>
      </c>
      <c r="E7" s="477">
        <f>landbouw!E8</f>
        <v>63.057268618986015</v>
      </c>
      <c r="F7" s="477">
        <f>landbouw!F8</f>
        <v>7452.2533551643537</v>
      </c>
      <c r="G7" s="477">
        <f>landbouw!G8</f>
        <v>0</v>
      </c>
      <c r="H7" s="477">
        <f>landbouw!H8</f>
        <v>0</v>
      </c>
      <c r="I7" s="477">
        <f>landbouw!I8</f>
        <v>0</v>
      </c>
      <c r="J7" s="477">
        <f>landbouw!J8</f>
        <v>310.80961995219218</v>
      </c>
      <c r="K7" s="477">
        <f>landbouw!K8</f>
        <v>0</v>
      </c>
      <c r="L7" s="477">
        <f>landbouw!L8</f>
        <v>0</v>
      </c>
      <c r="M7" s="477">
        <f>landbouw!M8</f>
        <v>0</v>
      </c>
      <c r="N7" s="477">
        <f>landbouw!N8</f>
        <v>0</v>
      </c>
      <c r="O7" s="477">
        <f>landbouw!O8</f>
        <v>0</v>
      </c>
      <c r="P7" s="478">
        <f>landbouw!P8</f>
        <v>0</v>
      </c>
      <c r="Q7" s="476">
        <f t="shared" si="0"/>
        <v>13544.432121251974</v>
      </c>
    </row>
    <row r="8" spans="1:17">
      <c r="A8" s="476" t="s">
        <v>635</v>
      </c>
      <c r="B8" s="477">
        <f>industrie!B18</f>
        <v>6881.0790063842342</v>
      </c>
      <c r="C8" s="477">
        <f>industrie!C18</f>
        <v>0</v>
      </c>
      <c r="D8" s="477">
        <f>industrie!D18</f>
        <v>7452.3604764610973</v>
      </c>
      <c r="E8" s="477">
        <f>industrie!E18</f>
        <v>601.29269543274188</v>
      </c>
      <c r="F8" s="477">
        <f>industrie!F18</f>
        <v>1933.3681841082935</v>
      </c>
      <c r="G8" s="477">
        <f>industrie!G18</f>
        <v>0</v>
      </c>
      <c r="H8" s="477">
        <f>industrie!H18</f>
        <v>0</v>
      </c>
      <c r="I8" s="477">
        <f>industrie!I18</f>
        <v>0</v>
      </c>
      <c r="J8" s="477">
        <f>industrie!J18</f>
        <v>16.459636401009593</v>
      </c>
      <c r="K8" s="477">
        <f>industrie!K18</f>
        <v>0</v>
      </c>
      <c r="L8" s="477">
        <f>industrie!L18</f>
        <v>0</v>
      </c>
      <c r="M8" s="477">
        <f>industrie!M18</f>
        <v>0</v>
      </c>
      <c r="N8" s="477">
        <f>industrie!N18</f>
        <v>1537.7007182255143</v>
      </c>
      <c r="O8" s="477">
        <f>industrie!O18</f>
        <v>0</v>
      </c>
      <c r="P8" s="478">
        <f>industrie!P18</f>
        <v>0</v>
      </c>
      <c r="Q8" s="476">
        <f t="shared" si="0"/>
        <v>18422.26071701289</v>
      </c>
    </row>
    <row r="9" spans="1:17" s="482" customFormat="1">
      <c r="A9" s="480" t="s">
        <v>561</v>
      </c>
      <c r="B9" s="481">
        <f>transport!B14</f>
        <v>53.398154601608077</v>
      </c>
      <c r="C9" s="481">
        <f>transport!C14</f>
        <v>0</v>
      </c>
      <c r="D9" s="481">
        <f>transport!D14</f>
        <v>182.11954277108802</v>
      </c>
      <c r="E9" s="481">
        <f>transport!E14</f>
        <v>280.31802433774976</v>
      </c>
      <c r="F9" s="481">
        <f>transport!F14</f>
        <v>0</v>
      </c>
      <c r="G9" s="481">
        <f>transport!G14</f>
        <v>135369.56290915859</v>
      </c>
      <c r="H9" s="481">
        <f>transport!H14</f>
        <v>21111.601330844467</v>
      </c>
      <c r="I9" s="481">
        <f>transport!I14</f>
        <v>0</v>
      </c>
      <c r="J9" s="481">
        <f>transport!J14</f>
        <v>0</v>
      </c>
      <c r="K9" s="481">
        <f>transport!K14</f>
        <v>0</v>
      </c>
      <c r="L9" s="481">
        <f>transport!L14</f>
        <v>0</v>
      </c>
      <c r="M9" s="481">
        <f>transport!M14</f>
        <v>8531.9070588707855</v>
      </c>
      <c r="N9" s="481">
        <f>transport!N14</f>
        <v>0</v>
      </c>
      <c r="O9" s="481">
        <f>transport!O14</f>
        <v>0</v>
      </c>
      <c r="P9" s="481">
        <f>transport!P14</f>
        <v>0</v>
      </c>
      <c r="Q9" s="480">
        <f>SUM(B9:P9)</f>
        <v>165528.9070205843</v>
      </c>
    </row>
    <row r="10" spans="1:17">
      <c r="A10" s="476" t="s">
        <v>551</v>
      </c>
      <c r="B10" s="477">
        <f>transport!B54</f>
        <v>0</v>
      </c>
      <c r="C10" s="477">
        <f>transport!C54</f>
        <v>0</v>
      </c>
      <c r="D10" s="477">
        <f>transport!D54</f>
        <v>0</v>
      </c>
      <c r="E10" s="477">
        <f>transport!E54</f>
        <v>0</v>
      </c>
      <c r="F10" s="477">
        <f>transport!F54</f>
        <v>0</v>
      </c>
      <c r="G10" s="477">
        <f>transport!G54</f>
        <v>1373.135657513275</v>
      </c>
      <c r="H10" s="477">
        <f>transport!H54</f>
        <v>0</v>
      </c>
      <c r="I10" s="477">
        <f>transport!I54</f>
        <v>0</v>
      </c>
      <c r="J10" s="477">
        <f>transport!J54</f>
        <v>0</v>
      </c>
      <c r="K10" s="477">
        <f>transport!K54</f>
        <v>0</v>
      </c>
      <c r="L10" s="477">
        <f>transport!L54</f>
        <v>0</v>
      </c>
      <c r="M10" s="477">
        <f>transport!M54</f>
        <v>77.988043534507554</v>
      </c>
      <c r="N10" s="477">
        <f>transport!N54</f>
        <v>0</v>
      </c>
      <c r="O10" s="477">
        <f>transport!O54</f>
        <v>0</v>
      </c>
      <c r="P10" s="478">
        <f>transport!P54</f>
        <v>0</v>
      </c>
      <c r="Q10" s="476">
        <f t="shared" si="0"/>
        <v>1451.1237010477826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1582.1767014556899</v>
      </c>
      <c r="C14" s="484"/>
      <c r="D14" s="484">
        <f>'SEAP template'!E25</f>
        <v>2168.1548954820696</v>
      </c>
      <c r="E14" s="484"/>
      <c r="F14" s="484"/>
      <c r="G14" s="484"/>
      <c r="H14" s="484"/>
      <c r="I14" s="484"/>
      <c r="J14" s="484"/>
      <c r="K14" s="484"/>
      <c r="L14" s="484"/>
      <c r="M14" s="484"/>
      <c r="N14" s="484"/>
      <c r="O14" s="484"/>
      <c r="P14" s="485"/>
      <c r="Q14" s="476">
        <f t="shared" si="0"/>
        <v>3750.3315969377595</v>
      </c>
    </row>
    <row r="15" spans="1:17" s="486" customFormat="1">
      <c r="A15" s="1039" t="s">
        <v>555</v>
      </c>
      <c r="B15" s="987">
        <f ca="1">SUM(B4:B14)</f>
        <v>54778.194547824409</v>
      </c>
      <c r="C15" s="987">
        <f t="shared" ref="C15:Q15" ca="1" si="1">SUM(C4:C14)</f>
        <v>3573</v>
      </c>
      <c r="D15" s="987">
        <f t="shared" ca="1" si="1"/>
        <v>103304.27371270875</v>
      </c>
      <c r="E15" s="987">
        <f t="shared" si="1"/>
        <v>2190.4958588292961</v>
      </c>
      <c r="F15" s="987">
        <f t="shared" ca="1" si="1"/>
        <v>11787.744556200043</v>
      </c>
      <c r="G15" s="987">
        <f t="shared" si="1"/>
        <v>136742.69856667187</v>
      </c>
      <c r="H15" s="987">
        <f t="shared" si="1"/>
        <v>21111.601330844467</v>
      </c>
      <c r="I15" s="987">
        <f t="shared" si="1"/>
        <v>0</v>
      </c>
      <c r="J15" s="987">
        <f t="shared" si="1"/>
        <v>1321.6472040206547</v>
      </c>
      <c r="K15" s="987">
        <f t="shared" si="1"/>
        <v>0</v>
      </c>
      <c r="L15" s="987">
        <f t="shared" ca="1" si="1"/>
        <v>0</v>
      </c>
      <c r="M15" s="987">
        <f t="shared" si="1"/>
        <v>8609.8951024052931</v>
      </c>
      <c r="N15" s="987">
        <f t="shared" ca="1" si="1"/>
        <v>18878.281154965869</v>
      </c>
      <c r="O15" s="987">
        <f t="shared" si="1"/>
        <v>287.65333333333331</v>
      </c>
      <c r="P15" s="987">
        <f t="shared" si="1"/>
        <v>629.20000000000005</v>
      </c>
      <c r="Q15" s="987">
        <f t="shared" ca="1" si="1"/>
        <v>363214.68536780402</v>
      </c>
    </row>
    <row r="17" spans="1:17">
      <c r="A17" s="487" t="s">
        <v>556</v>
      </c>
      <c r="B17" s="786">
        <f ca="1">huishoudens!B10</f>
        <v>0.13723975098341848</v>
      </c>
      <c r="C17" s="786">
        <f ca="1">huishoudens!C10</f>
        <v>0.11553351573187415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4068.9025704127516</v>
      </c>
      <c r="C22" s="477">
        <f t="shared" ref="C22:C32" ca="1" si="3">C4*$C$17</f>
        <v>0</v>
      </c>
      <c r="D22" s="477">
        <f t="shared" ref="D22:D32" si="4">D4*$D$17</f>
        <v>15529.097101111285</v>
      </c>
      <c r="E22" s="477">
        <f t="shared" ref="E22:E32" si="5">E4*$E$17</f>
        <v>228.35596042094323</v>
      </c>
      <c r="F22" s="477">
        <f t="shared" ref="F22:F32" si="6">F4*$F$17</f>
        <v>0</v>
      </c>
      <c r="G22" s="477">
        <f t="shared" ref="G22:G32" si="7">G4*$G$17</f>
        <v>0</v>
      </c>
      <c r="H22" s="477">
        <f t="shared" ref="H22:H32" si="8">H4*$H$17</f>
        <v>0</v>
      </c>
      <c r="I22" s="477">
        <f t="shared" ref="I22:I32" si="9">I4*$I$17</f>
        <v>0</v>
      </c>
      <c r="J22" s="477">
        <f t="shared" ref="J22:J32" si="10">J4*$J$17</f>
        <v>351.99679205158151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20178.352423996563</v>
      </c>
    </row>
    <row r="23" spans="1:17">
      <c r="A23" s="476" t="s">
        <v>156</v>
      </c>
      <c r="B23" s="477">
        <f t="shared" ca="1" si="2"/>
        <v>1828.2805823925632</v>
      </c>
      <c r="C23" s="477">
        <f t="shared" ca="1" si="3"/>
        <v>0</v>
      </c>
      <c r="D23" s="477">
        <f t="shared" ca="1" si="4"/>
        <v>3358.2339360836017</v>
      </c>
      <c r="E23" s="477">
        <f t="shared" si="5"/>
        <v>54.446966168895642</v>
      </c>
      <c r="F23" s="477">
        <f t="shared" ca="1" si="6"/>
        <v>641.36684551961514</v>
      </c>
      <c r="G23" s="477">
        <f t="shared" si="7"/>
        <v>0</v>
      </c>
      <c r="H23" s="477">
        <f t="shared" si="8"/>
        <v>0</v>
      </c>
      <c r="I23" s="477">
        <f t="shared" si="9"/>
        <v>0</v>
      </c>
      <c r="J23" s="477">
        <f t="shared" si="10"/>
        <v>1.3001422696781924E-2</v>
      </c>
      <c r="K23" s="477">
        <f t="shared" si="11"/>
        <v>0</v>
      </c>
      <c r="L23" s="477">
        <f t="shared" ca="1" si="12"/>
        <v>0</v>
      </c>
      <c r="M23" s="477">
        <f t="shared" si="13"/>
        <v>0</v>
      </c>
      <c r="N23" s="477">
        <f t="shared" ca="1" si="14"/>
        <v>0</v>
      </c>
      <c r="O23" s="477">
        <f t="shared" si="15"/>
        <v>0</v>
      </c>
      <c r="P23" s="478">
        <f t="shared" si="16"/>
        <v>0</v>
      </c>
      <c r="Q23" s="476">
        <f t="shared" ref="Q23:Q32" ca="1" si="17">SUM(B23:P23)</f>
        <v>5882.3413315873722</v>
      </c>
    </row>
    <row r="24" spans="1:17">
      <c r="A24" s="476" t="s">
        <v>194</v>
      </c>
      <c r="B24" s="477">
        <f t="shared" ca="1" si="2"/>
        <v>157.31710311378671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157.31710311378671</v>
      </c>
    </row>
    <row r="25" spans="1:17">
      <c r="A25" s="476" t="s">
        <v>112</v>
      </c>
      <c r="B25" s="477">
        <f t="shared" ca="1" si="2"/>
        <v>294.42206785212647</v>
      </c>
      <c r="C25" s="477">
        <f t="shared" ca="1" si="3"/>
        <v>412.80125170998633</v>
      </c>
      <c r="D25" s="477">
        <f t="shared" si="4"/>
        <v>0</v>
      </c>
      <c r="E25" s="477">
        <f t="shared" si="5"/>
        <v>14.313999976509827</v>
      </c>
      <c r="F25" s="477">
        <f t="shared" si="6"/>
        <v>1989.7516458288826</v>
      </c>
      <c r="G25" s="477">
        <f t="shared" si="7"/>
        <v>0</v>
      </c>
      <c r="H25" s="477">
        <f t="shared" si="8"/>
        <v>0</v>
      </c>
      <c r="I25" s="477">
        <f t="shared" si="9"/>
        <v>0</v>
      </c>
      <c r="J25" s="477">
        <f t="shared" si="10"/>
        <v>110.02660546307602</v>
      </c>
      <c r="K25" s="477">
        <f t="shared" si="11"/>
        <v>0</v>
      </c>
      <c r="L25" s="477">
        <f t="shared" si="12"/>
        <v>0</v>
      </c>
      <c r="M25" s="477">
        <f t="shared" si="13"/>
        <v>0</v>
      </c>
      <c r="N25" s="477">
        <f t="shared" si="14"/>
        <v>0</v>
      </c>
      <c r="O25" s="477">
        <f t="shared" si="15"/>
        <v>0</v>
      </c>
      <c r="P25" s="478">
        <f t="shared" si="16"/>
        <v>0</v>
      </c>
      <c r="Q25" s="476">
        <f t="shared" ca="1" si="17"/>
        <v>2821.3155708305812</v>
      </c>
    </row>
    <row r="26" spans="1:17">
      <c r="A26" s="476" t="s">
        <v>635</v>
      </c>
      <c r="B26" s="477">
        <f t="shared" ca="1" si="2"/>
        <v>944.35756933340099</v>
      </c>
      <c r="C26" s="477">
        <f t="shared" ca="1" si="3"/>
        <v>0</v>
      </c>
      <c r="D26" s="477">
        <f t="shared" si="4"/>
        <v>1505.3768162451418</v>
      </c>
      <c r="E26" s="477">
        <f t="shared" si="5"/>
        <v>136.49344186323242</v>
      </c>
      <c r="F26" s="477">
        <f t="shared" si="6"/>
        <v>516.20930515691441</v>
      </c>
      <c r="G26" s="477">
        <f t="shared" si="7"/>
        <v>0</v>
      </c>
      <c r="H26" s="477">
        <f t="shared" si="8"/>
        <v>0</v>
      </c>
      <c r="I26" s="477">
        <f t="shared" si="9"/>
        <v>0</v>
      </c>
      <c r="J26" s="477">
        <f t="shared" si="10"/>
        <v>5.826711285957396</v>
      </c>
      <c r="K26" s="477">
        <f t="shared" si="11"/>
        <v>0</v>
      </c>
      <c r="L26" s="477">
        <f t="shared" si="12"/>
        <v>0</v>
      </c>
      <c r="M26" s="477">
        <f t="shared" si="13"/>
        <v>0</v>
      </c>
      <c r="N26" s="477">
        <f t="shared" si="14"/>
        <v>0</v>
      </c>
      <c r="O26" s="477">
        <f t="shared" si="15"/>
        <v>0</v>
      </c>
      <c r="P26" s="478">
        <f t="shared" si="16"/>
        <v>0</v>
      </c>
      <c r="Q26" s="476">
        <f t="shared" ca="1" si="17"/>
        <v>3108.2638438846475</v>
      </c>
    </row>
    <row r="27" spans="1:17" s="482" customFormat="1">
      <c r="A27" s="480" t="s">
        <v>561</v>
      </c>
      <c r="B27" s="780">
        <f t="shared" ca="1" si="2"/>
        <v>7.3283494404987737</v>
      </c>
      <c r="C27" s="481">
        <f t="shared" ca="1" si="3"/>
        <v>0</v>
      </c>
      <c r="D27" s="481">
        <f t="shared" si="4"/>
        <v>36.788147639759785</v>
      </c>
      <c r="E27" s="481">
        <f t="shared" si="5"/>
        <v>63.632191524669196</v>
      </c>
      <c r="F27" s="481">
        <f t="shared" si="6"/>
        <v>0</v>
      </c>
      <c r="G27" s="481">
        <f t="shared" si="7"/>
        <v>36143.673296745343</v>
      </c>
      <c r="H27" s="481">
        <f t="shared" si="8"/>
        <v>5256.7887313802721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41508.210716730544</v>
      </c>
    </row>
    <row r="28" spans="1:17">
      <c r="A28" s="476" t="s">
        <v>551</v>
      </c>
      <c r="B28" s="477">
        <f t="shared" ca="1" si="2"/>
        <v>0</v>
      </c>
      <c r="C28" s="477">
        <f t="shared" ca="1" si="3"/>
        <v>0</v>
      </c>
      <c r="D28" s="477">
        <f t="shared" si="4"/>
        <v>0</v>
      </c>
      <c r="E28" s="477">
        <f t="shared" si="5"/>
        <v>0</v>
      </c>
      <c r="F28" s="477">
        <f t="shared" si="6"/>
        <v>0</v>
      </c>
      <c r="G28" s="477">
        <f t="shared" si="7"/>
        <v>366.62722055604445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366.62722055604445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217.13753651954534</v>
      </c>
      <c r="C32" s="477">
        <f t="shared" ca="1" si="3"/>
        <v>0</v>
      </c>
      <c r="D32" s="477">
        <f t="shared" si="4"/>
        <v>437.96728888737806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655.1048254069234</v>
      </c>
    </row>
    <row r="33" spans="1:17" s="486" customFormat="1">
      <c r="A33" s="1039" t="s">
        <v>555</v>
      </c>
      <c r="B33" s="987">
        <f ca="1">SUM(B22:B32)</f>
        <v>7517.7457790646731</v>
      </c>
      <c r="C33" s="987">
        <f t="shared" ref="C33:Q33" ca="1" si="18">SUM(C22:C32)</f>
        <v>412.80125170998633</v>
      </c>
      <c r="D33" s="987">
        <f t="shared" ca="1" si="18"/>
        <v>20867.463289967167</v>
      </c>
      <c r="E33" s="987">
        <f t="shared" si="18"/>
        <v>497.24255995425028</v>
      </c>
      <c r="F33" s="987">
        <f t="shared" ca="1" si="18"/>
        <v>3147.3277965054122</v>
      </c>
      <c r="G33" s="987">
        <f t="shared" si="18"/>
        <v>36510.300517301388</v>
      </c>
      <c r="H33" s="987">
        <f t="shared" si="18"/>
        <v>5256.7887313802721</v>
      </c>
      <c r="I33" s="987">
        <f t="shared" si="18"/>
        <v>0</v>
      </c>
      <c r="J33" s="987">
        <f t="shared" si="18"/>
        <v>467.86311022331171</v>
      </c>
      <c r="K33" s="987">
        <f t="shared" si="18"/>
        <v>0</v>
      </c>
      <c r="L33" s="987">
        <f t="shared" ca="1" si="18"/>
        <v>0</v>
      </c>
      <c r="M33" s="987">
        <f t="shared" si="18"/>
        <v>0</v>
      </c>
      <c r="N33" s="987">
        <f t="shared" ca="1" si="18"/>
        <v>0</v>
      </c>
      <c r="O33" s="987">
        <f t="shared" si="18"/>
        <v>0</v>
      </c>
      <c r="P33" s="987">
        <f t="shared" si="18"/>
        <v>0</v>
      </c>
      <c r="Q33" s="987">
        <f t="shared" ca="1" si="18"/>
        <v>74677.533036106455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14296.319439613448</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5030.3908060631775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1730.1976744186045</v>
      </c>
      <c r="C8" s="1056">
        <f>'SEAP template'!C76</f>
        <v>1275.8023255813955</v>
      </c>
      <c r="D8" s="1056">
        <f>'SEAP template'!D76</f>
        <v>822.43502051983614</v>
      </c>
      <c r="E8" s="1056">
        <f>'SEAP template'!E76</f>
        <v>0</v>
      </c>
      <c r="F8" s="1056">
        <f>'SEAP template'!F76</f>
        <v>678.50889192886461</v>
      </c>
      <c r="G8" s="1056">
        <f>'SEAP template'!G76</f>
        <v>0</v>
      </c>
      <c r="H8" s="1056">
        <f>'SEAP template'!H76</f>
        <v>0</v>
      </c>
      <c r="I8" s="1056">
        <f>'SEAP template'!I76</f>
        <v>2035.5266757865938</v>
      </c>
      <c r="J8" s="1056">
        <f>'SEAP template'!J76</f>
        <v>0</v>
      </c>
      <c r="K8" s="1056">
        <f>'SEAP template'!K76</f>
        <v>0</v>
      </c>
      <c r="L8" s="1056">
        <f>'SEAP template'!L76</f>
        <v>0</v>
      </c>
      <c r="M8" s="1056">
        <f>'SEAP template'!M76</f>
        <v>0</v>
      </c>
      <c r="N8" s="1056">
        <f>'SEAP template'!N76</f>
        <v>0</v>
      </c>
      <c r="O8" s="1056">
        <f>'SEAP template'!O76</f>
        <v>0</v>
      </c>
      <c r="P8" s="1057">
        <f>'SEAP template'!Q76</f>
        <v>347.29374829001381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21056.907920095229</v>
      </c>
      <c r="C10" s="1060">
        <f>SUM(C4:C9)</f>
        <v>1275.8023255813955</v>
      </c>
      <c r="D10" s="1060">
        <f t="shared" ref="D10:H10" si="0">SUM(D8:D9)</f>
        <v>822.43502051983614</v>
      </c>
      <c r="E10" s="1060">
        <f t="shared" si="0"/>
        <v>0</v>
      </c>
      <c r="F10" s="1060">
        <f t="shared" si="0"/>
        <v>678.50889192886461</v>
      </c>
      <c r="G10" s="1060">
        <f t="shared" si="0"/>
        <v>0</v>
      </c>
      <c r="H10" s="1060">
        <f t="shared" si="0"/>
        <v>0</v>
      </c>
      <c r="I10" s="1060">
        <f>SUM(I8:I9)</f>
        <v>2035.5266757865938</v>
      </c>
      <c r="J10" s="1060">
        <f>SUM(J8:J9)</f>
        <v>0</v>
      </c>
      <c r="K10" s="1060">
        <f t="shared" ref="K10:L10" si="1">SUM(K8:K9)</f>
        <v>0</v>
      </c>
      <c r="L10" s="1060">
        <f t="shared" si="1"/>
        <v>0</v>
      </c>
      <c r="M10" s="1060">
        <f>SUM(M8:M9)</f>
        <v>0</v>
      </c>
      <c r="N10" s="1060">
        <f>SUM(N8:N9)</f>
        <v>0</v>
      </c>
      <c r="O10" s="1060">
        <f>SUM(O8:O9)</f>
        <v>0</v>
      </c>
      <c r="P10" s="1060">
        <f>SUM(P8:P9)</f>
        <v>347.29374829001381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0.13723975098341848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2056.5523255813951</v>
      </c>
      <c r="C17" s="1062">
        <f>'SEAP template'!C87</f>
        <v>1516.4476744186045</v>
      </c>
      <c r="D17" s="1057">
        <f>'SEAP template'!D87</f>
        <v>977.56497948016431</v>
      </c>
      <c r="E17" s="1057">
        <f>'SEAP template'!E87</f>
        <v>0</v>
      </c>
      <c r="F17" s="1057">
        <f>'SEAP template'!F87</f>
        <v>806.49110807113539</v>
      </c>
      <c r="G17" s="1057">
        <f>'SEAP template'!G87</f>
        <v>0</v>
      </c>
      <c r="H17" s="1057">
        <f>'SEAP template'!H87</f>
        <v>0</v>
      </c>
      <c r="I17" s="1057">
        <f>'SEAP template'!I87</f>
        <v>2419.4733242134062</v>
      </c>
      <c r="J17" s="1057">
        <f>'SEAP template'!J87</f>
        <v>0</v>
      </c>
      <c r="K17" s="1057">
        <f>'SEAP template'!K87</f>
        <v>0</v>
      </c>
      <c r="L17" s="1057">
        <f>'SEAP template'!L87</f>
        <v>0</v>
      </c>
      <c r="M17" s="1057">
        <f>'SEAP template'!M87</f>
        <v>0</v>
      </c>
      <c r="N17" s="1057">
        <f>'SEAP template'!N87</f>
        <v>0</v>
      </c>
      <c r="O17" s="1057">
        <f>'SEAP template'!O87</f>
        <v>0</v>
      </c>
      <c r="P17" s="1057">
        <f>'SEAP template'!Q87</f>
        <v>412.80125170998633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2056.5523255813951</v>
      </c>
      <c r="C20" s="1060">
        <f>SUM(C17:C19)</f>
        <v>1516.4476744186045</v>
      </c>
      <c r="D20" s="1060">
        <f t="shared" ref="D20:H20" si="2">SUM(D17:D19)</f>
        <v>977.56497948016431</v>
      </c>
      <c r="E20" s="1060">
        <f t="shared" si="2"/>
        <v>0</v>
      </c>
      <c r="F20" s="1060">
        <f t="shared" si="2"/>
        <v>806.49110807113539</v>
      </c>
      <c r="G20" s="1060">
        <f t="shared" si="2"/>
        <v>0</v>
      </c>
      <c r="H20" s="1060">
        <f t="shared" si="2"/>
        <v>0</v>
      </c>
      <c r="I20" s="1060">
        <f>SUM(I17:I19)</f>
        <v>2419.4733242134062</v>
      </c>
      <c r="J20" s="1060">
        <f>SUM(J17:J19)</f>
        <v>0</v>
      </c>
      <c r="K20" s="1060">
        <f t="shared" ref="K20:L20" si="3">SUM(K17:K19)</f>
        <v>0</v>
      </c>
      <c r="L20" s="1060">
        <f t="shared" si="3"/>
        <v>0</v>
      </c>
      <c r="M20" s="1060">
        <f>SUM(M17:M19)</f>
        <v>0</v>
      </c>
      <c r="N20" s="1060">
        <f>SUM(N17:N19)</f>
        <v>0</v>
      </c>
      <c r="O20" s="1060">
        <f>SUM(O17:O19)</f>
        <v>0</v>
      </c>
      <c r="P20" s="1060">
        <f>SUM(P17:P19)</f>
        <v>412.80125170998633</v>
      </c>
    </row>
    <row r="22" spans="1:16">
      <c r="A22" s="487" t="s">
        <v>862</v>
      </c>
      <c r="B22" s="786" t="s">
        <v>856</v>
      </c>
      <c r="C22" s="786">
        <f ca="1">'EF ele_warmte'!B22</f>
        <v>0.11553351573187415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0.13723975098341848</v>
      </c>
      <c r="C17" s="524">
        <f ca="1">'EF ele_warmte'!B22</f>
        <v>0.11553351573187415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0.13723975098341848</v>
      </c>
      <c r="C17" s="524">
        <f ca="1">'EF ele_warmte'!B22</f>
        <v>0.11553351573187415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0.13723975098341848</v>
      </c>
      <c r="C29" s="525">
        <f ca="1">'EF ele_warmte'!B22</f>
        <v>0.11553351573187415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6737</v>
      </c>
      <c r="C9" s="342">
        <v>6925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1684.68</v>
      </c>
    </row>
    <row r="15" spans="1:6">
      <c r="A15" s="348" t="s">
        <v>184</v>
      </c>
      <c r="B15" s="334">
        <v>29</v>
      </c>
    </row>
    <row r="16" spans="1:6">
      <c r="A16" s="348" t="s">
        <v>6</v>
      </c>
      <c r="B16" s="334">
        <v>1221</v>
      </c>
    </row>
    <row r="17" spans="1:6">
      <c r="A17" s="348" t="s">
        <v>7</v>
      </c>
      <c r="B17" s="334">
        <v>447</v>
      </c>
    </row>
    <row r="18" spans="1:6">
      <c r="A18" s="348" t="s">
        <v>8</v>
      </c>
      <c r="B18" s="334">
        <v>938</v>
      </c>
    </row>
    <row r="19" spans="1:6">
      <c r="A19" s="348" t="s">
        <v>9</v>
      </c>
      <c r="B19" s="334">
        <v>798</v>
      </c>
    </row>
    <row r="20" spans="1:6">
      <c r="A20" s="348" t="s">
        <v>10</v>
      </c>
      <c r="B20" s="334">
        <v>520</v>
      </c>
    </row>
    <row r="21" spans="1:6">
      <c r="A21" s="348" t="s">
        <v>11</v>
      </c>
      <c r="B21" s="334">
        <v>5923</v>
      </c>
    </row>
    <row r="22" spans="1:6">
      <c r="A22" s="348" t="s">
        <v>12</v>
      </c>
      <c r="B22" s="334">
        <v>22294</v>
      </c>
    </row>
    <row r="23" spans="1:6">
      <c r="A23" s="348" t="s">
        <v>13</v>
      </c>
      <c r="B23" s="334">
        <v>380</v>
      </c>
    </row>
    <row r="24" spans="1:6">
      <c r="A24" s="348" t="s">
        <v>14</v>
      </c>
      <c r="B24" s="334">
        <v>29</v>
      </c>
    </row>
    <row r="25" spans="1:6">
      <c r="A25" s="348" t="s">
        <v>15</v>
      </c>
      <c r="B25" s="334">
        <v>1429</v>
      </c>
    </row>
    <row r="26" spans="1:6">
      <c r="A26" s="348" t="s">
        <v>16</v>
      </c>
      <c r="B26" s="334">
        <v>68</v>
      </c>
    </row>
    <row r="27" spans="1:6">
      <c r="A27" s="348" t="s">
        <v>17</v>
      </c>
      <c r="B27" s="334">
        <v>255</v>
      </c>
    </row>
    <row r="28" spans="1:6" s="356" customFormat="1">
      <c r="A28" s="355" t="s">
        <v>18</v>
      </c>
      <c r="B28" s="355">
        <v>2985</v>
      </c>
    </row>
    <row r="29" spans="1:6">
      <c r="A29" s="355" t="s">
        <v>744</v>
      </c>
      <c r="B29" s="355">
        <v>76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11077.880677695999</v>
      </c>
    </row>
    <row r="39" spans="1:6">
      <c r="A39" s="348" t="s">
        <v>30</v>
      </c>
      <c r="B39" s="348" t="s">
        <v>31</v>
      </c>
      <c r="C39" s="334">
        <v>5392</v>
      </c>
      <c r="D39" s="334">
        <v>85202348.413758203</v>
      </c>
      <c r="E39" s="334">
        <v>6706</v>
      </c>
      <c r="F39" s="334">
        <v>25971490.112783998</v>
      </c>
    </row>
    <row r="40" spans="1:6">
      <c r="A40" s="348" t="s">
        <v>30</v>
      </c>
      <c r="B40" s="348" t="s">
        <v>29</v>
      </c>
      <c r="C40" s="334">
        <v>1</v>
      </c>
      <c r="D40" s="334">
        <v>26829.3271875672</v>
      </c>
      <c r="E40" s="334">
        <v>1</v>
      </c>
      <c r="F40" s="334">
        <v>7129.060562832</v>
      </c>
    </row>
    <row r="41" spans="1:6">
      <c r="A41" s="348" t="s">
        <v>32</v>
      </c>
      <c r="B41" s="348" t="s">
        <v>33</v>
      </c>
      <c r="C41" s="334">
        <v>51</v>
      </c>
      <c r="D41" s="334">
        <v>1816453.42375628</v>
      </c>
      <c r="E41" s="334">
        <v>89</v>
      </c>
      <c r="F41" s="334">
        <v>1171164.60463279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393823.85211468698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55630.337091524198</v>
      </c>
      <c r="E47" s="334">
        <v>3</v>
      </c>
      <c r="F47" s="334">
        <v>22677.406240843098</v>
      </c>
    </row>
    <row r="48" spans="1:6">
      <c r="A48" s="348" t="s">
        <v>32</v>
      </c>
      <c r="B48" s="348" t="s">
        <v>29</v>
      </c>
      <c r="C48" s="334">
        <v>34</v>
      </c>
      <c r="D48" s="334">
        <v>4448695.8734331802</v>
      </c>
      <c r="E48" s="334">
        <v>45</v>
      </c>
      <c r="F48" s="334">
        <v>4596708.5297553996</v>
      </c>
    </row>
    <row r="49" spans="1:6">
      <c r="A49" s="348" t="s">
        <v>32</v>
      </c>
      <c r="B49" s="348" t="s">
        <v>40</v>
      </c>
      <c r="C49" s="334">
        <v>0</v>
      </c>
      <c r="D49" s="334">
        <v>0</v>
      </c>
      <c r="E49" s="334">
        <v>0</v>
      </c>
      <c r="F49" s="334">
        <v>0</v>
      </c>
    </row>
    <row r="50" spans="1:6">
      <c r="A50" s="348" t="s">
        <v>32</v>
      </c>
      <c r="B50" s="348" t="s">
        <v>41</v>
      </c>
      <c r="C50" s="334">
        <v>11</v>
      </c>
      <c r="D50" s="334">
        <v>1941260.8052546</v>
      </c>
      <c r="E50" s="334">
        <v>13</v>
      </c>
      <c r="F50" s="334">
        <v>696704.61364051502</v>
      </c>
    </row>
    <row r="51" spans="1:6">
      <c r="A51" s="348" t="s">
        <v>42</v>
      </c>
      <c r="B51" s="348" t="s">
        <v>43</v>
      </c>
      <c r="C51" s="334">
        <v>20</v>
      </c>
      <c r="D51" s="334">
        <v>417312.50690706499</v>
      </c>
      <c r="E51" s="334">
        <v>93</v>
      </c>
      <c r="F51" s="334">
        <v>2030181.8652132701</v>
      </c>
    </row>
    <row r="52" spans="1:6">
      <c r="A52" s="348" t="s">
        <v>42</v>
      </c>
      <c r="B52" s="348" t="s">
        <v>29</v>
      </c>
      <c r="C52" s="334">
        <v>1</v>
      </c>
      <c r="D52" s="334">
        <v>9720.4008785047008</v>
      </c>
      <c r="E52" s="334">
        <v>6</v>
      </c>
      <c r="F52" s="334">
        <v>115130.012303172</v>
      </c>
    </row>
    <row r="53" spans="1:6">
      <c r="A53" s="348" t="s">
        <v>44</v>
      </c>
      <c r="B53" s="348" t="s">
        <v>45</v>
      </c>
      <c r="C53" s="334">
        <v>105</v>
      </c>
      <c r="D53" s="334">
        <v>2168154.8954820698</v>
      </c>
      <c r="E53" s="334">
        <v>218</v>
      </c>
      <c r="F53" s="334">
        <v>1582176.70145569</v>
      </c>
    </row>
    <row r="54" spans="1:6">
      <c r="A54" s="348" t="s">
        <v>46</v>
      </c>
      <c r="B54" s="348" t="s">
        <v>47</v>
      </c>
      <c r="C54" s="334">
        <v>0</v>
      </c>
      <c r="D54" s="334">
        <v>0</v>
      </c>
      <c r="E54" s="334">
        <v>1</v>
      </c>
      <c r="F54" s="334">
        <v>1146294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1133169.4282922</v>
      </c>
      <c r="E57" s="334">
        <v>62</v>
      </c>
      <c r="F57" s="334">
        <v>1387999.03220676</v>
      </c>
    </row>
    <row r="58" spans="1:6">
      <c r="A58" s="348" t="s">
        <v>49</v>
      </c>
      <c r="B58" s="348" t="s">
        <v>51</v>
      </c>
      <c r="C58" s="334">
        <v>18</v>
      </c>
      <c r="D58" s="334">
        <v>423080.857668938</v>
      </c>
      <c r="E58" s="334">
        <v>27</v>
      </c>
      <c r="F58" s="334">
        <v>229203.793980027</v>
      </c>
    </row>
    <row r="59" spans="1:6">
      <c r="A59" s="348" t="s">
        <v>49</v>
      </c>
      <c r="B59" s="348" t="s">
        <v>52</v>
      </c>
      <c r="C59" s="334">
        <v>72</v>
      </c>
      <c r="D59" s="334">
        <v>2604589.5321611702</v>
      </c>
      <c r="E59" s="334">
        <v>141</v>
      </c>
      <c r="F59" s="334">
        <v>5055425.7775256298</v>
      </c>
    </row>
    <row r="60" spans="1:6">
      <c r="A60" s="348" t="s">
        <v>49</v>
      </c>
      <c r="B60" s="348" t="s">
        <v>53</v>
      </c>
      <c r="C60" s="334">
        <v>44</v>
      </c>
      <c r="D60" s="334">
        <v>2256465.79976728</v>
      </c>
      <c r="E60" s="334">
        <v>56</v>
      </c>
      <c r="F60" s="334">
        <v>1361119.6521594799</v>
      </c>
    </row>
    <row r="61" spans="1:6">
      <c r="A61" s="348" t="s">
        <v>49</v>
      </c>
      <c r="B61" s="348" t="s">
        <v>54</v>
      </c>
      <c r="C61" s="334">
        <v>138</v>
      </c>
      <c r="D61" s="334">
        <v>6756096.5575152002</v>
      </c>
      <c r="E61" s="334">
        <v>243</v>
      </c>
      <c r="F61" s="334">
        <v>2464889.7320867302</v>
      </c>
    </row>
    <row r="62" spans="1:6">
      <c r="A62" s="348" t="s">
        <v>49</v>
      </c>
      <c r="B62" s="348" t="s">
        <v>55</v>
      </c>
      <c r="C62" s="334">
        <v>0</v>
      </c>
      <c r="D62" s="334">
        <v>0</v>
      </c>
      <c r="E62" s="334">
        <v>7</v>
      </c>
      <c r="F62" s="334">
        <v>97952.593923131106</v>
      </c>
    </row>
    <row r="63" spans="1:6">
      <c r="A63" s="348" t="s">
        <v>49</v>
      </c>
      <c r="B63" s="348" t="s">
        <v>29</v>
      </c>
      <c r="C63" s="334">
        <v>91</v>
      </c>
      <c r="D63" s="334">
        <v>5257773.5182331204</v>
      </c>
      <c r="E63" s="334">
        <v>100</v>
      </c>
      <c r="F63" s="334">
        <v>2725209.9117191001</v>
      </c>
    </row>
    <row r="64" spans="1:6">
      <c r="A64" s="348" t="s">
        <v>56</v>
      </c>
      <c r="B64" s="348" t="s">
        <v>57</v>
      </c>
      <c r="C64" s="334">
        <v>0</v>
      </c>
      <c r="D64" s="334">
        <v>0</v>
      </c>
      <c r="E64" s="334">
        <v>0</v>
      </c>
      <c r="F64" s="334">
        <v>0</v>
      </c>
    </row>
    <row r="65" spans="1:6">
      <c r="A65" s="348" t="s">
        <v>56</v>
      </c>
      <c r="B65" s="348" t="s">
        <v>29</v>
      </c>
      <c r="C65" s="334">
        <v>4</v>
      </c>
      <c r="D65" s="334">
        <v>104183.603754258</v>
      </c>
      <c r="E65" s="334">
        <v>3</v>
      </c>
      <c r="F65" s="334">
        <v>27290.571361077498</v>
      </c>
    </row>
    <row r="66" spans="1:6">
      <c r="A66" s="348" t="s">
        <v>56</v>
      </c>
      <c r="B66" s="348" t="s">
        <v>58</v>
      </c>
      <c r="C66" s="334">
        <v>0</v>
      </c>
      <c r="D66" s="334">
        <v>0</v>
      </c>
      <c r="E66" s="334">
        <v>8</v>
      </c>
      <c r="F66" s="334">
        <v>275471.434226599</v>
      </c>
    </row>
    <row r="67" spans="1:6">
      <c r="A67" s="355" t="s">
        <v>56</v>
      </c>
      <c r="B67" s="355" t="s">
        <v>59</v>
      </c>
      <c r="C67" s="334">
        <v>0</v>
      </c>
      <c r="D67" s="334">
        <v>0</v>
      </c>
      <c r="E67" s="334">
        <v>0</v>
      </c>
      <c r="F67" s="334">
        <v>0</v>
      </c>
    </row>
    <row r="68" spans="1:6">
      <c r="A68" s="341" t="s">
        <v>56</v>
      </c>
      <c r="B68" s="341" t="s">
        <v>60</v>
      </c>
      <c r="C68" s="334">
        <v>3</v>
      </c>
      <c r="D68" s="334">
        <v>315927.11226830201</v>
      </c>
      <c r="E68" s="334">
        <v>7</v>
      </c>
      <c r="F68" s="334">
        <v>369489.66752158903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31085250</v>
      </c>
      <c r="E73" s="475">
        <v>27935499.542987224</v>
      </c>
    </row>
    <row r="74" spans="1:6">
      <c r="A74" s="348" t="s">
        <v>64</v>
      </c>
      <c r="B74" s="348" t="s">
        <v>657</v>
      </c>
      <c r="C74" s="1295" t="s">
        <v>659</v>
      </c>
      <c r="D74" s="475">
        <v>3363909.5</v>
      </c>
      <c r="E74" s="475">
        <v>3147654.7360984501</v>
      </c>
    </row>
    <row r="75" spans="1:6">
      <c r="A75" s="348" t="s">
        <v>65</v>
      </c>
      <c r="B75" s="348" t="s">
        <v>656</v>
      </c>
      <c r="C75" s="1295" t="s">
        <v>660</v>
      </c>
      <c r="D75" s="475">
        <v>18837529</v>
      </c>
      <c r="E75" s="475">
        <v>16400935.886866452</v>
      </c>
    </row>
    <row r="76" spans="1:6">
      <c r="A76" s="348" t="s">
        <v>65</v>
      </c>
      <c r="B76" s="348" t="s">
        <v>657</v>
      </c>
      <c r="C76" s="1295" t="s">
        <v>661</v>
      </c>
      <c r="D76" s="475">
        <v>1671582.5</v>
      </c>
      <c r="E76" s="475">
        <v>1389364.7018404072</v>
      </c>
    </row>
    <row r="77" spans="1:6">
      <c r="A77" s="348" t="s">
        <v>66</v>
      </c>
      <c r="B77" s="348" t="s">
        <v>656</v>
      </c>
      <c r="C77" s="1295" t="s">
        <v>662</v>
      </c>
      <c r="D77" s="475">
        <v>85811092</v>
      </c>
      <c r="E77" s="475">
        <v>87713931.956496045</v>
      </c>
    </row>
    <row r="78" spans="1:6">
      <c r="A78" s="341" t="s">
        <v>66</v>
      </c>
      <c r="B78" s="341" t="s">
        <v>657</v>
      </c>
      <c r="C78" s="341" t="s">
        <v>663</v>
      </c>
      <c r="D78" s="1296">
        <v>21926698</v>
      </c>
      <c r="E78" s="1296">
        <v>22392271.446752328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393569</v>
      </c>
      <c r="C83" s="475">
        <v>392057.77863058838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14296.319439613448</v>
      </c>
    </row>
    <row r="91" spans="1:6">
      <c r="A91" s="348" t="s">
        <v>68</v>
      </c>
      <c r="B91" s="334">
        <v>3669.5151409187433</v>
      </c>
    </row>
    <row r="92" spans="1:6">
      <c r="A92" s="341" t="s">
        <v>69</v>
      </c>
      <c r="B92" s="342">
        <v>1360.8756651444342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3655</v>
      </c>
    </row>
    <row r="98" spans="1:6">
      <c r="A98" s="348" t="s">
        <v>72</v>
      </c>
      <c r="B98" s="334">
        <v>0</v>
      </c>
    </row>
    <row r="99" spans="1:6">
      <c r="A99" s="348" t="s">
        <v>73</v>
      </c>
      <c r="B99" s="334">
        <v>30</v>
      </c>
    </row>
    <row r="100" spans="1:6">
      <c r="A100" s="348" t="s">
        <v>74</v>
      </c>
      <c r="B100" s="334">
        <v>641</v>
      </c>
    </row>
    <row r="101" spans="1:6">
      <c r="A101" s="348" t="s">
        <v>75</v>
      </c>
      <c r="B101" s="334">
        <v>139</v>
      </c>
    </row>
    <row r="102" spans="1:6">
      <c r="A102" s="348" t="s">
        <v>76</v>
      </c>
      <c r="B102" s="334">
        <v>145</v>
      </c>
    </row>
    <row r="103" spans="1:6">
      <c r="A103" s="348" t="s">
        <v>77</v>
      </c>
      <c r="B103" s="334">
        <v>202</v>
      </c>
    </row>
    <row r="104" spans="1:6">
      <c r="A104" s="348" t="s">
        <v>78</v>
      </c>
      <c r="B104" s="334">
        <v>883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2</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54778.194547824402</v>
      </c>
      <c r="C3" s="43" t="s">
        <v>170</v>
      </c>
      <c r="D3" s="43"/>
      <c r="E3" s="154"/>
      <c r="F3" s="43"/>
      <c r="G3" s="43"/>
      <c r="H3" s="43"/>
      <c r="I3" s="43"/>
      <c r="J3" s="43"/>
      <c r="K3" s="96"/>
    </row>
    <row r="4" spans="1:11">
      <c r="A4" s="383" t="s">
        <v>171</v>
      </c>
      <c r="B4" s="49">
        <f>IF(ISERROR('SEAP template'!B78+'SEAP template'!C78),0,'SEAP template'!B78+'SEAP template'!C78)</f>
        <v>22332.710245676626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347.29374829001381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0.13723975098341848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412.80125170998633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0.11553351573187415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1146.2940000000001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1146.2940000000001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0.13723975098341848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157.31710311378671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25978.619173346829</v>
      </c>
      <c r="C5" s="17">
        <f>IF(ISERROR('Eigen informatie GS &amp; warmtenet'!B57),0,'Eigen informatie GS &amp; warmtenet'!B57)</f>
        <v>0</v>
      </c>
      <c r="D5" s="30">
        <f>(SUM(HH_hh_gas_kWh,HH_rest_gas_kWh)/1000)*0.902</f>
        <v>76876.718322333094</v>
      </c>
      <c r="E5" s="17">
        <f>B46*B57</f>
        <v>1005.97339392486</v>
      </c>
      <c r="F5" s="17">
        <f>B51*B62</f>
        <v>0</v>
      </c>
      <c r="G5" s="18"/>
      <c r="H5" s="17"/>
      <c r="I5" s="17"/>
      <c r="J5" s="17">
        <f>B50*B61+C50*C61</f>
        <v>994.34122048469362</v>
      </c>
      <c r="K5" s="17"/>
      <c r="L5" s="17"/>
      <c r="M5" s="17"/>
      <c r="N5" s="17">
        <f>B48*B59+C48*C59</f>
        <v>15884.469248958892</v>
      </c>
      <c r="O5" s="17">
        <f>B69*B70*B71</f>
        <v>284.52666666666664</v>
      </c>
      <c r="P5" s="17">
        <f>B77*B78*B79/1000-B77*B78*B79/1000/B80</f>
        <v>629.20000000000005</v>
      </c>
    </row>
    <row r="6" spans="1:16">
      <c r="A6" s="16" t="s">
        <v>621</v>
      </c>
      <c r="B6" s="788">
        <f>kWh_PV_kleiner_dan_10kW</f>
        <v>3669.5151409187433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29648.134314265571</v>
      </c>
      <c r="C8" s="21">
        <f>C5</f>
        <v>0</v>
      </c>
      <c r="D8" s="21">
        <f>D5</f>
        <v>76876.718322333094</v>
      </c>
      <c r="E8" s="21">
        <f>E5</f>
        <v>1005.97339392486</v>
      </c>
      <c r="F8" s="21">
        <f>F5</f>
        <v>0</v>
      </c>
      <c r="G8" s="21"/>
      <c r="H8" s="21"/>
      <c r="I8" s="21"/>
      <c r="J8" s="21">
        <f>J5</f>
        <v>994.34122048469362</v>
      </c>
      <c r="K8" s="21"/>
      <c r="L8" s="21">
        <f>L5</f>
        <v>0</v>
      </c>
      <c r="M8" s="21">
        <f>M5</f>
        <v>0</v>
      </c>
      <c r="N8" s="21">
        <f>N5</f>
        <v>15884.469248958892</v>
      </c>
      <c r="O8" s="21">
        <f>O5</f>
        <v>284.52666666666664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0.13723975098341848</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4068.9025704127516</v>
      </c>
      <c r="C12" s="23">
        <f ca="1">C10*C8</f>
        <v>0</v>
      </c>
      <c r="D12" s="23">
        <f>D8*D10</f>
        <v>15529.097101111285</v>
      </c>
      <c r="E12" s="23">
        <f>E10*E8</f>
        <v>228.35596042094323</v>
      </c>
      <c r="F12" s="23">
        <f>F10*F8</f>
        <v>0</v>
      </c>
      <c r="G12" s="23"/>
      <c r="H12" s="23"/>
      <c r="I12" s="23"/>
      <c r="J12" s="23">
        <f>J10*J8</f>
        <v>351.99679205158151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3655</v>
      </c>
      <c r="C18" s="166" t="s">
        <v>111</v>
      </c>
      <c r="D18" s="228"/>
      <c r="E18" s="15"/>
    </row>
    <row r="19" spans="1:7">
      <c r="A19" s="171" t="s">
        <v>72</v>
      </c>
      <c r="B19" s="37">
        <f>aantalw2001_ander</f>
        <v>0</v>
      </c>
      <c r="C19" s="166" t="s">
        <v>111</v>
      </c>
      <c r="D19" s="229"/>
      <c r="E19" s="15"/>
    </row>
    <row r="20" spans="1:7">
      <c r="A20" s="171" t="s">
        <v>73</v>
      </c>
      <c r="B20" s="37">
        <f>aantalw2001_propaan</f>
        <v>30</v>
      </c>
      <c r="C20" s="167">
        <f>IF(ISERROR(B20/SUM($B$20,$B$21,$B$22)*100),0,B20/SUM($B$20,$B$21,$B$22)*100)</f>
        <v>3.7037037037037033</v>
      </c>
      <c r="D20" s="229"/>
      <c r="E20" s="15"/>
    </row>
    <row r="21" spans="1:7">
      <c r="A21" s="171" t="s">
        <v>74</v>
      </c>
      <c r="B21" s="37">
        <f>aantalw2001_elektriciteit</f>
        <v>641</v>
      </c>
      <c r="C21" s="167">
        <f>IF(ISERROR(B21/SUM($B$20,$B$21,$B$22)*100),0,B21/SUM($B$20,$B$21,$B$22)*100)</f>
        <v>79.135802469135811</v>
      </c>
      <c r="D21" s="229"/>
      <c r="E21" s="15"/>
    </row>
    <row r="22" spans="1:7">
      <c r="A22" s="171" t="s">
        <v>75</v>
      </c>
      <c r="B22" s="37">
        <f>aantalw2001_hout</f>
        <v>139</v>
      </c>
      <c r="C22" s="167">
        <f>IF(ISERROR(B22/SUM($B$20,$B$21,$B$22)*100),0,B22/SUM($B$20,$B$21,$B$22)*100)</f>
        <v>17.160493827160494</v>
      </c>
      <c r="D22" s="229"/>
      <c r="E22" s="15"/>
    </row>
    <row r="23" spans="1:7">
      <c r="A23" s="171" t="s">
        <v>76</v>
      </c>
      <c r="B23" s="37">
        <f>aantalw2001_niet_gespec</f>
        <v>145</v>
      </c>
      <c r="C23" s="166" t="s">
        <v>111</v>
      </c>
      <c r="D23" s="228"/>
      <c r="E23" s="15"/>
    </row>
    <row r="24" spans="1:7">
      <c r="A24" s="171" t="s">
        <v>77</v>
      </c>
      <c r="B24" s="37">
        <f>aantalw2001_steenkool</f>
        <v>202</v>
      </c>
      <c r="C24" s="166" t="s">
        <v>111</v>
      </c>
      <c r="D24" s="229"/>
      <c r="E24" s="15"/>
    </row>
    <row r="25" spans="1:7">
      <c r="A25" s="171" t="s">
        <v>78</v>
      </c>
      <c r="B25" s="37">
        <f>aantalw2001_stookolie</f>
        <v>883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6737</v>
      </c>
      <c r="C28" s="36"/>
      <c r="D28" s="228"/>
    </row>
    <row r="29" spans="1:7" s="15" customFormat="1">
      <c r="A29" s="230" t="s">
        <v>794</v>
      </c>
      <c r="B29" s="37">
        <f>SUM(HH_hh_gas_aantal,HH_rest_gas_aantal)</f>
        <v>5393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5393</v>
      </c>
      <c r="C32" s="167">
        <f>IF(ISERROR(B32/SUM($B$32,$B$34,$B$35,$B$36,$B$38,$B$39)*100),0,B32/SUM($B$32,$B$34,$B$35,$B$36,$B$38,$B$39)*100)</f>
        <v>80.44451073985681</v>
      </c>
      <c r="D32" s="233"/>
      <c r="G32" s="15"/>
    </row>
    <row r="33" spans="1:7">
      <c r="A33" s="171" t="s">
        <v>72</v>
      </c>
      <c r="B33" s="34" t="s">
        <v>111</v>
      </c>
      <c r="C33" s="167"/>
      <c r="D33" s="233"/>
      <c r="G33" s="15"/>
    </row>
    <row r="34" spans="1:7">
      <c r="A34" s="171" t="s">
        <v>73</v>
      </c>
      <c r="B34" s="33">
        <f>IF((($B$28-$B$32-$B$39-$B$77-$B$38)*C20/100)&lt;0,0,($B$28-$B$32-$B$39-$B$77-$B$38)*C20/100)</f>
        <v>47.511111111111106</v>
      </c>
      <c r="C34" s="167">
        <f>IF(ISERROR(B34/SUM($B$32,$B$34,$B$35,$B$36,$B$38,$B$39)*100),0,B34/SUM($B$32,$B$34,$B$35,$B$36,$B$38,$B$39)*100)</f>
        <v>0.70869795810129943</v>
      </c>
      <c r="D34" s="233"/>
      <c r="G34" s="15"/>
    </row>
    <row r="35" spans="1:7">
      <c r="A35" s="171" t="s">
        <v>74</v>
      </c>
      <c r="B35" s="33">
        <f>IF((($B$28-$B$32-$B$39-$B$77-$B$38)*C21/100)&lt;0,0,($B$28-$B$32-$B$39-$B$77-$B$38)*C21/100)</f>
        <v>1015.1540740740742</v>
      </c>
      <c r="C35" s="167">
        <f>IF(ISERROR(B35/SUM($B$32,$B$34,$B$35,$B$36,$B$38,$B$39)*100),0,B35/SUM($B$32,$B$34,$B$35,$B$36,$B$38,$B$39)*100)</f>
        <v>15.142513038097768</v>
      </c>
      <c r="D35" s="233"/>
      <c r="G35" s="15"/>
    </row>
    <row r="36" spans="1:7">
      <c r="A36" s="171" t="s">
        <v>75</v>
      </c>
      <c r="B36" s="33">
        <f>IF((($B$28-$B$32-$B$39-$B$77-$B$38)*C22/100)&lt;0,0,($B$28-$B$32-$B$39-$B$77-$B$38)*C22/100)</f>
        <v>220.13481481481483</v>
      </c>
      <c r="C36" s="167">
        <f>IF(ISERROR(B36/SUM($B$32,$B$34,$B$35,$B$36,$B$38,$B$39)*100),0,B36/SUM($B$32,$B$34,$B$35,$B$36,$B$38,$B$39)*100)</f>
        <v>3.2836338725360208</v>
      </c>
      <c r="D36" s="233"/>
      <c r="G36" s="15"/>
    </row>
    <row r="37" spans="1:7">
      <c r="A37" s="171" t="s">
        <v>76</v>
      </c>
      <c r="B37" s="34" t="s">
        <v>111</v>
      </c>
      <c r="C37" s="167"/>
      <c r="D37" s="173"/>
      <c r="G37" s="15"/>
    </row>
    <row r="38" spans="1:7">
      <c r="A38" s="171" t="s">
        <v>77</v>
      </c>
      <c r="B38" s="33">
        <f>IF((B24-(B29-B18)*0.1)&lt;0,0,B24-(B29-B18)*0.1)</f>
        <v>28.199999999999989</v>
      </c>
      <c r="C38" s="167">
        <f>IF(ISERROR(B38/SUM($B$32,$B$34,$B$35,$B$36,$B$38,$B$39)*100),0,B38/SUM($B$32,$B$34,$B$35,$B$36,$B$38,$B$39)*100)</f>
        <v>0.42064439140811449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5393</v>
      </c>
      <c r="C44" s="34" t="s">
        <v>111</v>
      </c>
      <c r="D44" s="174"/>
    </row>
    <row r="45" spans="1:7">
      <c r="A45" s="171" t="s">
        <v>72</v>
      </c>
      <c r="B45" s="33" t="str">
        <f t="shared" si="0"/>
        <v>-</v>
      </c>
      <c r="C45" s="34" t="s">
        <v>111</v>
      </c>
      <c r="D45" s="174"/>
    </row>
    <row r="46" spans="1:7">
      <c r="A46" s="171" t="s">
        <v>73</v>
      </c>
      <c r="B46" s="33">
        <f t="shared" si="0"/>
        <v>47.511111111111106</v>
      </c>
      <c r="C46" s="34" t="s">
        <v>111</v>
      </c>
      <c r="D46" s="174"/>
    </row>
    <row r="47" spans="1:7">
      <c r="A47" s="171" t="s">
        <v>74</v>
      </c>
      <c r="B47" s="33">
        <f t="shared" si="0"/>
        <v>1015.1540740740742</v>
      </c>
      <c r="C47" s="34" t="s">
        <v>111</v>
      </c>
      <c r="D47" s="174"/>
    </row>
    <row r="48" spans="1:7">
      <c r="A48" s="171" t="s">
        <v>75</v>
      </c>
      <c r="B48" s="33">
        <f t="shared" si="0"/>
        <v>220.13481481481483</v>
      </c>
      <c r="C48" s="33">
        <f>B48*10</f>
        <v>2201.3481481481485</v>
      </c>
      <c r="D48" s="234"/>
    </row>
    <row r="49" spans="1:6">
      <c r="A49" s="171" t="s">
        <v>76</v>
      </c>
      <c r="B49" s="33" t="str">
        <f t="shared" si="0"/>
        <v>-</v>
      </c>
      <c r="C49" s="34" t="s">
        <v>111</v>
      </c>
      <c r="D49" s="234"/>
    </row>
    <row r="50" spans="1:6">
      <c r="A50" s="171" t="s">
        <v>77</v>
      </c>
      <c r="B50" s="33">
        <f t="shared" si="0"/>
        <v>28.199999999999989</v>
      </c>
      <c r="C50" s="33">
        <f>B50*2</f>
        <v>56.399999999999977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13321.800493600858</v>
      </c>
      <c r="C5" s="17">
        <f>IF(ISERROR('Eigen informatie GS &amp; warmtenet'!B58),0,'Eigen informatie GS &amp; warmtenet'!B58)</f>
        <v>0</v>
      </c>
      <c r="D5" s="30">
        <f>SUM(D6:D12)</f>
        <v>16624.920475661394</v>
      </c>
      <c r="E5" s="17">
        <f>SUM(E6:E12)</f>
        <v>239.85447651495878</v>
      </c>
      <c r="F5" s="17">
        <f>SUM(F6:F12)</f>
        <v>2402.1230169273972</v>
      </c>
      <c r="G5" s="18"/>
      <c r="H5" s="17"/>
      <c r="I5" s="17"/>
      <c r="J5" s="17">
        <f>SUM(J6:J12)</f>
        <v>3.6727182759270977E-2</v>
      </c>
      <c r="K5" s="17"/>
      <c r="L5" s="17"/>
      <c r="M5" s="17"/>
      <c r="N5" s="17">
        <f>SUM(N6:N12)</f>
        <v>1456.1111877814621</v>
      </c>
      <c r="O5" s="17">
        <f>B38*B39*B40</f>
        <v>3.1266666666666669</v>
      </c>
      <c r="P5" s="17">
        <f>B46*B47*B48/1000-B46*B47*B48/1000/B49</f>
        <v>0</v>
      </c>
      <c r="R5" s="32"/>
    </row>
    <row r="6" spans="1:18">
      <c r="A6" s="32" t="s">
        <v>54</v>
      </c>
      <c r="B6" s="37">
        <f>B26</f>
        <v>2464.88973208673</v>
      </c>
      <c r="C6" s="33"/>
      <c r="D6" s="37">
        <f>IF(ISERROR(TER_kantoor_gas_kWh/1000),0,TER_kantoor_gas_kWh/1000)*0.902</f>
        <v>6093.9990948787108</v>
      </c>
      <c r="E6" s="33">
        <f>$C$26*'E Balans VL '!I12/100/3.6*1000000</f>
        <v>1.54491090312382E-2</v>
      </c>
      <c r="F6" s="33">
        <f>$C$26*('E Balans VL '!L12+'E Balans VL '!N12)/100/3.6*1000000</f>
        <v>370.40405114459696</v>
      </c>
      <c r="G6" s="34"/>
      <c r="H6" s="33"/>
      <c r="I6" s="33"/>
      <c r="J6" s="33">
        <f>$C$26*('E Balans VL '!D12+'E Balans VL '!E12)/100/3.6*1000000</f>
        <v>0</v>
      </c>
      <c r="K6" s="33"/>
      <c r="L6" s="33"/>
      <c r="M6" s="33"/>
      <c r="N6" s="33">
        <f>$C$26*'E Balans VL '!Y12/100/3.6*1000000</f>
        <v>2.3573015687310712</v>
      </c>
      <c r="O6" s="33"/>
      <c r="P6" s="33"/>
      <c r="R6" s="32"/>
    </row>
    <row r="7" spans="1:18">
      <c r="A7" s="32" t="s">
        <v>53</v>
      </c>
      <c r="B7" s="37">
        <f t="shared" ref="B7:B12" si="0">B27</f>
        <v>1361.11965215948</v>
      </c>
      <c r="C7" s="33"/>
      <c r="D7" s="37">
        <f>IF(ISERROR(TER_horeca_gas_kWh/1000),0,TER_horeca_gas_kWh/1000)*0.902</f>
        <v>2035.3321513900864</v>
      </c>
      <c r="E7" s="33">
        <f>$C$27*'E Balans VL '!I9/100/3.6*1000000</f>
        <v>19.491006699669974</v>
      </c>
      <c r="F7" s="33">
        <f>$C$27*('E Balans VL '!L9+'E Balans VL '!N9)/100/3.6*1000000</f>
        <v>172.36263941900049</v>
      </c>
      <c r="G7" s="34"/>
      <c r="H7" s="33"/>
      <c r="I7" s="33"/>
      <c r="J7" s="33">
        <f>$C$27*('E Balans VL '!D9+'E Balans VL '!E9)/100/3.6*1000000</f>
        <v>0</v>
      </c>
      <c r="K7" s="33"/>
      <c r="L7" s="33"/>
      <c r="M7" s="33"/>
      <c r="N7" s="33">
        <f>$C$27*'E Balans VL '!Y9/100/3.6*1000000</f>
        <v>0.39129188988357838</v>
      </c>
      <c r="O7" s="33"/>
      <c r="P7" s="33"/>
      <c r="R7" s="32"/>
    </row>
    <row r="8" spans="1:18">
      <c r="A8" s="6" t="s">
        <v>52</v>
      </c>
      <c r="B8" s="37">
        <f t="shared" si="0"/>
        <v>5055.4257775256301</v>
      </c>
      <c r="C8" s="33"/>
      <c r="D8" s="37">
        <f>IF(ISERROR(TER_handel_gas_kWh/1000),0,TER_handel_gas_kWh/1000)*0.902</f>
        <v>2349.3397580093756</v>
      </c>
      <c r="E8" s="33">
        <f>$C$28*'E Balans VL '!I13/100/3.6*1000000</f>
        <v>183.35966954367731</v>
      </c>
      <c r="F8" s="33">
        <f>$C$28*('E Balans VL '!L13+'E Balans VL '!N13)/100/3.6*1000000</f>
        <v>973.72619419195667</v>
      </c>
      <c r="G8" s="34"/>
      <c r="H8" s="33"/>
      <c r="I8" s="33"/>
      <c r="J8" s="33">
        <f>$C$28*('E Balans VL '!D13+'E Balans VL '!E13)/100/3.6*1000000</f>
        <v>0</v>
      </c>
      <c r="K8" s="33"/>
      <c r="L8" s="33"/>
      <c r="M8" s="33"/>
      <c r="N8" s="33">
        <f>$C$28*'E Balans VL '!Y13/100/3.6*1000000</f>
        <v>7.0029279034671692</v>
      </c>
      <c r="O8" s="33"/>
      <c r="P8" s="33"/>
      <c r="R8" s="32"/>
    </row>
    <row r="9" spans="1:18">
      <c r="A9" s="32" t="s">
        <v>51</v>
      </c>
      <c r="B9" s="37">
        <f t="shared" si="0"/>
        <v>229.203793980027</v>
      </c>
      <c r="C9" s="33"/>
      <c r="D9" s="37">
        <f>IF(ISERROR(TER_gezond_gas_kWh/1000),0,TER_gezond_gas_kWh/1000)*0.902</f>
        <v>381.61893361738208</v>
      </c>
      <c r="E9" s="33">
        <f>$C$29*'E Balans VL '!I10/100/3.6*1000000</f>
        <v>1.4350420481784512E-2</v>
      </c>
      <c r="F9" s="33">
        <f>$C$29*('E Balans VL '!L10+'E Balans VL '!N10)/100/3.6*1000000</f>
        <v>34.048921454825091</v>
      </c>
      <c r="G9" s="34"/>
      <c r="H9" s="33"/>
      <c r="I9" s="33"/>
      <c r="J9" s="33">
        <f>$C$29*('E Balans VL '!D10+'E Balans VL '!E10)/100/3.6*1000000</f>
        <v>0</v>
      </c>
      <c r="K9" s="33"/>
      <c r="L9" s="33"/>
      <c r="M9" s="33"/>
      <c r="N9" s="33">
        <f>$C$29*'E Balans VL '!Y10/100/3.6*1000000</f>
        <v>3.5453464015586738</v>
      </c>
      <c r="O9" s="33"/>
      <c r="P9" s="33"/>
      <c r="R9" s="32"/>
    </row>
    <row r="10" spans="1:18">
      <c r="A10" s="32" t="s">
        <v>50</v>
      </c>
      <c r="B10" s="37">
        <f t="shared" si="0"/>
        <v>1387.9990322067599</v>
      </c>
      <c r="C10" s="33"/>
      <c r="D10" s="37">
        <f>IF(ISERROR(TER_ander_gas_kWh/1000),0,TER_ander_gas_kWh/1000)*0.902</f>
        <v>1022.1188243195643</v>
      </c>
      <c r="E10" s="33">
        <f>$C$30*'E Balans VL '!I14/100/3.6*1000000</f>
        <v>1.654445247685755</v>
      </c>
      <c r="F10" s="33">
        <f>$C$30*('E Balans VL '!L14+'E Balans VL '!N14)/100/3.6*1000000</f>
        <v>363.1622524157093</v>
      </c>
      <c r="G10" s="34"/>
      <c r="H10" s="33"/>
      <c r="I10" s="33"/>
      <c r="J10" s="33">
        <f>$C$30*('E Balans VL '!D14+'E Balans VL '!E14)/100/3.6*1000000</f>
        <v>3.0128018183233823E-2</v>
      </c>
      <c r="K10" s="33"/>
      <c r="L10" s="33"/>
      <c r="M10" s="33"/>
      <c r="N10" s="33">
        <f>$C$30*'E Balans VL '!Y14/100/3.6*1000000</f>
        <v>1178.6548142917379</v>
      </c>
      <c r="O10" s="33"/>
      <c r="P10" s="33"/>
      <c r="R10" s="32"/>
    </row>
    <row r="11" spans="1:18">
      <c r="A11" s="32" t="s">
        <v>55</v>
      </c>
      <c r="B11" s="37">
        <f t="shared" si="0"/>
        <v>97.952593923131104</v>
      </c>
      <c r="C11" s="33"/>
      <c r="D11" s="37">
        <f>IF(ISERROR(TER_onderwijs_gas_kWh/1000),0,TER_onderwijs_gas_kWh/1000)*0.902</f>
        <v>0</v>
      </c>
      <c r="E11" s="33">
        <f>$C$31*'E Balans VL '!I11/100/3.6*1000000</f>
        <v>1.4779468746454569</v>
      </c>
      <c r="F11" s="33">
        <f>$C$31*('E Balans VL '!L11+'E Balans VL '!N11)/100/3.6*1000000</f>
        <v>17.162859294573934</v>
      </c>
      <c r="G11" s="34"/>
      <c r="H11" s="33"/>
      <c r="I11" s="33"/>
      <c r="J11" s="33">
        <f>$C$31*('E Balans VL '!D11+'E Balans VL '!E11)/100/3.6*1000000</f>
        <v>0</v>
      </c>
      <c r="K11" s="33"/>
      <c r="L11" s="33"/>
      <c r="M11" s="33"/>
      <c r="N11" s="33">
        <f>$C$31*'E Balans VL '!Y11/100/3.6*1000000</f>
        <v>0.27564604593946296</v>
      </c>
      <c r="O11" s="33"/>
      <c r="P11" s="33"/>
      <c r="R11" s="32"/>
    </row>
    <row r="12" spans="1:18">
      <c r="A12" s="32" t="s">
        <v>260</v>
      </c>
      <c r="B12" s="37">
        <f t="shared" si="0"/>
        <v>2725.2099117191001</v>
      </c>
      <c r="C12" s="33"/>
      <c r="D12" s="37">
        <f>IF(ISERROR(TER_rest_gas_kWh/1000),0,TER_rest_gas_kWh/1000)*0.902</f>
        <v>4742.5117134462753</v>
      </c>
      <c r="E12" s="33">
        <f>$C$32*'E Balans VL '!I8/100/3.6*1000000</f>
        <v>33.841608619767264</v>
      </c>
      <c r="F12" s="33">
        <f>$C$32*('E Balans VL '!L8+'E Balans VL '!N8)/100/3.6*1000000</f>
        <v>471.2560990067347</v>
      </c>
      <c r="G12" s="34"/>
      <c r="H12" s="33"/>
      <c r="I12" s="33"/>
      <c r="J12" s="33">
        <f>$C$32*('E Balans VL '!D8+'E Balans VL '!E8)/100/3.6*1000000</f>
        <v>6.5991645760371557E-3</v>
      </c>
      <c r="K12" s="33"/>
      <c r="L12" s="33"/>
      <c r="M12" s="33"/>
      <c r="N12" s="33">
        <f>$C$32*'E Balans VL '!Y8/100/3.6*1000000</f>
        <v>263.88385968014421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13321.800493600858</v>
      </c>
      <c r="C16" s="21">
        <f t="shared" ca="1" si="1"/>
        <v>0</v>
      </c>
      <c r="D16" s="21">
        <f t="shared" ca="1" si="1"/>
        <v>16624.920475661394</v>
      </c>
      <c r="E16" s="21">
        <f t="shared" si="1"/>
        <v>239.85447651495878</v>
      </c>
      <c r="F16" s="21">
        <f t="shared" ca="1" si="1"/>
        <v>2402.1230169273972</v>
      </c>
      <c r="G16" s="21">
        <f t="shared" si="1"/>
        <v>0</v>
      </c>
      <c r="H16" s="21">
        <f t="shared" si="1"/>
        <v>0</v>
      </c>
      <c r="I16" s="21">
        <f t="shared" si="1"/>
        <v>0</v>
      </c>
      <c r="J16" s="21">
        <f t="shared" si="1"/>
        <v>3.6727182759270977E-2</v>
      </c>
      <c r="K16" s="21">
        <f t="shared" si="1"/>
        <v>0</v>
      </c>
      <c r="L16" s="21">
        <f t="shared" ca="1" si="1"/>
        <v>0</v>
      </c>
      <c r="M16" s="21">
        <f t="shared" si="1"/>
        <v>0</v>
      </c>
      <c r="N16" s="21">
        <f t="shared" ca="1" si="1"/>
        <v>1456.1111877814621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0.13723975098341848</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1828.2805823925632</v>
      </c>
      <c r="C20" s="23">
        <f t="shared" ref="C20:P20" ca="1" si="2">C16*C18</f>
        <v>0</v>
      </c>
      <c r="D20" s="23">
        <f t="shared" ca="1" si="2"/>
        <v>3358.2339360836017</v>
      </c>
      <c r="E20" s="23">
        <f t="shared" si="2"/>
        <v>54.446966168895642</v>
      </c>
      <c r="F20" s="23">
        <f t="shared" ca="1" si="2"/>
        <v>641.36684551961514</v>
      </c>
      <c r="G20" s="23">
        <f t="shared" si="2"/>
        <v>0</v>
      </c>
      <c r="H20" s="23">
        <f t="shared" si="2"/>
        <v>0</v>
      </c>
      <c r="I20" s="23">
        <f t="shared" si="2"/>
        <v>0</v>
      </c>
      <c r="J20" s="23">
        <f t="shared" si="2"/>
        <v>1.3001422696781924E-2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2464.88973208673</v>
      </c>
      <c r="C26" s="39">
        <f>IF(ISERROR(B26*3.6/1000000/'E Balans VL '!Z12*100),0,B26*3.6/1000000/'E Balans VL '!Z12*100)</f>
        <v>5.2103864235575371E-2</v>
      </c>
      <c r="D26" s="237" t="s">
        <v>754</v>
      </c>
      <c r="F26" s="6"/>
    </row>
    <row r="27" spans="1:18">
      <c r="A27" s="231" t="s">
        <v>53</v>
      </c>
      <c r="B27" s="33">
        <f>IF(ISERROR(TER_horeca_ele_kWh/1000),0,TER_horeca_ele_kWh/1000)</f>
        <v>1361.11965215948</v>
      </c>
      <c r="C27" s="39">
        <f>IF(ISERROR(B27*3.6/1000000/'E Balans VL '!Z9*100),0,B27*3.6/1000000/'E Balans VL '!Z9*100)</f>
        <v>0.10729655486453805</v>
      </c>
      <c r="D27" s="237" t="s">
        <v>754</v>
      </c>
      <c r="F27" s="6"/>
    </row>
    <row r="28" spans="1:18">
      <c r="A28" s="171" t="s">
        <v>52</v>
      </c>
      <c r="B28" s="33">
        <f>IF(ISERROR(TER_handel_ele_kWh/1000),0,TER_handel_ele_kWh/1000)</f>
        <v>5055.4257775256301</v>
      </c>
      <c r="C28" s="39">
        <f>IF(ISERROR(B28*3.6/1000000/'E Balans VL '!Z13*100),0,B28*3.6/1000000/'E Balans VL '!Z13*100)</f>
        <v>0.14672888227281639</v>
      </c>
      <c r="D28" s="237" t="s">
        <v>754</v>
      </c>
      <c r="F28" s="6"/>
    </row>
    <row r="29" spans="1:18">
      <c r="A29" s="231" t="s">
        <v>51</v>
      </c>
      <c r="B29" s="33">
        <f>IF(ISERROR(TER_gezond_ele_kWh/1000),0,TER_gezond_ele_kWh/1000)</f>
        <v>229.203793980027</v>
      </c>
      <c r="C29" s="39">
        <f>IF(ISERROR(B29*3.6/1000000/'E Balans VL '!Z10*100),0,B29*3.6/1000000/'E Balans VL '!Z10*100)</f>
        <v>2.4138923131739164E-2</v>
      </c>
      <c r="D29" s="237" t="s">
        <v>754</v>
      </c>
      <c r="F29" s="6"/>
    </row>
    <row r="30" spans="1:18">
      <c r="A30" s="231" t="s">
        <v>50</v>
      </c>
      <c r="B30" s="33">
        <f>IF(ISERROR(TER_ander_ele_kWh/1000),0,TER_ander_ele_kWh/1000)</f>
        <v>1387.9990322067599</v>
      </c>
      <c r="C30" s="39">
        <f>IF(ISERROR(B30*3.6/1000000/'E Balans VL '!Z14*100),0,B30*3.6/1000000/'E Balans VL '!Z14*100)</f>
        <v>0.10237911008746077</v>
      </c>
      <c r="D30" s="237" t="s">
        <v>754</v>
      </c>
      <c r="F30" s="6"/>
    </row>
    <row r="31" spans="1:18">
      <c r="A31" s="231" t="s">
        <v>55</v>
      </c>
      <c r="B31" s="33">
        <f>IF(ISERROR(TER_onderwijs_ele_kWh/1000),0,TER_onderwijs_ele_kWh/1000)</f>
        <v>97.952593923131104</v>
      </c>
      <c r="C31" s="39">
        <f>IF(ISERROR(B31*3.6/1000000/'E Balans VL '!Z11*100),0,B31*3.6/1000000/'E Balans VL '!Z11*100)</f>
        <v>2.4326217440831355E-2</v>
      </c>
      <c r="D31" s="237" t="s">
        <v>754</v>
      </c>
    </row>
    <row r="32" spans="1:18">
      <c r="A32" s="231" t="s">
        <v>260</v>
      </c>
      <c r="B32" s="33">
        <f>IF(ISERROR(TER_rest_ele_kWh/1000),0,TER_rest_ele_kWh/1000)</f>
        <v>2725.2099117191001</v>
      </c>
      <c r="C32" s="39">
        <f>IF(ISERROR(B32*3.6/1000000/'E Balans VL '!Z8*100),0,B32*3.6/1000000/'E Balans VL '!Z8*100)</f>
        <v>2.2424860225003403E-2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6881.0790063842342</v>
      </c>
      <c r="C5" s="17">
        <f>IF(ISERROR('Eigen informatie GS &amp; warmtenet'!B59),0,'Eigen informatie GS &amp; warmtenet'!B59)</f>
        <v>0</v>
      </c>
      <c r="D5" s="30">
        <f>SUM(D6:D15)</f>
        <v>7452.3604764610973</v>
      </c>
      <c r="E5" s="17">
        <f>SUM(E6:E15)</f>
        <v>601.29269543274188</v>
      </c>
      <c r="F5" s="17">
        <f>SUM(F6:F15)</f>
        <v>1933.3681841082935</v>
      </c>
      <c r="G5" s="18"/>
      <c r="H5" s="17"/>
      <c r="I5" s="17"/>
      <c r="J5" s="17">
        <f>SUM(J6:J15)</f>
        <v>16.459636401009593</v>
      </c>
      <c r="K5" s="17"/>
      <c r="L5" s="17"/>
      <c r="M5" s="17"/>
      <c r="N5" s="17">
        <f>SUM(N6:N15)</f>
        <v>1537.7007182255143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393.82385211468699</v>
      </c>
      <c r="C8" s="33"/>
      <c r="D8" s="37">
        <f>IF( ISERROR(IND_metaal_Gas_kWH/1000),0,IND_metaal_Gas_kWH/1000)*0.902</f>
        <v>0</v>
      </c>
      <c r="E8" s="33">
        <f>C30*'E Balans VL '!I18/100/3.6*1000000</f>
        <v>3.6208299615009523</v>
      </c>
      <c r="F8" s="33">
        <f>C30*'E Balans VL '!L18/100/3.6*1000000+C30*'E Balans VL '!N18/100/3.6*1000000</f>
        <v>36.927565605091999</v>
      </c>
      <c r="G8" s="34"/>
      <c r="H8" s="33"/>
      <c r="I8" s="33"/>
      <c r="J8" s="40">
        <f>C30*'E Balans VL '!D18/100/3.6*1000000+C30*'E Balans VL '!E18/100/3.6*1000000</f>
        <v>0</v>
      </c>
      <c r="K8" s="33"/>
      <c r="L8" s="33"/>
      <c r="M8" s="33"/>
      <c r="N8" s="33">
        <f>C30*'E Balans VL '!Y18/100/3.6*1000000</f>
        <v>5.618548071738398</v>
      </c>
      <c r="O8" s="33"/>
      <c r="P8" s="33"/>
      <c r="R8" s="32"/>
    </row>
    <row r="9" spans="1:18">
      <c r="A9" s="6" t="s">
        <v>33</v>
      </c>
      <c r="B9" s="37">
        <f t="shared" si="0"/>
        <v>1171.1646046327899</v>
      </c>
      <c r="C9" s="33"/>
      <c r="D9" s="37">
        <f>IF( ISERROR(IND_andere_gas_kWh/1000),0,IND_andere_gas_kWh/1000)*0.902</f>
        <v>1638.4409882281645</v>
      </c>
      <c r="E9" s="33">
        <f>C31*'E Balans VL '!I19/100/3.6*1000000</f>
        <v>342.35421381978568</v>
      </c>
      <c r="F9" s="33">
        <f>C31*'E Balans VL '!L19/100/3.6*1000000+C31*'E Balans VL '!N19/100/3.6*1000000</f>
        <v>941.11940883742079</v>
      </c>
      <c r="G9" s="34"/>
      <c r="H9" s="33"/>
      <c r="I9" s="33"/>
      <c r="J9" s="40">
        <f>C31*'E Balans VL '!D19/100/3.6*1000000+C31*'E Balans VL '!E19/100/3.6*1000000</f>
        <v>0</v>
      </c>
      <c r="K9" s="33"/>
      <c r="L9" s="33"/>
      <c r="M9" s="33"/>
      <c r="N9" s="33">
        <f>C31*'E Balans VL '!Y19/100/3.6*1000000</f>
        <v>386.97094884590012</v>
      </c>
      <c r="O9" s="33"/>
      <c r="P9" s="33"/>
      <c r="R9" s="32"/>
    </row>
    <row r="10" spans="1:18">
      <c r="A10" s="6" t="s">
        <v>41</v>
      </c>
      <c r="B10" s="37">
        <f t="shared" si="0"/>
        <v>696.70461364051505</v>
      </c>
      <c r="C10" s="33"/>
      <c r="D10" s="37">
        <f>IF( ISERROR(IND_voed_gas_kWh/1000),0,IND_voed_gas_kWh/1000)*0.902</f>
        <v>1751.0172463396493</v>
      </c>
      <c r="E10" s="33">
        <f>C32*'E Balans VL '!I20/100/3.6*1000000</f>
        <v>1.4738894126894881</v>
      </c>
      <c r="F10" s="33">
        <f>C32*'E Balans VL '!L20/100/3.6*1000000+C32*'E Balans VL '!N20/100/3.6*1000000</f>
        <v>44.297190998157596</v>
      </c>
      <c r="G10" s="34"/>
      <c r="H10" s="33"/>
      <c r="I10" s="33"/>
      <c r="J10" s="40">
        <f>C32*'E Balans VL '!D20/100/3.6*1000000+C32*'E Balans VL '!E20/100/3.6*1000000</f>
        <v>0</v>
      </c>
      <c r="K10" s="33"/>
      <c r="L10" s="33"/>
      <c r="M10" s="33"/>
      <c r="N10" s="33">
        <f>C32*'E Balans VL '!Y20/100/3.6*1000000</f>
        <v>48.079493590316787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22.677406240843098</v>
      </c>
      <c r="C13" s="33"/>
      <c r="D13" s="37">
        <f>IF( ISERROR(IND_papier_gas_kWh/1000),0,IND_papier_gas_kWh/1000)*0.902</f>
        <v>50.178564056554826</v>
      </c>
      <c r="E13" s="33">
        <f>C35*'E Balans VL '!I23/100/3.6*1000000</f>
        <v>3.2174053173210093E-2</v>
      </c>
      <c r="F13" s="33">
        <f>C35*'E Balans VL '!L23/100/3.6*1000000+C35*'E Balans VL '!N23/100/3.6*1000000</f>
        <v>0.55364075888434272</v>
      </c>
      <c r="G13" s="34"/>
      <c r="H13" s="33"/>
      <c r="I13" s="33"/>
      <c r="J13" s="40">
        <f>C35*'E Balans VL '!D23/100/3.6*1000000+C35*'E Balans VL '!E23/100/3.6*1000000</f>
        <v>3.5072737836102747E-3</v>
      </c>
      <c r="K13" s="33"/>
      <c r="L13" s="33"/>
      <c r="M13" s="33"/>
      <c r="N13" s="33">
        <f>C35*'E Balans VL '!Y23/100/3.6*1000000</f>
        <v>65.917851831356629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4596.7085297553995</v>
      </c>
      <c r="C15" s="33"/>
      <c r="D15" s="37">
        <f>IF( ISERROR(IND_rest_gas_kWh/1000),0,IND_rest_gas_kWh/1000)*0.902</f>
        <v>4012.7236778367287</v>
      </c>
      <c r="E15" s="33">
        <f>C37*'E Balans VL '!I15/100/3.6*1000000</f>
        <v>253.81158818559257</v>
      </c>
      <c r="F15" s="33">
        <f>C37*'E Balans VL '!L15/100/3.6*1000000+C37*'E Balans VL '!N15/100/3.6*1000000</f>
        <v>910.47037790873878</v>
      </c>
      <c r="G15" s="34"/>
      <c r="H15" s="33"/>
      <c r="I15" s="33"/>
      <c r="J15" s="40">
        <f>C37*'E Balans VL '!D15/100/3.6*1000000+C37*'E Balans VL '!E15/100/3.6*1000000</f>
        <v>16.456129127225982</v>
      </c>
      <c r="K15" s="33"/>
      <c r="L15" s="33"/>
      <c r="M15" s="33"/>
      <c r="N15" s="33">
        <f>C37*'E Balans VL '!Y15/100/3.6*1000000</f>
        <v>1031.1138758862023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6881.0790063842342</v>
      </c>
      <c r="C18" s="21">
        <f>C5+C16</f>
        <v>0</v>
      </c>
      <c r="D18" s="21">
        <f>MAX((D5+D16),0)</f>
        <v>7452.3604764610973</v>
      </c>
      <c r="E18" s="21">
        <f>MAX((E5+E16),0)</f>
        <v>601.29269543274188</v>
      </c>
      <c r="F18" s="21">
        <f>MAX((F5+F16),0)</f>
        <v>1933.3681841082935</v>
      </c>
      <c r="G18" s="21"/>
      <c r="H18" s="21"/>
      <c r="I18" s="21"/>
      <c r="J18" s="21">
        <f>MAX((J5+J16),0)</f>
        <v>16.459636401009593</v>
      </c>
      <c r="K18" s="21"/>
      <c r="L18" s="21">
        <f>MAX((L5+L16),0)</f>
        <v>0</v>
      </c>
      <c r="M18" s="21"/>
      <c r="N18" s="21">
        <f>MAX((N5+N16),0)</f>
        <v>1537.7007182255143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0.13723975098341848</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944.35756933340099</v>
      </c>
      <c r="C22" s="23">
        <f ca="1">C18*C20</f>
        <v>0</v>
      </c>
      <c r="D22" s="23">
        <f>D18*D20</f>
        <v>1505.3768162451418</v>
      </c>
      <c r="E22" s="23">
        <f>E18*E20</f>
        <v>136.49344186323242</v>
      </c>
      <c r="F22" s="23">
        <f>F18*F20</f>
        <v>516.20930515691441</v>
      </c>
      <c r="G22" s="23"/>
      <c r="H22" s="23"/>
      <c r="I22" s="23"/>
      <c r="J22" s="23">
        <f>J18*J20</f>
        <v>5.826711285957396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393.82385211468699</v>
      </c>
      <c r="C30" s="39">
        <f>IF(ISERROR(B30*3.6/1000000/'E Balans VL '!Z18*100),0,B30*3.6/1000000/'E Balans VL '!Z18*100)</f>
        <v>2.2319007529743931E-2</v>
      </c>
      <c r="D30" s="237" t="s">
        <v>754</v>
      </c>
    </row>
    <row r="31" spans="1:18">
      <c r="A31" s="6" t="s">
        <v>33</v>
      </c>
      <c r="B31" s="37">
        <f>IF( ISERROR(IND_ander_ele_kWh/1000),0,IND_ander_ele_kWh/1000)</f>
        <v>1171.1646046327899</v>
      </c>
      <c r="C31" s="39">
        <f>IF(ISERROR(B31*3.6/1000000/'E Balans VL '!Z19*100),0,B31*3.6/1000000/'E Balans VL '!Z19*100)</f>
        <v>5.3119149821606162E-2</v>
      </c>
      <c r="D31" s="237" t="s">
        <v>754</v>
      </c>
    </row>
    <row r="32" spans="1:18">
      <c r="A32" s="171" t="s">
        <v>41</v>
      </c>
      <c r="B32" s="37">
        <f>IF( ISERROR(IND_voed_ele_kWh/1000),0,IND_voed_ele_kWh/1000)</f>
        <v>696.70461364051505</v>
      </c>
      <c r="C32" s="39">
        <f>IF(ISERROR(B32*3.6/1000000/'E Balans VL '!Z20*100),0,B32*3.6/1000000/'E Balans VL '!Z20*100)</f>
        <v>2.1552236471796854E-2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22.677406240843098</v>
      </c>
      <c r="C35" s="39">
        <f>IF(ISERROR(B35*3.6/1000000/'E Balans VL '!Z22*100),0,B35*3.6/1000000/'E Balans VL '!Z22*100)</f>
        <v>4.0789578558014881E-3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4596.7085297553995</v>
      </c>
      <c r="C37" s="39">
        <f>IF(ISERROR(B37*3.6/1000000/'E Balans VL '!Z15*100),0,B37*3.6/1000000/'E Balans VL '!Z15*100)</f>
        <v>3.6434560393280808E-2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2145.3118775164421</v>
      </c>
      <c r="C5" s="17">
        <f>'Eigen informatie GS &amp; warmtenet'!B60</f>
        <v>0</v>
      </c>
      <c r="D5" s="30">
        <f>IF(ISERROR(SUM(LB_lb_gas_kWh,LB_rest_gas_kWh)/1000),0,SUM(LB_lb_gas_kWh,LB_rest_gas_kWh)/1000)*0.902</f>
        <v>385.18368282258382</v>
      </c>
      <c r="E5" s="17">
        <f>B17*'E Balans VL '!I25/3.6*1000000/100</f>
        <v>63.057268618986015</v>
      </c>
      <c r="F5" s="17">
        <f>B17*('E Balans VL '!L25/3.6*1000000+'E Balans VL '!N25/3.6*1000000)/100</f>
        <v>8937.2533551643537</v>
      </c>
      <c r="G5" s="18"/>
      <c r="H5" s="17"/>
      <c r="I5" s="17"/>
      <c r="J5" s="17">
        <f>('E Balans VL '!D25+'E Balans VL '!E25)/3.6*1000000*landbouw!B17/100</f>
        <v>310.80961995219218</v>
      </c>
      <c r="K5" s="17"/>
      <c r="L5" s="17">
        <f>L6*(-1)</f>
        <v>4455</v>
      </c>
      <c r="M5" s="17"/>
      <c r="N5" s="17">
        <f>N6*(-1)</f>
        <v>0</v>
      </c>
      <c r="O5" s="17"/>
      <c r="P5" s="17"/>
      <c r="R5" s="32"/>
    </row>
    <row r="6" spans="1:18">
      <c r="A6" s="16" t="s">
        <v>488</v>
      </c>
      <c r="B6" s="17" t="s">
        <v>211</v>
      </c>
      <c r="C6" s="17">
        <f>'lokale energieproductie'!O92+'lokale energieproductie'!O61</f>
        <v>3573</v>
      </c>
      <c r="D6" s="310">
        <f>('lokale energieproductie'!P61+'lokale energieproductie'!P92)*(-1)</f>
        <v>-1800.0000000000005</v>
      </c>
      <c r="E6" s="248"/>
      <c r="F6" s="310">
        <f>('lokale energieproductie'!S61+'lokale energieproductie'!S92)*(-1)</f>
        <v>-1485</v>
      </c>
      <c r="G6" s="249"/>
      <c r="H6" s="248"/>
      <c r="I6" s="248"/>
      <c r="J6" s="248"/>
      <c r="K6" s="248"/>
      <c r="L6" s="310">
        <f>('lokale energieproductie'!T61+'lokale energieproductie'!U61+'lokale energieproductie'!T92+'lokale energieproductie'!U92)*(-1)</f>
        <v>-4455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2145.3118775164421</v>
      </c>
      <c r="C8" s="21">
        <f>C5+C6</f>
        <v>3573</v>
      </c>
      <c r="D8" s="21">
        <f>MAX((D5+D6),0)</f>
        <v>0</v>
      </c>
      <c r="E8" s="21">
        <f>MAX((E5+E6),0)</f>
        <v>63.057268618986015</v>
      </c>
      <c r="F8" s="21">
        <f>MAX((F5+F6),0)</f>
        <v>7452.2533551643537</v>
      </c>
      <c r="G8" s="21"/>
      <c r="H8" s="21"/>
      <c r="I8" s="21"/>
      <c r="J8" s="21">
        <f>MAX((J5+J6),0)</f>
        <v>310.80961995219218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0.13723975098341848</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294.42206785212647</v>
      </c>
      <c r="C12" s="23">
        <f ca="1">C8*C10</f>
        <v>412.80125170998633</v>
      </c>
      <c r="D12" s="23">
        <f>D8*D10</f>
        <v>0</v>
      </c>
      <c r="E12" s="23">
        <f>E8*E10</f>
        <v>14.313999976509827</v>
      </c>
      <c r="F12" s="23">
        <f>F8*F10</f>
        <v>1989.7516458288826</v>
      </c>
      <c r="G12" s="23"/>
      <c r="H12" s="23"/>
      <c r="I12" s="23"/>
      <c r="J12" s="23">
        <f>J8*J10</f>
        <v>110.02660546307602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0.30442648613033313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365.52014607805216</v>
      </c>
      <c r="C26" s="247">
        <f>B26*'GWP N2O_CH4'!B5</f>
        <v>7675.9230676390953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191.13592017188509</v>
      </c>
      <c r="C27" s="247">
        <f>B27*'GWP N2O_CH4'!B5</f>
        <v>4013.854323609587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4.5159477006992379</v>
      </c>
      <c r="C28" s="247">
        <f>B28*'GWP N2O_CH4'!B4</f>
        <v>1399.9437872167637</v>
      </c>
      <c r="D28" s="50"/>
    </row>
    <row r="29" spans="1:4">
      <c r="A29" s="41" t="s">
        <v>277</v>
      </c>
      <c r="B29" s="247">
        <f>B34*'ha_N2O bodem landbouw'!B4</f>
        <v>10.960933051834232</v>
      </c>
      <c r="C29" s="247">
        <f>B29*'GWP N2O_CH4'!B4</f>
        <v>3397.889246068612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2.501247149372862E-3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1.9223335656578909E-4</v>
      </c>
      <c r="C5" s="463" t="s">
        <v>211</v>
      </c>
      <c r="D5" s="448">
        <f>SUM(D6:D11)</f>
        <v>6.5563035397591687E-4</v>
      </c>
      <c r="E5" s="448">
        <f>SUM(E6:E11)</f>
        <v>1.0091448876158992E-3</v>
      </c>
      <c r="F5" s="461" t="s">
        <v>211</v>
      </c>
      <c r="G5" s="448">
        <f>SUM(G6:G11)</f>
        <v>0.48733042647297098</v>
      </c>
      <c r="H5" s="448">
        <f>SUM(H6:H11)</f>
        <v>7.600176479104008E-2</v>
      </c>
      <c r="I5" s="463" t="s">
        <v>211</v>
      </c>
      <c r="J5" s="463" t="s">
        <v>211</v>
      </c>
      <c r="K5" s="463" t="s">
        <v>211</v>
      </c>
      <c r="L5" s="463" t="s">
        <v>211</v>
      </c>
      <c r="M5" s="448">
        <f>SUM(M6:M11)</f>
        <v>3.0714865411934831E-2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4.4024545260237187E-5</v>
      </c>
      <c r="C6" s="449"/>
      <c r="D6" s="892">
        <f>vkm_2011_GW_PW*SUMIFS(TableVerdeelsleutelVkm[CNG],TableVerdeelsleutelVkm[Voertuigtype],"Lichte voertuigen")*SUMIFS(TableECFTransport[EnergieConsumptieFactor (PJ per km)],TableECFTransport[Index],CONCATENATE($A6,"_CNG_CNG"))</f>
        <v>1.3204836799011536E-4</v>
      </c>
      <c r="E6" s="892">
        <f>vkm_2011_GW_PW*SUMIFS(TableVerdeelsleutelVkm[LPG],TableVerdeelsleutelVkm[Voertuigtype],"Lichte voertuigen")*SUMIFS(TableECFTransport[EnergieConsumptieFactor (PJ per km)],TableECFTransport[Index],CONCATENATE($A6,"_LPG_LPG"))</f>
        <v>1.8039703848778276E-4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4.6642404624165655E-2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1.5018982439601212E-2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3.1681168212021149E-3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3.1567091874192058E-2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9.6210081566875547E-6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1.8446743478049783E-3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2.667868677432321E-5</v>
      </c>
      <c r="C8" s="449"/>
      <c r="D8" s="451">
        <f>vkm_2011_NGW_PW*SUMIFS(TableVerdeelsleutelVkm[CNG],TableVerdeelsleutelVkm[Voertuigtype],"Lichte voertuigen")*SUMIFS(TableECFTransport[EnergieConsumptieFactor (PJ per km)],TableECFTransport[Index],CONCATENATE($A8,"_CNG_CNG"))</f>
        <v>1.4227778663112301E-4</v>
      </c>
      <c r="E8" s="451">
        <f>vkm_2011_NGW_PW*SUMIFS(TableVerdeelsleutelVkm[LPG],TableVerdeelsleutelVkm[Voertuigtype],"Lichte voertuigen")*SUMIFS(TableECFTransport[EnergieConsumptieFactor (PJ per km)],TableECFTransport[Index],CONCATENATE($A8,"_LPG_LPG"))</f>
        <v>1.8001042972157365E-4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4.3372634446653575E-2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1.5725807774386244E-2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2.9979162213258892E-3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2.0113546793372787E-2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5.7710537683055592E-6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1.175357224081283E-3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1.215301245312287E-4</v>
      </c>
      <c r="C10" s="449"/>
      <c r="D10" s="451">
        <f>vkm_2011_SW_PW*SUMIFS(TableVerdeelsleutelVkm[CNG],TableVerdeelsleutelVkm[Voertuigtype],"Lichte voertuigen")*SUMIFS(TableECFTransport[EnergieConsumptieFactor (PJ per km)],TableECFTransport[Index],CONCATENATE($A10,"_CNG_CNG"))</f>
        <v>3.8130419935467844E-4</v>
      </c>
      <c r="E10" s="451">
        <f>vkm_2011_SW_PW*SUMIFS(TableVerdeelsleutelVkm[LPG],TableVerdeelsleutelVkm[Voertuigtype],"Lichte voertuigen")*SUMIFS(TableECFTransport[EnergieConsumptieFactor (PJ per km)],TableECFTransport[Index],CONCATENATE($A10,"_LPG_LPG"))</f>
        <v>6.4873741940654273E-4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0.14953544501601404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4.5177040638735518E-2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1.0069278280575134E-2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0.1960993037185729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6.4541876392116692E-5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1.1459522516945434E-2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53.398154601608077</v>
      </c>
      <c r="C14" s="21"/>
      <c r="D14" s="21">
        <f t="shared" ref="D14:M14" si="0">((D5)*10^9/3600)+D12</f>
        <v>182.11954277108802</v>
      </c>
      <c r="E14" s="21">
        <f t="shared" si="0"/>
        <v>280.31802433774976</v>
      </c>
      <c r="F14" s="21"/>
      <c r="G14" s="21">
        <f t="shared" si="0"/>
        <v>135369.56290915859</v>
      </c>
      <c r="H14" s="21">
        <f t="shared" si="0"/>
        <v>21111.601330844467</v>
      </c>
      <c r="I14" s="21"/>
      <c r="J14" s="21"/>
      <c r="K14" s="21"/>
      <c r="L14" s="21"/>
      <c r="M14" s="21">
        <f t="shared" si="0"/>
        <v>8531.9070588707855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0.13723975098341848</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7.3283494404987737</v>
      </c>
      <c r="C18" s="23"/>
      <c r="D18" s="23">
        <f t="shared" ref="D18:M18" si="1">D14*D16</f>
        <v>36.788147639759785</v>
      </c>
      <c r="E18" s="23">
        <f t="shared" si="1"/>
        <v>63.632191524669196</v>
      </c>
      <c r="F18" s="23"/>
      <c r="G18" s="23">
        <f t="shared" si="1"/>
        <v>36143.673296745343</v>
      </c>
      <c r="H18" s="23">
        <f t="shared" si="1"/>
        <v>5256.7887313802721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4.9432883670477894E-3</v>
      </c>
      <c r="H50" s="321">
        <f t="shared" si="2"/>
        <v>0</v>
      </c>
      <c r="I50" s="321">
        <f t="shared" si="2"/>
        <v>0</v>
      </c>
      <c r="J50" s="321">
        <f t="shared" si="2"/>
        <v>0</v>
      </c>
      <c r="K50" s="321">
        <f t="shared" si="2"/>
        <v>0</v>
      </c>
      <c r="L50" s="321">
        <f t="shared" si="2"/>
        <v>0</v>
      </c>
      <c r="M50" s="321">
        <f t="shared" si="2"/>
        <v>2.8075695672422719E-4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4.9432883670477894E-3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2.8075695672422719E-4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1373.135657513275</v>
      </c>
      <c r="H54" s="21">
        <f t="shared" si="3"/>
        <v>0</v>
      </c>
      <c r="I54" s="21">
        <f t="shared" si="3"/>
        <v>0</v>
      </c>
      <c r="J54" s="21">
        <f t="shared" si="3"/>
        <v>0</v>
      </c>
      <c r="K54" s="21">
        <f t="shared" si="3"/>
        <v>0</v>
      </c>
      <c r="L54" s="21">
        <f t="shared" si="3"/>
        <v>0</v>
      </c>
      <c r="M54" s="21">
        <f t="shared" si="3"/>
        <v>77.988043534507554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0.13723975098341848</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366.62722055604445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14296.319439613448</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5030.3908060631775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3006</v>
      </c>
      <c r="C8" s="570">
        <f>B101</f>
        <v>822.43502051983614</v>
      </c>
      <c r="D8" s="1044"/>
      <c r="E8" s="1044">
        <f>E101</f>
        <v>678.50889192886461</v>
      </c>
      <c r="F8" s="1045"/>
      <c r="G8" s="571"/>
      <c r="H8" s="1044">
        <f>I101</f>
        <v>0</v>
      </c>
      <c r="I8" s="1044">
        <f>G101+F101</f>
        <v>2035.5266757865938</v>
      </c>
      <c r="J8" s="1044">
        <f>H101+D101+C101</f>
        <v>0</v>
      </c>
      <c r="K8" s="1044"/>
      <c r="L8" s="1044"/>
      <c r="M8" s="1044"/>
      <c r="N8" s="572"/>
      <c r="O8" s="573">
        <f>C8*$C$12+D8*$D$12+E8*$E$12+F8*$F$12+G8*$G$12+H8*$H$12+I8*$I$12+J8*$J$12</f>
        <v>347.29374829001381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22332.710245676626</v>
      </c>
      <c r="C10" s="583">
        <f t="shared" ref="C10:L10" si="0">SUM(C8:C9)</f>
        <v>822.43502051983614</v>
      </c>
      <c r="D10" s="583">
        <f t="shared" si="0"/>
        <v>0</v>
      </c>
      <c r="E10" s="583">
        <f t="shared" si="0"/>
        <v>678.50889192886461</v>
      </c>
      <c r="F10" s="583">
        <f t="shared" si="0"/>
        <v>0</v>
      </c>
      <c r="G10" s="583">
        <f t="shared" si="0"/>
        <v>0</v>
      </c>
      <c r="H10" s="583">
        <f t="shared" si="0"/>
        <v>0</v>
      </c>
      <c r="I10" s="583">
        <f t="shared" si="0"/>
        <v>2035.5266757865938</v>
      </c>
      <c r="J10" s="583">
        <f t="shared" si="0"/>
        <v>0</v>
      </c>
      <c r="K10" s="583">
        <f t="shared" si="0"/>
        <v>0</v>
      </c>
      <c r="L10" s="583">
        <f t="shared" si="0"/>
        <v>0</v>
      </c>
      <c r="M10" s="1047"/>
      <c r="N10" s="1047"/>
      <c r="O10" s="584">
        <f>SUM(O4:O9)</f>
        <v>347.29374829001381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3573</v>
      </c>
      <c r="C17" s="595">
        <f>B102</f>
        <v>977.56497948016431</v>
      </c>
      <c r="D17" s="596"/>
      <c r="E17" s="596">
        <f>E102</f>
        <v>806.49110807113539</v>
      </c>
      <c r="F17" s="1050"/>
      <c r="G17" s="597"/>
      <c r="H17" s="595">
        <f>I102</f>
        <v>0</v>
      </c>
      <c r="I17" s="596">
        <f>G102+F102</f>
        <v>2419.4733242134062</v>
      </c>
      <c r="J17" s="596">
        <f>H102+D102+C102</f>
        <v>0</v>
      </c>
      <c r="K17" s="596"/>
      <c r="L17" s="596"/>
      <c r="M17" s="596"/>
      <c r="N17" s="1051"/>
      <c r="O17" s="598">
        <f>C17*$C$22+E17*$E$22+H17*$H$22+I17*$I$22+J17*$J$22+D17*$D$22+F17*$F$22+G17*$G$22+K17*$K$22+L17*$L$22</f>
        <v>412.80125170998633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3573</v>
      </c>
      <c r="C20" s="582">
        <f>SUM(C17:C19)</f>
        <v>977.56497948016431</v>
      </c>
      <c r="D20" s="582">
        <f t="shared" ref="D20:L20" si="1">SUM(D17:D19)</f>
        <v>0</v>
      </c>
      <c r="E20" s="582">
        <f t="shared" si="1"/>
        <v>806.49110807113539</v>
      </c>
      <c r="F20" s="582">
        <f t="shared" si="1"/>
        <v>0</v>
      </c>
      <c r="G20" s="582">
        <f t="shared" si="1"/>
        <v>0</v>
      </c>
      <c r="H20" s="582">
        <f t="shared" si="1"/>
        <v>0</v>
      </c>
      <c r="I20" s="582">
        <f t="shared" si="1"/>
        <v>2419.4733242134062</v>
      </c>
      <c r="J20" s="582">
        <f t="shared" si="1"/>
        <v>0</v>
      </c>
      <c r="K20" s="582">
        <f t="shared" si="1"/>
        <v>0</v>
      </c>
      <c r="L20" s="582">
        <f t="shared" si="1"/>
        <v>0</v>
      </c>
      <c r="M20" s="582"/>
      <c r="N20" s="582"/>
      <c r="O20" s="601">
        <f>SUM(O17:O19)</f>
        <v>412.80125170998633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46013</v>
      </c>
      <c r="C28" s="796">
        <v>9150</v>
      </c>
      <c r="D28" s="653" t="s">
        <v>881</v>
      </c>
      <c r="E28" s="652" t="s">
        <v>882</v>
      </c>
      <c r="F28" s="652" t="s">
        <v>883</v>
      </c>
      <c r="G28" s="652" t="s">
        <v>884</v>
      </c>
      <c r="H28" s="652" t="s">
        <v>885</v>
      </c>
      <c r="I28" s="652" t="s">
        <v>882</v>
      </c>
      <c r="J28" s="795">
        <v>40142</v>
      </c>
      <c r="K28" s="795">
        <v>40142</v>
      </c>
      <c r="L28" s="652" t="s">
        <v>886</v>
      </c>
      <c r="M28" s="652">
        <v>528</v>
      </c>
      <c r="N28" s="652">
        <v>2376</v>
      </c>
      <c r="O28" s="652">
        <v>2673</v>
      </c>
      <c r="P28" s="652">
        <v>0</v>
      </c>
      <c r="Q28" s="652">
        <v>0</v>
      </c>
      <c r="R28" s="652">
        <v>0</v>
      </c>
      <c r="S28" s="652">
        <v>1485</v>
      </c>
      <c r="T28" s="652">
        <v>4455</v>
      </c>
      <c r="U28" s="652">
        <v>0</v>
      </c>
      <c r="V28" s="652">
        <v>0</v>
      </c>
      <c r="W28" s="652">
        <v>0</v>
      </c>
      <c r="X28" s="652">
        <v>10</v>
      </c>
      <c r="Y28" s="652" t="s">
        <v>112</v>
      </c>
      <c r="Z28" s="654" t="s">
        <v>112</v>
      </c>
    </row>
    <row r="29" spans="1:26" s="606" customFormat="1" ht="25.5">
      <c r="A29" s="605"/>
      <c r="B29" s="796">
        <v>46013</v>
      </c>
      <c r="C29" s="796">
        <v>9150</v>
      </c>
      <c r="D29" s="653" t="s">
        <v>887</v>
      </c>
      <c r="E29" s="652" t="s">
        <v>888</v>
      </c>
      <c r="F29" s="652" t="s">
        <v>889</v>
      </c>
      <c r="G29" s="652" t="s">
        <v>884</v>
      </c>
      <c r="H29" s="652" t="s">
        <v>890</v>
      </c>
      <c r="I29" s="652" t="s">
        <v>888</v>
      </c>
      <c r="J29" s="795">
        <v>40991</v>
      </c>
      <c r="K29" s="795">
        <v>41091</v>
      </c>
      <c r="L29" s="652" t="s">
        <v>891</v>
      </c>
      <c r="M29" s="652">
        <v>140</v>
      </c>
      <c r="N29" s="652">
        <v>630.00000000000011</v>
      </c>
      <c r="O29" s="652">
        <v>900.00000000000023</v>
      </c>
      <c r="P29" s="652">
        <v>1800.0000000000005</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668</v>
      </c>
      <c r="N58" s="610">
        <f>SUM(N28:N57)</f>
        <v>3006</v>
      </c>
      <c r="O58" s="610">
        <f t="shared" ref="O58:W58" si="2">SUM(O28:O57)</f>
        <v>3573</v>
      </c>
      <c r="P58" s="610">
        <f t="shared" si="2"/>
        <v>1800.0000000000005</v>
      </c>
      <c r="Q58" s="610">
        <f t="shared" si="2"/>
        <v>0</v>
      </c>
      <c r="R58" s="610">
        <f t="shared" si="2"/>
        <v>0</v>
      </c>
      <c r="S58" s="610">
        <f t="shared" si="2"/>
        <v>1485</v>
      </c>
      <c r="T58" s="610">
        <f t="shared" si="2"/>
        <v>4455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668</v>
      </c>
      <c r="N61" s="615">
        <f t="shared" si="4"/>
        <v>3006</v>
      </c>
      <c r="O61" s="615">
        <f t="shared" si="4"/>
        <v>3573</v>
      </c>
      <c r="P61" s="615">
        <f t="shared" si="4"/>
        <v>1800.0000000000005</v>
      </c>
      <c r="Q61" s="615">
        <f t="shared" si="4"/>
        <v>0</v>
      </c>
      <c r="R61" s="615">
        <f t="shared" si="4"/>
        <v>0</v>
      </c>
      <c r="S61" s="615">
        <f t="shared" si="4"/>
        <v>1485</v>
      </c>
      <c r="T61" s="615">
        <f t="shared" si="4"/>
        <v>4455</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0.54309165526675784</v>
      </c>
      <c r="C98" s="635">
        <f>IF(ISERROR(N58/(O58+N58)),0,N58/(N58+O58))</f>
        <v>0.45690834473324216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822.43502051983614</v>
      </c>
      <c r="C101" s="644">
        <f t="shared" si="9"/>
        <v>0</v>
      </c>
      <c r="D101" s="644">
        <f t="shared" si="9"/>
        <v>0</v>
      </c>
      <c r="E101" s="644">
        <f t="shared" si="9"/>
        <v>678.50889192886461</v>
      </c>
      <c r="F101" s="644">
        <f t="shared" si="9"/>
        <v>2035.5266757865938</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977.56497948016431</v>
      </c>
      <c r="C102" s="647">
        <f t="shared" si="10"/>
        <v>0</v>
      </c>
      <c r="D102" s="647">
        <f t="shared" si="10"/>
        <v>0</v>
      </c>
      <c r="E102" s="647">
        <f t="shared" si="10"/>
        <v>806.49110807113539</v>
      </c>
      <c r="F102" s="647">
        <f t="shared" si="10"/>
        <v>2419.4733242134062</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2019-08-12T08:35:00Z</dcterms:modified>
</cp:coreProperties>
</file>