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O26" s="1"/>
  <c r="O33" s="1"/>
  <c r="I23"/>
  <c r="I33" s="1"/>
  <c r="I15"/>
  <c r="J4"/>
  <c r="K11" i="14"/>
  <c r="O11"/>
  <c r="N4" i="48"/>
  <c r="N22" s="1"/>
  <c r="M10"/>
  <c r="M28" s="1"/>
  <c r="N19" i="14"/>
  <c r="H19"/>
  <c r="G10" i="48"/>
  <c r="E7"/>
  <c r="E25" s="1"/>
  <c r="F24" i="14"/>
  <c r="F26" s="1"/>
  <c r="Q63"/>
  <c r="P16"/>
  <c r="P27" s="1"/>
  <c r="M14" i="22"/>
  <c r="M18" s="1"/>
  <c r="N50" i="14" s="1"/>
  <c r="N52" s="1"/>
  <c r="N61" s="1"/>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F10"/>
  <c r="E5" i="48"/>
  <c r="E23" s="1"/>
  <c r="R19" i="14"/>
  <c r="G28" i="48"/>
  <c r="Q10"/>
  <c r="J22"/>
  <c r="E22"/>
  <c r="Q4"/>
  <c r="N20" i="14"/>
  <c r="N22" s="1"/>
  <c r="N27" s="1"/>
  <c r="N63" s="1"/>
  <c r="O15" i="48"/>
  <c r="Q7"/>
  <c r="M15"/>
  <c r="M27"/>
  <c r="M33" s="1"/>
  <c r="H15"/>
  <c r="H27"/>
  <c r="H33" s="1"/>
  <c r="R24" i="14"/>
  <c r="R26" s="1"/>
  <c r="N18" i="16"/>
  <c r="E20" i="15"/>
  <c r="F40" i="14" s="1"/>
  <c r="F18" i="16"/>
  <c r="J18"/>
  <c r="E18"/>
  <c r="G18" i="22"/>
  <c r="H50" i="14" s="1"/>
  <c r="H52" s="1"/>
  <c r="H61" s="1"/>
  <c r="H18" i="22"/>
  <c r="I50" i="14" s="1"/>
  <c r="I52" s="1"/>
  <c r="I61" s="1"/>
  <c r="I63" s="1"/>
  <c r="F13" l="1"/>
  <c r="E8" i="48"/>
  <c r="G27"/>
  <c r="G33" s="1"/>
  <c r="G15"/>
  <c r="J8"/>
  <c r="J26" s="1"/>
  <c r="J33" s="1"/>
  <c r="K13" i="14"/>
  <c r="H63"/>
  <c r="R20"/>
  <c r="R22" s="1"/>
  <c r="J15" i="48"/>
  <c r="K16" i="14"/>
  <c r="K27" s="1"/>
  <c r="K63" s="1"/>
  <c r="F16"/>
  <c r="F27" s="1"/>
  <c r="Q9" i="48"/>
  <c r="N8"/>
  <c r="N26" s="1"/>
  <c r="O13" i="14"/>
  <c r="F8" i="48"/>
  <c r="G13" i="14"/>
  <c r="R13" s="1"/>
  <c r="E22" i="16"/>
  <c r="F43" i="14" s="1"/>
  <c r="F46" s="1"/>
  <c r="F61" s="1"/>
  <c r="F22" i="16"/>
  <c r="G43" i="14" s="1"/>
  <c r="N22" i="16"/>
  <c r="O43" i="14" s="1"/>
  <c r="J22" i="16"/>
  <c r="K43" i="14" s="1"/>
  <c r="K46" s="1"/>
  <c r="K61" s="1"/>
  <c r="E26" i="48" l="1"/>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<sst xmlns="http://schemas.openxmlformats.org/spreadsheetml/2006/main" count="2508" uniqueCount="931">
  <si>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</si>
  <si>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</si>
  <si>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</si>
  <si>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</si>
  <si>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</si>
  <si>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</si>
  <si>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</si>
  <si>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</si>
  <si>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</si>
  <si>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</si>
  <si>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</si>
  <si>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</si>
  <si>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</si>
  <si>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</si>
  <si>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</si>
  <si>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</si>
  <si>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</si>
  <si>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</si>
  <si>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</si>
  <si>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</si>
  <si>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</si>
  <si>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</si>
  <si>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</si>
  <si>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</si>
  <si>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</si>
  <si>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</si>
  <si>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</si>
  <si>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</si>
  <si>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</si>
  <si>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</si>
  <si>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</si>
  <si>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</si>
  <si>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</si>
  <si>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</si>
  <si>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</si>
  <si>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</si>
  <si>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</si>
  <si>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</si>
  <si>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</si>
  <si>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</si>
  <si>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</si>
  <si>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</si>
  <si>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</si>
  <si>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</si>
  <si>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</si>
  <si>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</si>
  <si>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</si>
  <si>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</si>
  <si>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</si>
  <si>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</si>
  <si>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</si>
  <si>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</si>
  <si>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</si>
  <si>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</si>
  <si>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</si>
  <si>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</si>
  <si>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</si>
  <si>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</si>
  <si>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</si>
  <si>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</si>
  <si>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</si>
  <si>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</si>
  <si>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</si>
  <si>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</si>
  <si>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</si>
  <si>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</si>
  <si>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</si>
  <si>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</si>
  <si>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</si>
  <si>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</si>
  <si>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</si>
  <si>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</si>
  <si>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</si>
  <si>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</si>
  <si>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</si>
  <si>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</si>
  <si>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</si>
  <si>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</si>
  <si>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</si>
  <si>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</si>
  <si>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</si>
  <si>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</si>
  <si>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</si>
  <si>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</si>
  <si>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</si>
  <si>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</si>
  <si>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</si>
  <si>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</si>
  <si>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</si>
  <si>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</si>
  <si>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</si>
  <si>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</si>
  <si>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</si>
  <si>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</si>
  <si>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</si>
  <si>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</si>
  <si>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</si>
  <si>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</si>
  <si>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</si>
  <si>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</si>
  <si>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</si>
  <si>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</si>
  <si>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</si>
  <si>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</si>
  <si>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</si>
  <si>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</si>
  <si>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</si>
  <si>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</si>
  <si>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</si>
  <si>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</si>
  <si>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</si>
  <si>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</si>
  <si>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</si>
  <si>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</si>
  <si>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</si>
  <si>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</si>
  <si>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</si>
  <si>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</si>
  <si>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</si>
  <si>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</si>
  <si>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</si>
  <si>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</si>
  <si>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</si>
  <si>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</si>
  <si>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</si>
  <si>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</si>
  <si>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</si>
  <si>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</si>
  <si>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</si>
  <si>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</si>
  <si>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</si>
  <si>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</si>
  <si>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</si>
  <si>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</si>
  <si>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</si>
  <si>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</si>
  <si>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</si>
  <si>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</si>
  <si>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</si>
  <si>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</si>
  <si>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</si>
  <si>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</si>
  <si>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</si>
  <si>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</si>
  <si>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</si>
  <si>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</si>
  <si>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</si>
  <si>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</si>
  <si>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</si>
  <si>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</si>
  <si>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</si>
  <si>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</si>
  <si>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</si>
  <si>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</si>
  <si>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</si>
  <si>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</si>
  <si>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</si>
  <si>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</si>
  <si>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</si>
  <si>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</si>
  <si>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</si>
  <si>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</si>
  <si>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</si>
  <si>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</si>
  <si>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</si>
  <si>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</si>
  <si>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</si>
  <si>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</si>
  <si>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</si>
  <si>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</si>
  <si>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</si>
  <si>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</si>
  <si>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</si>
  <si>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</si>
  <si>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</si>
  <si>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</si>
  <si>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</si>
  <si>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</si>
  <si>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</si>
  <si>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</si>
  <si>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</si>
  <si>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</si>
  <si>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</si>
  <si>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</si>
  <si>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</si>
  <si>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</si>
  <si>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</si>
  <si>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</si>
  <si>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</si>
  <si>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</si>
  <si>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</si>
  <si>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</si>
  <si>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</si>
  <si>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</si>
  <si>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</si>
  <si>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</si>
  <si>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</si>
  <si>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</si>
  <si>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</si>
  <si>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</si>
  <si>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</si>
  <si>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</si>
  <si>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</si>
  <si>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</si>
  <si>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</si>
  <si>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</si>
  <si>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</si>
  <si>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</si>
  <si>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</si>
  <si>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</si>
  <si>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</si>
  <si>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</si>
  <si>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</si>
  <si>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</si>
  <si>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</si>
  <si>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</si>
  <si>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</si>
  <si>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</si>
  <si>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</si>
  <si>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</si>
  <si>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</si>
  <si>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</si>
  <si>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</si>
  <si>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</si>
  <si>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</si>
  <si>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</si>
  <si>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</si>
  <si>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</si>
  <si>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</si>
  <si>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</si>
  <si>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</si>
  <si>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</si>
  <si>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</si>
  <si>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</si>
  <si>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</si>
  <si>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</si>
  <si>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</si>
  <si>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</si>
  <si>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</si>
  <si>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</si>
  <si>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</si>
  <si>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</si>
  <si>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</si>
  <si>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</si>
  <si>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</si>
  <si>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</si>
  <si>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</si>
  <si>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</si>
  <si>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</si>
  <si>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</si>
  <si>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</si>
  <si>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</si>
  <si>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</si>
  <si>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</si>
  <si>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</si>
  <si>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</si>
  <si>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</si>
  <si>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</si>
  <si>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</si>
  <si>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</si>
  <si>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</si>
  <si>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</si>
  <si>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</si>
  <si>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</si>
  <si>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</si>
  <si>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</si>
  <si>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</si>
  <si>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</si>
  <si>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</si>
  <si>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</si>
  <si>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</si>
  <si>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</si>
  <si>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</si>
  <si>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</si>
  <si>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</si>
  <si>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</si>
  <si>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</si>
  <si>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</si>
  <si>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</si>
  <si>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</si>
  <si>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</si>
  <si>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</si>
  <si>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</si>
  <si>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</si>
  <si>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</si>
  <si>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</si>
  <si>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</si>
  <si>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</si>
  <si>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</si>
  <si>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</si>
  <si>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</si>
  <si>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</si>
  <si>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</si>
  <si>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</si>
  <si>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</si>
  <si>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</si>
  <si>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</si>
  <si>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</si>
  <si>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</si>
  <si>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</si>
  <si>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</si>
  <si>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</si>
  <si>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</si>
  <si>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</si>
  <si>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</si>
  <si>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</si>
  <si>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</si>
  <si>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</si>
  <si>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</si>
  <si>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</si>
  <si>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</si>
  <si>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</si>
  <si>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</si>
  <si>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</si>
  <si>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</si>
  <si>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</si>
  <si>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</si>
  <si>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</si>
  <si>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</si>
  <si>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</si>
  <si>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</si>
  <si>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</si>
  <si>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</si>
  <si>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</si>
  <si>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</si>
  <si>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</si>
  <si>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</si>
  <si>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</si>
  <si>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</si>
  <si>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</si>
  <si>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</si>
  <si>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</si>
  <si>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</si>
  <si>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</si>
  <si>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</si>
  <si>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</si>
  <si>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</si>
  <si>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</si>
  <si>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</si>
  <si>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</si>
  <si>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</si>
  <si>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</si>
  <si>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</si>
  <si>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</si>
  <si>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</si>
  <si>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</si>
  <si>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</si>
  <si>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</si>
  <si>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</si>
  <si>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</si>
  <si>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</si>
  <si>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</si>
  <si>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</si>
  <si>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</si>
  <si>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</si>
  <si>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</si>
  <si>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</si>
  <si>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</si>
  <si>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</si>
  <si>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</si>
  <si>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</si>
  <si>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</si>
  <si>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</si>
  <si>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</si>
  <si>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</si>
  <si>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</si>
  <si>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</si>
  <si>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</si>
  <si>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</si>
  <si>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</si>
  <si>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</si>
  <si>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</si>
  <si>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</si>
  <si>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</si>
  <si>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</si>
  <si>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</si>
  <si>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</si>
  <si>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</si>
  <si>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</si>
  <si>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</si>
  <si>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</si>
  <si>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</si>
  <si>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</si>
  <si>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</si>
  <si>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</si>
  <si>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</si>
  <si>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</si>
  <si>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</si>
  <si>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</si>
  <si>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</si>
  <si>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</si>
  <si>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</si>
  <si>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</si>
  <si>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</si>
  <si>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</si>
  <si>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</si>
  <si>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</si>
  <si>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</si>
  <si>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</si>
  <si>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</si>
  <si>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</si>
  <si>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</si>
  <si>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</si>
  <si>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</si>
  <si>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</si>
  <si>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</si>
  <si>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</si>
  <si>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</si>
  <si>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</si>
  <si>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</si>
  <si>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</si>
  <si>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</si>
  <si>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</si>
  <si>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</si>
  <si>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</si>
  <si>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</si>
  <si>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</si>
  <si>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</si>
  <si>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</si>
  <si>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</si>
  <si>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</si>
  <si>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</si>
  <si>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</si>
  <si>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</si>
  <si>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</si>
  <si>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</si>
  <si>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</si>
  <si>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</si>
  <si>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</si>
  <si>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</si>
  <si>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</si>
  <si>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</si>
  <si>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</si>
  <si>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</si>
  <si>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</si>
  <si>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</si>
  <si>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</si>
  <si>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</si>
  <si>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</si>
  <si>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</si>
  <si>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</si>
  <si>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</si>
  <si>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</si>
  <si>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</si>
  <si>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</si>
  <si>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</si>
  <si>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</si>
  <si>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</si>
  <si>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</si>
  <si>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</si>
  <si>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</si>
  <si>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</si>
  <si>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</si>
  <si>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</si>
  <si>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</si>
  <si>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</si>
  <si>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</si>
  <si>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</si>
  <si>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</si>
  <si>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</si>
  <si>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</si>
  <si>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</si>
  <si>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</si>
  <si>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</si>
  <si>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</si>
  <si>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</si>
  <si>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</si>
  <si>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</si>
  <si>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</si>
  <si>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</si>
  <si>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</si>
  <si>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</si>
  <si>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</si>
  <si>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</si>
  <si>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</si>
  <si>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</si>
  <si>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</si>
  <si>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</si>
  <si>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</si>
  <si>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</si>
  <si>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</si>
  <si>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</si>
  <si>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</si>
  <si>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</si>
  <si>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</si>
  <si>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</si>
  <si>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</si>
  <si>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</si>
  <si>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</si>
  <si>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</si>
  <si>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</si>
  <si>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</si>
  <si>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</si>
  <si>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</si>
  <si>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</si>
  <si>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</si>
  <si>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</si>
  <si>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</si>
  <si>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</si>
  <si>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</si>
  <si>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</si>
  <si>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</si>
  <si>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</si>
  <si>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</si>
  <si>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</si>
  <si>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</si>
  <si>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</si>
  <si>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</si>
  <si>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</si>
  <si>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</si>
  <si>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</si>
  <si>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</si>
  <si>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</si>
  <si>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</si>
  <si>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</si>
  <si>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</si>
  <si>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</si>
  <si>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</si>
  <si>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</si>
  <si>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</si>
  <si>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</si>
  <si>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</si>
  <si>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</si>
  <si>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</si>
  <si>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</si>
  <si>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</si>
  <si>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</si>
  <si>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</si>
  <si>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</si>
  <si>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</si>
  <si>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</si>
  <si>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</si>
  <si>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</si>
  <si>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</si>
  <si>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</si>
  <si>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</si>
  <si>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</si>
  <si>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</si>
  <si>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</si>
  <si>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</si>
  <si>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</si>
  <si>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</si>
  <si>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</si>
  <si>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</si>
  <si>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</si>
  <si>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</si>
  <si>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</si>
  <si>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</si>
  <si>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</si>
  <si>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</si>
  <si>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</si>
  <si>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</si>
  <si>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</si>
  <si>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</si>
  <si>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</si>
  <si>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</si>
  <si>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</si>
  <si>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</si>
  <si>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</si>
  <si>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</si>
  <si>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</si>
  <si>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</si>
  <si>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</si>
  <si>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</si>
  <si>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</si>
  <si>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</si>
  <si>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</si>
  <si>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</si>
  <si>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</si>
  <si>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</si>
  <si>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</si>
  <si>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</si>
  <si>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</si>
  <si>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</si>
  <si>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</si>
  <si>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</si>
  <si>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</si>
  <si>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</si>
  <si>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</si>
  <si>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</si>
  <si>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</si>
  <si>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</si>
  <si>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</si>
  <si>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</si>
  <si>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</si>
  <si>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</si>
  <si>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</si>
  <si>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</si>
  <si>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</si>
  <si>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</si>
  <si>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</si>
  <si>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</si>
  <si>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</si>
  <si>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</si>
  <si>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</si>
  <si>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</si>
  <si>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</si>
  <si>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</si>
  <si>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</si>
  <si>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</si>
  <si>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</si>
  <si>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</si>
  <si>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</si>
  <si>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</si>
  <si>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</si>
  <si>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</si>
  <si>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</si>
  <si>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</si>
  <si>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</si>
  <si>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</si>
  <si>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</si>
  <si>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</si>
  <si>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</si>
  <si>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</si>
  <si>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</si>
  <si>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</si>
  <si>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</si>
  <si>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</si>
  <si>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</si>
  <si>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</si>
  <si>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</si>
  <si>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</si>
  <si>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</si>
  <si>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</si>
  <si>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</si>
  <si>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</si>
  <si>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</si>
  <si>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</si>
  <si>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</si>
  <si>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</si>
  <si>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</si>
  <si>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</si>
  <si>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</si>
  <si>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</si>
  <si>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</si>
  <si>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</si>
  <si>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</si>
  <si>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</si>
  <si>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</si>
  <si>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</si>
  <si>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</si>
  <si>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</si>
  <si>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</si>
  <si>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</si>
  <si>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</si>
  <si>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</si>
  <si>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</si>
  <si>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</si>
  <si>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</si>
  <si>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</si>
  <si>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</si>
  <si>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</si>
  <si>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</si>
  <si>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</si>
  <si>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</si>
  <si>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</si>
  <si>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</si>
  <si>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</si>
  <si>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</si>
  <si>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</si>
  <si>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</si>
  <si>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</si>
  <si>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</si>
  <si>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</si>
  <si>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</si>
  <si>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</si>
  <si>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</si>
  <si>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</si>
  <si>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</si>
  <si>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</si>
  <si>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</si>
  <si>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</si>
  <si>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</si>
  <si>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</si>
  <si>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</si>
  <si>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</si>
  <si>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</si>
  <si>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</si>
  <si>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</si>
  <si>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</si>
  <si>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</si>
  <si>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</si>
  <si>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</si>
  <si>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</si>
  <si>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</si>
  <si>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</si>
  <si>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</si>
  <si>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</si>
  <si>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</si>
  <si>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</si>
  <si>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</si>
  <si>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</si>
  <si>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</si>
  <si>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</si>
  <si>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</si>
  <si>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</si>
  <si>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</si>
  <si>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</si>
  <si>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</si>
  <si>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</si>
  <si>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</si>
  <si>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</si>
  <si>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</si>
  <si>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</si>
  <si>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</si>
  <si>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</si>
  <si>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</si>
  <si>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</si>
  <si>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</si>
  <si>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</si>
  <si>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</si>
  <si>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</si>
  <si>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</si>
  <si>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</si>
  <si>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</si>
  <si>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</si>
  <si>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</si>
  <si>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</si>
  <si>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</si>
  <si>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</si>
  <si>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</si>
  <si>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</si>
  <si>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</si>
  <si>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</si>
  <si>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</si>
  <si>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</si>
  <si>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</si>
  <si>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</si>
  <si>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</si>
  <si>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</si>
  <si>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</si>
  <si>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</si>
  <si>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</si>
  <si>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</si>
  <si>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</si>
  <si>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</si>
  <si>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</si>
  <si>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</si>
  <si>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</si>
  <si>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</si>
  <si>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</si>
  <si>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</si>
  <si>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</si>
  <si>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</si>
  <si>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</si>
  <si>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</si>
  <si>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</si>
  <si>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</si>
  <si>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</si>
  <si>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</si>
  <si>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</si>
  <si>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</si>
  <si>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</si>
  <si>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</si>
  <si>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</si>
  <si>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</si>
  <si>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</si>
  <si>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</si>
  <si>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</si>
  <si>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</si>
  <si>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</si>
  <si>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</si>
  <si>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</si>
  <si>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</si>
  <si>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</si>
  <si>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</si>
  <si>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</si>
  <si>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</si>
  <si>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</si>
  <si>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</si>
  <si>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</si>
  <si>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</si>
  <si>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</si>
  <si>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</si>
  <si>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</si>
  <si>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</si>
  <si>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</si>
  <si>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</si>
  <si>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</si>
  <si>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</si>
  <si>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</si>
  <si>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</si>
  <si>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</si>
  <si>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</si>
  <si>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</si>
  <si>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</si>
  <si>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</si>
  <si>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</si>
  <si>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</si>
  <si>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</si>
  <si>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</si>
  <si>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</si>
  <si>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</si>
  <si>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</si>
  <si>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</si>
  <si>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</si>
  <si>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</si>
  <si>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</si>
  <si>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</si>
  <si>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</si>
  <si>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</si>
  <si>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</si>
  <si>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</si>
  <si>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</si>
  <si>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</si>
  <si>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</si>
  <si>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</si>
  <si>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</si>
  <si>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</si>
  <si>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</si>
  <si>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</si>
  <si>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</si>
  <si>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</si>
  <si>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</si>
  <si>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</si>
  <si>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</si>
  <si>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</si>
  <si>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</si>
  <si>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</si>
  <si>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</si>
  <si>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</si>
  <si>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</si>
  <si>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</si>
  <si>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</si>
  <si>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</si>
  <si>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</si>
  <si>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</si>
  <si>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</si>
  <si>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</si>
  <si>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</si>
  <si>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</si>
  <si>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</si>
  <si>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</si>
  <si>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</si>
  <si>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</si>
  <si>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</si>
  <si>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</si>
  <si>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</si>
  <si>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</si>
  <si>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</si>
  <si>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</si>
  <si>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</si>
  <si>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</si>
  <si>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</si>
  <si>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</si>
  <si>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</si>
  <si>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</si>
  <si>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</si>
  <si>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</si>
  <si>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</si>
  <si>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</si>
  <si>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</si>
  <si>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</si>
  <si>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</si>
  <si>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</si>
  <si>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</si>
  <si>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</si>
  <si>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</si>
  <si>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</si>
  <si>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</si>
  <si>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</si>
  <si>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</si>
  <si>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</si>
  <si>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</si>
  <si>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</si>
  <si>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</si>
  <si>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</si>
  <si>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</si>
  <si>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</si>
  <si>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</si>
  <si>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</si>
  <si>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</si>
  <si>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</si>
  <si>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46003</t>
  </si>
  <si>
    <t>BEVEREN</t>
  </si>
  <si>
    <t>Eandis (januari 2018); Infrax (juni 2018)</t>
  </si>
  <si>
    <t>MOW (september 2017)</t>
  </si>
  <si>
    <t>referentietaak LNE (2017); Jaarverslag De Lijn (2016)</t>
  </si>
  <si>
    <t>VEA (april 2018)</t>
  </si>
  <si>
    <t>VEA (januari 2017)</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</si>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</sst>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344222.20744509919</c:v>
                </c:pt>
                <c:pt idx="1">
                  <c:v>316265.14263232611</c:v>
                </c:pt>
                <c:pt idx="2">
                  <c:v>2951.721</c:v>
                </c:pt>
                <c:pt idx="3">
                  <c:v>165186.30436809972</c:v>
                </c:pt>
                <c:pt idx="4">
                  <c:v>155961.13181116563</c:v>
                </c:pt>
                <c:pt idx="5">
                  <c:v>1059692.39961821</c:v>
                </c:pt>
                <c:pt idx="6">
                  <c:v>3945.6123080589396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344222.20744509919</c:v>
                </c:pt>
                <c:pt idx="1">
                  <c:v>316265.14263232611</c:v>
                </c:pt>
                <c:pt idx="2">
                  <c:v>2951.721</c:v>
                </c:pt>
                <c:pt idx="3">
                  <c:v>165186.30436809972</c:v>
                </c:pt>
                <c:pt idx="4">
                  <c:v>155961.13181116563</c:v>
                </c:pt>
                <c:pt idx="5">
                  <c:v>1059692.39961821</c:v>
                </c:pt>
                <c:pt idx="6">
                  <c:v>3945.6123080589396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54269.992287782792</c:v>
                </c:pt>
                <c:pt idx="2">
                  <c:v>47457.346513054938</c:v>
                </c:pt>
                <c:pt idx="3">
                  <c:v>326.74779137632237</c:v>
                </c:pt>
                <c:pt idx="4">
                  <c:v>29827.941925404979</c:v>
                </c:pt>
                <c:pt idx="5">
                  <c:v>23483.680664858188</c:v>
                </c:pt>
                <c:pt idx="6">
                  <c:v>265820.16288801242</c:v>
                </c:pt>
                <c:pt idx="7">
                  <c:v>996.86117238032477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54269.992287782792</c:v>
                </c:pt>
                <c:pt idx="2">
                  <c:v>47457.346513054938</c:v>
                </c:pt>
                <c:pt idx="3">
                  <c:v>326.74779137632237</c:v>
                </c:pt>
                <c:pt idx="4">
                  <c:v>29827.941925404979</c:v>
                </c:pt>
                <c:pt idx="5">
                  <c:v>23483.680664858188</c:v>
                </c:pt>
                <c:pt idx="6">
                  <c:v>265820.16288801242</c:v>
                </c:pt>
                <c:pt idx="7">
                  <c:v>996.86117238032477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0.11069738345064536</v>
      </c>
      <c r="C17" s="524">
        <f ca="1">'EF ele_warmte'!B22</f>
        <v>0.14905164010723015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0.11069738345064536</v>
      </c>
      <c r="C29" s="525">
        <f ca="1">'EF ele_warmte'!B22</f>
        <v>0.14905164010723015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19723</v>
      </c>
      <c r="C9" s="342">
        <v>20115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6912.35</v>
      </c>
    </row>
    <row r="15" spans="1:6">
      <c r="A15" s="348" t="s">
        <v>184</v>
      </c>
      <c r="B15" s="334">
        <v>42</v>
      </c>
    </row>
    <row r="16" spans="1:6">
      <c r="A16" s="348" t="s">
        <v>6</v>
      </c>
      <c r="B16" s="334">
        <v>1857</v>
      </c>
    </row>
    <row r="17" spans="1:6">
      <c r="A17" s="348" t="s">
        <v>7</v>
      </c>
      <c r="B17" s="334">
        <v>2333</v>
      </c>
    </row>
    <row r="18" spans="1:6">
      <c r="A18" s="348" t="s">
        <v>8</v>
      </c>
      <c r="B18" s="334">
        <v>3237</v>
      </c>
    </row>
    <row r="19" spans="1:6">
      <c r="A19" s="348" t="s">
        <v>9</v>
      </c>
      <c r="B19" s="334">
        <v>3035</v>
      </c>
    </row>
    <row r="20" spans="1:6">
      <c r="A20" s="348" t="s">
        <v>10</v>
      </c>
      <c r="B20" s="334">
        <v>1670</v>
      </c>
    </row>
    <row r="21" spans="1:6">
      <c r="A21" s="348" t="s">
        <v>11</v>
      </c>
      <c r="B21" s="334">
        <v>21713</v>
      </c>
    </row>
    <row r="22" spans="1:6">
      <c r="A22" s="348" t="s">
        <v>12</v>
      </c>
      <c r="B22" s="334">
        <v>45075</v>
      </c>
    </row>
    <row r="23" spans="1:6">
      <c r="A23" s="348" t="s">
        <v>13</v>
      </c>
      <c r="B23" s="334">
        <v>830</v>
      </c>
    </row>
    <row r="24" spans="1:6">
      <c r="A24" s="348" t="s">
        <v>14</v>
      </c>
      <c r="B24" s="334">
        <v>34</v>
      </c>
    </row>
    <row r="25" spans="1:6">
      <c r="A25" s="348" t="s">
        <v>15</v>
      </c>
      <c r="B25" s="334">
        <v>5021</v>
      </c>
    </row>
    <row r="26" spans="1:6">
      <c r="A26" s="348" t="s">
        <v>16</v>
      </c>
      <c r="B26" s="334">
        <v>115</v>
      </c>
    </row>
    <row r="27" spans="1:6">
      <c r="A27" s="348" t="s">
        <v>17</v>
      </c>
      <c r="B27" s="334">
        <v>220</v>
      </c>
    </row>
    <row r="28" spans="1:6" s="356" customFormat="1">
      <c r="A28" s="355" t="s">
        <v>18</v>
      </c>
      <c r="B28" s="355">
        <v>617578</v>
      </c>
    </row>
    <row r="29" spans="1:6">
      <c r="A29" s="355" t="s">
        <v>744</v>
      </c>
      <c r="B29" s="355">
        <v>384</v>
      </c>
      <c r="C29" s="356"/>
      <c r="D29" s="356"/>
      <c r="E29" s="356"/>
      <c r="F29" s="356"/>
    </row>
    <row r="30" spans="1:6">
      <c r="A30" s="341" t="s">
        <v>745</v>
      </c>
      <c r="B30" s="341">
        <v>68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136138.18088313899</v>
      </c>
    </row>
    <row r="36" spans="1:6">
      <c r="A36" s="348" t="s">
        <v>25</v>
      </c>
      <c r="B36" s="348" t="s">
        <v>27</v>
      </c>
      <c r="C36" s="334">
        <v>0</v>
      </c>
      <c r="D36" s="334">
        <v>0</v>
      </c>
      <c r="E36" s="334">
        <v>37</v>
      </c>
      <c r="F36" s="334">
        <v>2042973.97760564</v>
      </c>
    </row>
    <row r="37" spans="1:6">
      <c r="A37" s="348" t="s">
        <v>25</v>
      </c>
      <c r="B37" s="348" t="s">
        <v>28</v>
      </c>
      <c r="C37" s="334">
        <v>0</v>
      </c>
      <c r="D37" s="334">
        <v>0</v>
      </c>
      <c r="E37" s="334">
        <v>0</v>
      </c>
      <c r="F37" s="334">
        <v>0</v>
      </c>
    </row>
    <row r="38" spans="1:6">
      <c r="A38" s="348" t="s">
        <v>25</v>
      </c>
      <c r="B38" s="348" t="s">
        <v>29</v>
      </c>
      <c r="C38" s="334">
        <v>5</v>
      </c>
      <c r="D38" s="334">
        <v>17429438.204817299</v>
      </c>
      <c r="E38" s="334">
        <v>1</v>
      </c>
      <c r="F38" s="334">
        <v>2190.5829006375998</v>
      </c>
    </row>
    <row r="39" spans="1:6">
      <c r="A39" s="348" t="s">
        <v>30</v>
      </c>
      <c r="B39" s="348" t="s">
        <v>31</v>
      </c>
      <c r="C39" s="334">
        <v>14765</v>
      </c>
      <c r="D39" s="334">
        <v>225442511.86030501</v>
      </c>
      <c r="E39" s="334">
        <v>19853</v>
      </c>
      <c r="F39" s="334">
        <v>83469649.5874791</v>
      </c>
    </row>
    <row r="40" spans="1:6">
      <c r="A40" s="348" t="s">
        <v>30</v>
      </c>
      <c r="B40" s="348" t="s">
        <v>29</v>
      </c>
      <c r="C40" s="334">
        <v>0</v>
      </c>
      <c r="D40" s="334">
        <v>0</v>
      </c>
      <c r="E40" s="334">
        <v>0</v>
      </c>
      <c r="F40" s="334">
        <v>0</v>
      </c>
    </row>
    <row r="41" spans="1:6">
      <c r="A41" s="348" t="s">
        <v>32</v>
      </c>
      <c r="B41" s="348" t="s">
        <v>33</v>
      </c>
      <c r="C41" s="334">
        <v>215</v>
      </c>
      <c r="D41" s="334">
        <v>25839169.994316898</v>
      </c>
      <c r="E41" s="334">
        <v>440</v>
      </c>
      <c r="F41" s="334">
        <v>6705657.76890752</v>
      </c>
    </row>
    <row r="42" spans="1:6">
      <c r="A42" s="348" t="s">
        <v>32</v>
      </c>
      <c r="B42" s="348" t="s">
        <v>34</v>
      </c>
      <c r="C42" s="334">
        <v>0</v>
      </c>
      <c r="D42" s="334">
        <v>0</v>
      </c>
      <c r="E42" s="334">
        <v>7</v>
      </c>
      <c r="F42" s="334">
        <v>18906307.706280701</v>
      </c>
    </row>
    <row r="43" spans="1:6">
      <c r="A43" s="348" t="s">
        <v>32</v>
      </c>
      <c r="B43" s="348" t="s">
        <v>35</v>
      </c>
      <c r="C43" s="334">
        <v>0</v>
      </c>
      <c r="D43" s="334">
        <v>0</v>
      </c>
      <c r="E43" s="334">
        <v>0</v>
      </c>
      <c r="F43" s="334">
        <v>0</v>
      </c>
    </row>
    <row r="44" spans="1:6">
      <c r="A44" s="348" t="s">
        <v>32</v>
      </c>
      <c r="B44" s="348" t="s">
        <v>36</v>
      </c>
      <c r="C44" s="334">
        <v>3</v>
      </c>
      <c r="D44" s="334">
        <v>84329.355330956198</v>
      </c>
      <c r="E44" s="334">
        <v>33</v>
      </c>
      <c r="F44" s="334">
        <v>636457.24737402401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56598.1337148444</v>
      </c>
      <c r="E47" s="334">
        <v>7</v>
      </c>
      <c r="F47" s="334">
        <v>269449.54961211799</v>
      </c>
    </row>
    <row r="48" spans="1:6">
      <c r="A48" s="348" t="s">
        <v>32</v>
      </c>
      <c r="B48" s="348" t="s">
        <v>29</v>
      </c>
      <c r="C48" s="334">
        <v>51</v>
      </c>
      <c r="D48" s="334">
        <v>29385465.526123799</v>
      </c>
      <c r="E48" s="334">
        <v>84</v>
      </c>
      <c r="F48" s="334">
        <v>46664384.710576698</v>
      </c>
    </row>
    <row r="49" spans="1:6">
      <c r="A49" s="348" t="s">
        <v>32</v>
      </c>
      <c r="B49" s="348" t="s">
        <v>40</v>
      </c>
      <c r="C49" s="334">
        <v>3</v>
      </c>
      <c r="D49" s="334">
        <v>47655.379165812803</v>
      </c>
      <c r="E49" s="334">
        <v>6</v>
      </c>
      <c r="F49" s="334">
        <v>26035.8695551737</v>
      </c>
    </row>
    <row r="50" spans="1:6">
      <c r="A50" s="348" t="s">
        <v>32</v>
      </c>
      <c r="B50" s="348" t="s">
        <v>41</v>
      </c>
      <c r="C50" s="334">
        <v>25</v>
      </c>
      <c r="D50" s="334">
        <v>1725574.5609190401</v>
      </c>
      <c r="E50" s="334">
        <v>28</v>
      </c>
      <c r="F50" s="334">
        <v>1973301.7775616299</v>
      </c>
    </row>
    <row r="51" spans="1:6">
      <c r="A51" s="348" t="s">
        <v>42</v>
      </c>
      <c r="B51" s="348" t="s">
        <v>43</v>
      </c>
      <c r="C51" s="334">
        <v>60</v>
      </c>
      <c r="D51" s="334">
        <v>152094215.72549099</v>
      </c>
      <c r="E51" s="334">
        <v>350</v>
      </c>
      <c r="F51" s="334">
        <v>10583352.287945401</v>
      </c>
    </row>
    <row r="52" spans="1:6">
      <c r="A52" s="348" t="s">
        <v>42</v>
      </c>
      <c r="B52" s="348" t="s">
        <v>29</v>
      </c>
      <c r="C52" s="334">
        <v>9</v>
      </c>
      <c r="D52" s="334">
        <v>177273.95701711101</v>
      </c>
      <c r="E52" s="334">
        <v>8</v>
      </c>
      <c r="F52" s="334">
        <v>152102.037778167</v>
      </c>
    </row>
    <row r="53" spans="1:6">
      <c r="A53" s="348" t="s">
        <v>44</v>
      </c>
      <c r="B53" s="348" t="s">
        <v>45</v>
      </c>
      <c r="C53" s="334">
        <v>344</v>
      </c>
      <c r="D53" s="334">
        <v>6348040.25305048</v>
      </c>
      <c r="E53" s="334">
        <v>745</v>
      </c>
      <c r="F53" s="334">
        <v>7592872.9582333304</v>
      </c>
    </row>
    <row r="54" spans="1:6">
      <c r="A54" s="348" t="s">
        <v>46</v>
      </c>
      <c r="B54" s="348" t="s">
        <v>47</v>
      </c>
      <c r="C54" s="334">
        <v>0</v>
      </c>
      <c r="D54" s="334">
        <v>0</v>
      </c>
      <c r="E54" s="334">
        <v>1</v>
      </c>
      <c r="F54" s="334">
        <v>2951721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138</v>
      </c>
      <c r="D57" s="334">
        <v>10292541.545811299</v>
      </c>
      <c r="E57" s="334">
        <v>215</v>
      </c>
      <c r="F57" s="334">
        <v>7468102.0075318096</v>
      </c>
    </row>
    <row r="58" spans="1:6">
      <c r="A58" s="348" t="s">
        <v>49</v>
      </c>
      <c r="B58" s="348" t="s">
        <v>51</v>
      </c>
      <c r="C58" s="334">
        <v>52</v>
      </c>
      <c r="D58" s="334">
        <v>3155525.06619344</v>
      </c>
      <c r="E58" s="334">
        <v>76</v>
      </c>
      <c r="F58" s="334">
        <v>2610990.9631726802</v>
      </c>
    </row>
    <row r="59" spans="1:6">
      <c r="A59" s="348" t="s">
        <v>49</v>
      </c>
      <c r="B59" s="348" t="s">
        <v>52</v>
      </c>
      <c r="C59" s="334">
        <v>282</v>
      </c>
      <c r="D59" s="334">
        <v>10027911.736564999</v>
      </c>
      <c r="E59" s="334">
        <v>581</v>
      </c>
      <c r="F59" s="334">
        <v>21358259.702874102</v>
      </c>
    </row>
    <row r="60" spans="1:6">
      <c r="A60" s="348" t="s">
        <v>49</v>
      </c>
      <c r="B60" s="348" t="s">
        <v>53</v>
      </c>
      <c r="C60" s="334">
        <v>136</v>
      </c>
      <c r="D60" s="334">
        <v>5198980.44819031</v>
      </c>
      <c r="E60" s="334">
        <v>187</v>
      </c>
      <c r="F60" s="334">
        <v>3726137.9813242299</v>
      </c>
    </row>
    <row r="61" spans="1:6">
      <c r="A61" s="348" t="s">
        <v>49</v>
      </c>
      <c r="B61" s="348" t="s">
        <v>54</v>
      </c>
      <c r="C61" s="334">
        <v>424</v>
      </c>
      <c r="D61" s="334">
        <v>26678790.3757765</v>
      </c>
      <c r="E61" s="334">
        <v>777</v>
      </c>
      <c r="F61" s="334">
        <v>101303236.67016</v>
      </c>
    </row>
    <row r="62" spans="1:6">
      <c r="A62" s="348" t="s">
        <v>49</v>
      </c>
      <c r="B62" s="348" t="s">
        <v>55</v>
      </c>
      <c r="C62" s="334">
        <v>27</v>
      </c>
      <c r="D62" s="334">
        <v>2385468.0176199502</v>
      </c>
      <c r="E62" s="334">
        <v>35</v>
      </c>
      <c r="F62" s="334">
        <v>1061572.1424581499</v>
      </c>
    </row>
    <row r="63" spans="1:6">
      <c r="A63" s="348" t="s">
        <v>49</v>
      </c>
      <c r="B63" s="348" t="s">
        <v>29</v>
      </c>
      <c r="C63" s="334">
        <v>158</v>
      </c>
      <c r="D63" s="334">
        <v>62485453.1571602</v>
      </c>
      <c r="E63" s="334">
        <v>166</v>
      </c>
      <c r="F63" s="334">
        <v>16087869.8420678</v>
      </c>
    </row>
    <row r="64" spans="1:6">
      <c r="A64" s="348" t="s">
        <v>56</v>
      </c>
      <c r="B64" s="348" t="s">
        <v>57</v>
      </c>
      <c r="C64" s="334">
        <v>0</v>
      </c>
      <c r="D64" s="334">
        <v>0</v>
      </c>
      <c r="E64" s="334">
        <v>0</v>
      </c>
      <c r="F64" s="334">
        <v>0</v>
      </c>
    </row>
    <row r="65" spans="1:6">
      <c r="A65" s="348" t="s">
        <v>56</v>
      </c>
      <c r="B65" s="348" t="s">
        <v>29</v>
      </c>
      <c r="C65" s="334">
        <v>5</v>
      </c>
      <c r="D65" s="334">
        <v>2663708.0798068098</v>
      </c>
      <c r="E65" s="334">
        <v>6</v>
      </c>
      <c r="F65" s="334">
        <v>1890832.16688267</v>
      </c>
    </row>
    <row r="66" spans="1:6">
      <c r="A66" s="348" t="s">
        <v>56</v>
      </c>
      <c r="B66" s="348" t="s">
        <v>58</v>
      </c>
      <c r="C66" s="334">
        <v>0</v>
      </c>
      <c r="D66" s="334">
        <v>0</v>
      </c>
      <c r="E66" s="334">
        <v>32</v>
      </c>
      <c r="F66" s="334">
        <v>3985074.2999579301</v>
      </c>
    </row>
    <row r="67" spans="1:6">
      <c r="A67" s="355" t="s">
        <v>56</v>
      </c>
      <c r="B67" s="355" t="s">
        <v>59</v>
      </c>
      <c r="C67" s="334">
        <v>0</v>
      </c>
      <c r="D67" s="334">
        <v>0</v>
      </c>
      <c r="E67" s="334">
        <v>0</v>
      </c>
      <c r="F67" s="334">
        <v>0</v>
      </c>
    </row>
    <row r="68" spans="1:6">
      <c r="A68" s="341" t="s">
        <v>56</v>
      </c>
      <c r="B68" s="341" t="s">
        <v>60</v>
      </c>
      <c r="C68" s="334">
        <v>10</v>
      </c>
      <c r="D68" s="334">
        <v>363577.31189558399</v>
      </c>
      <c r="E68" s="334">
        <v>40</v>
      </c>
      <c r="F68" s="334">
        <v>980310.75164399005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284068194</v>
      </c>
      <c r="E73" s="475">
        <v>181448941.13965991</v>
      </c>
    </row>
    <row r="74" spans="1:6">
      <c r="A74" s="348" t="s">
        <v>64</v>
      </c>
      <c r="B74" s="348" t="s">
        <v>657</v>
      </c>
      <c r="C74" s="1295" t="s">
        <v>659</v>
      </c>
      <c r="D74" s="475">
        <v>53943987</v>
      </c>
      <c r="E74" s="475">
        <v>31502312.612434216</v>
      </c>
    </row>
    <row r="75" spans="1:6">
      <c r="A75" s="348" t="s">
        <v>65</v>
      </c>
      <c r="B75" s="348" t="s">
        <v>656</v>
      </c>
      <c r="C75" s="1295" t="s">
        <v>660</v>
      </c>
      <c r="D75" s="475">
        <v>180978590</v>
      </c>
      <c r="E75" s="475">
        <v>127849365.64532027</v>
      </c>
    </row>
    <row r="76" spans="1:6">
      <c r="A76" s="348" t="s">
        <v>65</v>
      </c>
      <c r="B76" s="348" t="s">
        <v>657</v>
      </c>
      <c r="C76" s="1295" t="s">
        <v>661</v>
      </c>
      <c r="D76" s="475">
        <v>35309497</v>
      </c>
      <c r="E76" s="475">
        <v>21783597.186458554</v>
      </c>
    </row>
    <row r="77" spans="1:6">
      <c r="A77" s="348" t="s">
        <v>66</v>
      </c>
      <c r="B77" s="348" t="s">
        <v>656</v>
      </c>
      <c r="C77" s="1295" t="s">
        <v>662</v>
      </c>
      <c r="D77" s="475">
        <v>319619802</v>
      </c>
      <c r="E77" s="475">
        <v>329335509.8866815</v>
      </c>
    </row>
    <row r="78" spans="1:6">
      <c r="A78" s="341" t="s">
        <v>66</v>
      </c>
      <c r="B78" s="341" t="s">
        <v>657</v>
      </c>
      <c r="C78" s="341" t="s">
        <v>663</v>
      </c>
      <c r="D78" s="1296">
        <v>91505526</v>
      </c>
      <c r="E78" s="1296">
        <v>93221529.289531812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1070116</v>
      </c>
      <c r="C83" s="475">
        <v>1066007.454748821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108428.1094847791</v>
      </c>
    </row>
    <row r="91" spans="1:6">
      <c r="A91" s="348" t="s">
        <v>68</v>
      </c>
      <c r="B91" s="334">
        <v>11876.115377293705</v>
      </c>
    </row>
    <row r="92" spans="1:6">
      <c r="A92" s="341" t="s">
        <v>69</v>
      </c>
      <c r="B92" s="342">
        <v>34228.266074236919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3</v>
      </c>
      <c r="C122" s="334">
        <v>0</v>
      </c>
    </row>
    <row r="123" spans="1:6">
      <c r="A123" s="348" t="s">
        <v>88</v>
      </c>
      <c r="B123" s="334">
        <v>65</v>
      </c>
      <c r="C123" s="334">
        <v>154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603</v>
      </c>
    </row>
    <row r="130" spans="1:6">
      <c r="A130" s="348" t="s">
        <v>295</v>
      </c>
      <c r="B130" s="334">
        <v>9</v>
      </c>
    </row>
    <row r="131" spans="1:6">
      <c r="A131" s="348" t="s">
        <v>296</v>
      </c>
      <c r="B131" s="334">
        <v>3</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383500.76762308844</v>
      </c>
      <c r="C3" s="43" t="s">
        <v>170</v>
      </c>
      <c r="D3" s="43"/>
      <c r="E3" s="154"/>
      <c r="F3" s="43"/>
      <c r="G3" s="43"/>
      <c r="H3" s="43"/>
      <c r="I3" s="43"/>
      <c r="J3" s="43"/>
      <c r="K3" s="96"/>
    </row>
    <row r="4" spans="1:11">
      <c r="A4" s="383" t="s">
        <v>171</v>
      </c>
      <c r="B4" s="49">
        <f>IF(ISERROR('SEAP template'!B78+'SEAP template'!C78),0,'SEAP template'!B78+'SEAP template'!C78)</f>
        <v>267800.6409363097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16882.803529411765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0.11069738345064536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24118.290756302522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161811.6428571429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0.14905164010723015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2951.721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2951.721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0.11069738345064536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326.74779137632237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83469.6495874791</v>
      </c>
      <c r="C5" s="17">
        <f>IF(ISERROR('Eigen informatie GS &amp; warmtenet'!B57),0,'Eigen informatie GS &amp; warmtenet'!B57)</f>
        <v>0</v>
      </c>
      <c r="D5" s="30">
        <f>(SUM(HH_hh_gas_kWh,HH_rest_gas_kWh)/1000)*0.902</f>
        <v>203349.14569799512</v>
      </c>
      <c r="E5" s="17">
        <f>B46*B57</f>
        <v>4113.9897670217697</v>
      </c>
      <c r="F5" s="17">
        <f>B51*B62</f>
        <v>0</v>
      </c>
      <c r="G5" s="18"/>
      <c r="H5" s="17"/>
      <c r="I5" s="17"/>
      <c r="J5" s="17">
        <f>B50*B61+C50*C61</f>
        <v>4816.5606637662831</v>
      </c>
      <c r="K5" s="17"/>
      <c r="L5" s="17"/>
      <c r="M5" s="17"/>
      <c r="N5" s="17">
        <f>B48*B59+C48*C59</f>
        <v>33311.279684876492</v>
      </c>
      <c r="O5" s="17">
        <f>B69*B70*B71</f>
        <v>1188.1333333333334</v>
      </c>
      <c r="P5" s="17">
        <f>B77*B78*B79/1000-B77*B78*B79/1000/B80</f>
        <v>2097.3333333333335</v>
      </c>
    </row>
    <row r="6" spans="1:16">
      <c r="A6" s="16" t="s">
        <v>621</v>
      </c>
      <c r="B6" s="788">
        <f>kWh_PV_kleiner_dan_10kW</f>
        <v>11876.115377293705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95345.76496477281</v>
      </c>
      <c r="C8" s="21">
        <f>C5</f>
        <v>0</v>
      </c>
      <c r="D8" s="21">
        <f>D5</f>
        <v>203349.14569799512</v>
      </c>
      <c r="E8" s="21">
        <f>E5</f>
        <v>4113.9897670217697</v>
      </c>
      <c r="F8" s="21">
        <f>F5</f>
        <v>0</v>
      </c>
      <c r="G8" s="21"/>
      <c r="H8" s="21"/>
      <c r="I8" s="21"/>
      <c r="J8" s="21">
        <f>J5</f>
        <v>4816.5606637662831</v>
      </c>
      <c r="K8" s="21"/>
      <c r="L8" s="21">
        <f>L5</f>
        <v>0</v>
      </c>
      <c r="M8" s="21">
        <f>M5</f>
        <v>0</v>
      </c>
      <c r="N8" s="21">
        <f>N5</f>
        <v>33311.279684876492</v>
      </c>
      <c r="O8" s="21">
        <f>O5</f>
        <v>1188.1333333333334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0.11069738345064536</v>
      </c>
      <c r="C10" s="25">
        <f ca="1">'EF ele_warmte'!B22</f>
        <v>0.14905164010723015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10554.526704700564</v>
      </c>
      <c r="C12" s="23">
        <f ca="1">C10*C8</f>
        <v>0</v>
      </c>
      <c r="D12" s="23">
        <f>D8*D10</f>
        <v>41076.527430995018</v>
      </c>
      <c r="E12" s="23">
        <f>E10*E8</f>
        <v>933.87567711394172</v>
      </c>
      <c r="F12" s="23">
        <f>F10*F8</f>
        <v>0</v>
      </c>
      <c r="G12" s="23"/>
      <c r="H12" s="23"/>
      <c r="I12" s="23"/>
      <c r="J12" s="23">
        <f>J10*J8</f>
        <v>1705.0624749732642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793</v>
      </c>
      <c r="B28" s="37">
        <f>aantalHuishoudens2011</f>
        <v>19723</v>
      </c>
      <c r="C28" s="36"/>
      <c r="D28" s="228"/>
    </row>
    <row r="29" spans="1:7" s="15" customFormat="1">
      <c r="A29" s="230" t="s">
        <v>794</v>
      </c>
      <c r="B29" s="37">
        <f>SUM(HH_hh_gas_aantal,HH_rest_gas_aantal)</f>
        <v>14765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14765</v>
      </c>
      <c r="C32" s="167">
        <f>IF(ISERROR(B32/SUM($B$32,$B$34,$B$35,$B$36,$B$38,$B$39)*100),0,B32/SUM($B$32,$B$34,$B$35,$B$36,$B$38,$B$39)*100)</f>
        <v>75.281700912659971</v>
      </c>
      <c r="D32" s="233"/>
      <c r="G32" s="15"/>
    </row>
    <row r="33" spans="1:7">
      <c r="A33" s="171" t="s">
        <v>72</v>
      </c>
      <c r="B33" s="34" t="s">
        <v>111</v>
      </c>
      <c r="C33" s="167"/>
      <c r="D33" s="233"/>
      <c r="G33" s="15"/>
    </row>
    <row r="34" spans="1:7">
      <c r="A34" s="171" t="s">
        <v>73</v>
      </c>
      <c r="B34" s="33">
        <f>IF((($B$28-$B$32-$B$39-$B$77-$B$38)*C20/100)&lt;0,0,($B$28-$B$32-$B$39-$B$77-$B$38)*C20/100)</f>
        <v>194.29959689922481</v>
      </c>
      <c r="C34" s="167">
        <f>IF(ISERROR(B34/SUM($B$32,$B$34,$B$35,$B$36,$B$38,$B$39)*100),0,B34/SUM($B$32,$B$34,$B$35,$B$36,$B$38,$B$39)*100)</f>
        <v>0.99066739866019893</v>
      </c>
      <c r="D34" s="233"/>
      <c r="G34" s="15"/>
    </row>
    <row r="35" spans="1:7">
      <c r="A35" s="171" t="s">
        <v>74</v>
      </c>
      <c r="B35" s="33">
        <f>IF((($B$28-$B$32-$B$39-$B$77-$B$38)*C21/100)&lt;0,0,($B$28-$B$32-$B$39-$B$77-$B$38)*C21/100)</f>
        <v>4055.4562480620148</v>
      </c>
      <c r="C35" s="167">
        <f>IF(ISERROR(B35/SUM($B$32,$B$34,$B$35,$B$36,$B$38,$B$39)*100),0,B35/SUM($B$32,$B$34,$B$35,$B$36,$B$38,$B$39)*100)</f>
        <v>20.677388711885051</v>
      </c>
      <c r="D35" s="233"/>
      <c r="G35" s="15"/>
    </row>
    <row r="36" spans="1:7">
      <c r="A36" s="171" t="s">
        <v>75</v>
      </c>
      <c r="B36" s="33">
        <f>IF((($B$28-$B$32-$B$39-$B$77-$B$38)*C22/100)&lt;0,0,($B$28-$B$32-$B$39-$B$77-$B$38)*C22/100)</f>
        <v>461.64415503875966</v>
      </c>
      <c r="C36" s="167">
        <f>IF(ISERROR(B36/SUM($B$32,$B$34,$B$35,$B$36,$B$38,$B$39)*100),0,B36/SUM($B$32,$B$34,$B$35,$B$36,$B$38,$B$39)*100)</f>
        <v>2.3537661502001717</v>
      </c>
      <c r="D36" s="233"/>
      <c r="G36" s="15"/>
    </row>
    <row r="37" spans="1:7">
      <c r="A37" s="171" t="s">
        <v>76</v>
      </c>
      <c r="B37" s="34" t="s">
        <v>111</v>
      </c>
      <c r="C37" s="167"/>
      <c r="D37" s="173"/>
      <c r="G37" s="15"/>
    </row>
    <row r="38" spans="1:7">
      <c r="A38" s="171" t="s">
        <v>77</v>
      </c>
      <c r="B38" s="33">
        <f>IF((B24-(B29-B18)*0.1)&lt;0,0,B24-(B29-B18)*0.1)</f>
        <v>136.59999999999997</v>
      </c>
      <c r="C38" s="167">
        <f>IF(ISERROR(B38/SUM($B$32,$B$34,$B$35,$B$36,$B$38,$B$39)*100),0,B38/SUM($B$32,$B$34,$B$35,$B$36,$B$38,$B$39)*100)</f>
        <v>0.69647682659460552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14765</v>
      </c>
      <c r="C44" s="34" t="s">
        <v>111</v>
      </c>
      <c r="D44" s="174"/>
    </row>
    <row r="45" spans="1:7">
      <c r="A45" s="171" t="s">
        <v>72</v>
      </c>
      <c r="B45" s="33" t="str">
        <f t="shared" si="0"/>
        <v>-</v>
      </c>
      <c r="C45" s="34" t="s">
        <v>111</v>
      </c>
      <c r="D45" s="174"/>
    </row>
    <row r="46" spans="1:7">
      <c r="A46" s="171" t="s">
        <v>73</v>
      </c>
      <c r="B46" s="33">
        <f t="shared" si="0"/>
        <v>194.29959689922481</v>
      </c>
      <c r="C46" s="34" t="s">
        <v>111</v>
      </c>
      <c r="D46" s="174"/>
    </row>
    <row r="47" spans="1:7">
      <c r="A47" s="171" t="s">
        <v>74</v>
      </c>
      <c r="B47" s="33">
        <f t="shared" si="0"/>
        <v>4055.4562480620148</v>
      </c>
      <c r="C47" s="34" t="s">
        <v>111</v>
      </c>
      <c r="D47" s="174"/>
    </row>
    <row r="48" spans="1:7">
      <c r="A48" s="171" t="s">
        <v>75</v>
      </c>
      <c r="B48" s="33">
        <f t="shared" si="0"/>
        <v>461.64415503875966</v>
      </c>
      <c r="C48" s="33">
        <f>B48*10</f>
        <v>4616.4415503875971</v>
      </c>
      <c r="D48" s="234"/>
    </row>
    <row r="49" spans="1:6">
      <c r="A49" s="171" t="s">
        <v>76</v>
      </c>
      <c r="B49" s="33" t="str">
        <f t="shared" si="0"/>
        <v>-</v>
      </c>
      <c r="C49" s="34" t="s">
        <v>111</v>
      </c>
      <c r="D49" s="234"/>
    </row>
    <row r="50" spans="1:6">
      <c r="A50" s="171" t="s">
        <v>77</v>
      </c>
      <c r="B50" s="33">
        <f t="shared" si="0"/>
        <v>136.59999999999997</v>
      </c>
      <c r="C50" s="33">
        <f>B50*2</f>
        <v>273.19999999999993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153616.16930958876</v>
      </c>
      <c r="C5" s="17">
        <f>IF(ISERROR('Eigen informatie GS &amp; warmtenet'!B58),0,'Eigen informatie GS &amp; warmtenet'!B58)</f>
        <v>0</v>
      </c>
      <c r="D5" s="30">
        <f>SUM(D6:D12)</f>
        <v>108442.65265327966</v>
      </c>
      <c r="E5" s="17">
        <f>SUM(E6:E12)</f>
        <v>1053.5155381784639</v>
      </c>
      <c r="F5" s="17">
        <f>SUM(F6:F12)</f>
        <v>25118.567404209265</v>
      </c>
      <c r="G5" s="18"/>
      <c r="H5" s="17"/>
      <c r="I5" s="17"/>
      <c r="J5" s="17">
        <f>SUM(J6:J12)</f>
        <v>0.20106040325634891</v>
      </c>
      <c r="K5" s="17"/>
      <c r="L5" s="17"/>
      <c r="M5" s="17"/>
      <c r="N5" s="17">
        <f>SUM(N6:N12)</f>
        <v>8070.4416682866122</v>
      </c>
      <c r="O5" s="17">
        <f>B38*B39*B40</f>
        <v>14.070000000000002</v>
      </c>
      <c r="P5" s="17">
        <f>B46*B47*B48/1000-B46*B47*B48/1000/B49</f>
        <v>133.46666666666667</v>
      </c>
      <c r="R5" s="32"/>
    </row>
    <row r="6" spans="1:18">
      <c r="A6" s="32" t="s">
        <v>54</v>
      </c>
      <c r="B6" s="37">
        <f>B26</f>
        <v>101303.23667016</v>
      </c>
      <c r="C6" s="33"/>
      <c r="D6" s="37">
        <f>IF(ISERROR(TER_kantoor_gas_kWh/1000),0,TER_kantoor_gas_kWh/1000)*0.902</f>
        <v>24064.268918950402</v>
      </c>
      <c r="E6" s="33">
        <f>$C$26*'E Balans VL '!I12/100/3.6*1000000</f>
        <v>0.63493499451989355</v>
      </c>
      <c r="F6" s="33">
        <f>$C$26*('E Balans VL '!L12+'E Balans VL '!N12)/100/3.6*1000000</f>
        <v>15223.045789119649</v>
      </c>
      <c r="G6" s="34"/>
      <c r="H6" s="33"/>
      <c r="I6" s="33"/>
      <c r="J6" s="33">
        <f>$C$26*('E Balans VL '!D12+'E Balans VL '!E12)/100/3.6*1000000</f>
        <v>0</v>
      </c>
      <c r="K6" s="33"/>
      <c r="L6" s="33"/>
      <c r="M6" s="33"/>
      <c r="N6" s="33">
        <f>$C$26*'E Balans VL '!Y12/100/3.6*1000000</f>
        <v>96.881526021830425</v>
      </c>
      <c r="O6" s="33"/>
      <c r="P6" s="33"/>
      <c r="R6" s="32"/>
    </row>
    <row r="7" spans="1:18">
      <c r="A7" s="32" t="s">
        <v>53</v>
      </c>
      <c r="B7" s="37">
        <f t="shared" ref="B7:B12" si="0">B27</f>
        <v>3726.1379813242297</v>
      </c>
      <c r="C7" s="33"/>
      <c r="D7" s="37">
        <f>IF(ISERROR(TER_horeca_gas_kWh/1000),0,TER_horeca_gas_kWh/1000)*0.902</f>
        <v>4689.4803642676598</v>
      </c>
      <c r="E7" s="33">
        <f>$C$27*'E Balans VL '!I9/100/3.6*1000000</f>
        <v>53.357675236457354</v>
      </c>
      <c r="F7" s="33">
        <f>$C$27*('E Balans VL '!L9+'E Balans VL '!N9)/100/3.6*1000000</f>
        <v>471.85196120082156</v>
      </c>
      <c r="G7" s="34"/>
      <c r="H7" s="33"/>
      <c r="I7" s="33"/>
      <c r="J7" s="33">
        <f>$C$27*('E Balans VL '!D9+'E Balans VL '!E9)/100/3.6*1000000</f>
        <v>0</v>
      </c>
      <c r="K7" s="33"/>
      <c r="L7" s="33"/>
      <c r="M7" s="33"/>
      <c r="N7" s="33">
        <f>$C$27*'E Balans VL '!Y9/100/3.6*1000000</f>
        <v>1.0711825153403247</v>
      </c>
      <c r="O7" s="33"/>
      <c r="P7" s="33"/>
      <c r="R7" s="32"/>
    </row>
    <row r="8" spans="1:18">
      <c r="A8" s="6" t="s">
        <v>52</v>
      </c>
      <c r="B8" s="37">
        <f t="shared" si="0"/>
        <v>21358.2597028741</v>
      </c>
      <c r="C8" s="33"/>
      <c r="D8" s="37">
        <f>IF(ISERROR(TER_handel_gas_kWh/1000),0,TER_handel_gas_kWh/1000)*0.902</f>
        <v>9045.1763863816304</v>
      </c>
      <c r="E8" s="33">
        <f>$C$28*'E Balans VL '!I13/100/3.6*1000000</f>
        <v>774.66144564065473</v>
      </c>
      <c r="F8" s="33">
        <f>$C$28*('E Balans VL '!L13+'E Balans VL '!N13)/100/3.6*1000000</f>
        <v>4113.8170849028156</v>
      </c>
      <c r="G8" s="34"/>
      <c r="H8" s="33"/>
      <c r="I8" s="33"/>
      <c r="J8" s="33">
        <f>$C$28*('E Balans VL '!D13+'E Balans VL '!E13)/100/3.6*1000000</f>
        <v>0</v>
      </c>
      <c r="K8" s="33"/>
      <c r="L8" s="33"/>
      <c r="M8" s="33"/>
      <c r="N8" s="33">
        <f>$C$28*'E Balans VL '!Y13/100/3.6*1000000</f>
        <v>29.586104004866318</v>
      </c>
      <c r="O8" s="33"/>
      <c r="P8" s="33"/>
      <c r="R8" s="32"/>
    </row>
    <row r="9" spans="1:18">
      <c r="A9" s="32" t="s">
        <v>51</v>
      </c>
      <c r="B9" s="37">
        <f t="shared" si="0"/>
        <v>2610.99096317268</v>
      </c>
      <c r="C9" s="33"/>
      <c r="D9" s="37">
        <f>IF(ISERROR(TER_gezond_gas_kWh/1000),0,TER_gezond_gas_kWh/1000)*0.902</f>
        <v>2846.2836097064833</v>
      </c>
      <c r="E9" s="33">
        <f>$C$29*'E Balans VL '!I10/100/3.6*1000000</f>
        <v>0.16347381317314735</v>
      </c>
      <c r="F9" s="33">
        <f>$C$29*('E Balans VL '!L10+'E Balans VL '!N10)/100/3.6*1000000</f>
        <v>387.87065728969401</v>
      </c>
      <c r="G9" s="34"/>
      <c r="H9" s="33"/>
      <c r="I9" s="33"/>
      <c r="J9" s="33">
        <f>$C$29*('E Balans VL '!D10+'E Balans VL '!E10)/100/3.6*1000000</f>
        <v>0</v>
      </c>
      <c r="K9" s="33"/>
      <c r="L9" s="33"/>
      <c r="M9" s="33"/>
      <c r="N9" s="33">
        <f>$C$29*'E Balans VL '!Y10/100/3.6*1000000</f>
        <v>40.387060157447152</v>
      </c>
      <c r="O9" s="33"/>
      <c r="P9" s="33"/>
      <c r="R9" s="32"/>
    </row>
    <row r="10" spans="1:18">
      <c r="A10" s="32" t="s">
        <v>50</v>
      </c>
      <c r="B10" s="37">
        <f t="shared" si="0"/>
        <v>7468.1020075318092</v>
      </c>
      <c r="C10" s="33"/>
      <c r="D10" s="37">
        <f>IF(ISERROR(TER_ander_gas_kWh/1000),0,TER_ander_gas_kWh/1000)*0.902</f>
        <v>9283.8724743217917</v>
      </c>
      <c r="E10" s="33">
        <f>$C$30*'E Balans VL '!I14/100/3.6*1000000</f>
        <v>8.9017107281044083</v>
      </c>
      <c r="F10" s="33">
        <f>$C$30*('E Balans VL '!L14+'E Balans VL '!N14)/100/3.6*1000000</f>
        <v>1953.9874909088023</v>
      </c>
      <c r="G10" s="34"/>
      <c r="H10" s="33"/>
      <c r="I10" s="33"/>
      <c r="J10" s="33">
        <f>$C$30*('E Balans VL '!D14+'E Balans VL '!E14)/100/3.6*1000000</f>
        <v>0.16210322043196274</v>
      </c>
      <c r="K10" s="33"/>
      <c r="L10" s="33"/>
      <c r="M10" s="33"/>
      <c r="N10" s="33">
        <f>$C$30*'E Balans VL '!Y14/100/3.6*1000000</f>
        <v>6341.7294829121638</v>
      </c>
      <c r="O10" s="33"/>
      <c r="P10" s="33"/>
      <c r="R10" s="32"/>
    </row>
    <row r="11" spans="1:18">
      <c r="A11" s="32" t="s">
        <v>55</v>
      </c>
      <c r="B11" s="37">
        <f t="shared" si="0"/>
        <v>1061.57214245815</v>
      </c>
      <c r="C11" s="33"/>
      <c r="D11" s="37">
        <f>IF(ISERROR(TER_onderwijs_gas_kWh/1000),0,TER_onderwijs_gas_kWh/1000)*0.902</f>
        <v>2151.6921518931954</v>
      </c>
      <c r="E11" s="33">
        <f>$C$31*'E Balans VL '!I11/100/3.6*1000000</f>
        <v>16.017413805171365</v>
      </c>
      <c r="F11" s="33">
        <f>$C$31*('E Balans VL '!L11+'E Balans VL '!N11)/100/3.6*1000000</f>
        <v>186.00439847817182</v>
      </c>
      <c r="G11" s="34"/>
      <c r="H11" s="33"/>
      <c r="I11" s="33"/>
      <c r="J11" s="33">
        <f>$C$31*('E Balans VL '!D11+'E Balans VL '!E11)/100/3.6*1000000</f>
        <v>0</v>
      </c>
      <c r="K11" s="33"/>
      <c r="L11" s="33"/>
      <c r="M11" s="33"/>
      <c r="N11" s="33">
        <f>$C$31*'E Balans VL '!Y11/100/3.6*1000000</f>
        <v>2.9873447126648554</v>
      </c>
      <c r="O11" s="33"/>
      <c r="P11" s="33"/>
      <c r="R11" s="32"/>
    </row>
    <row r="12" spans="1:18">
      <c r="A12" s="32" t="s">
        <v>260</v>
      </c>
      <c r="B12" s="37">
        <f t="shared" si="0"/>
        <v>16087.869842067801</v>
      </c>
      <c r="C12" s="33"/>
      <c r="D12" s="37">
        <f>IF(ISERROR(TER_rest_gas_kWh/1000),0,TER_rest_gas_kWh/1000)*0.902</f>
        <v>56361.878747758499</v>
      </c>
      <c r="E12" s="33">
        <f>$C$32*'E Balans VL '!I8/100/3.6*1000000</f>
        <v>199.77888396038293</v>
      </c>
      <c r="F12" s="33">
        <f>$C$32*('E Balans VL '!L8+'E Balans VL '!N8)/100/3.6*1000000</f>
        <v>2781.9900223093073</v>
      </c>
      <c r="G12" s="34"/>
      <c r="H12" s="33"/>
      <c r="I12" s="33"/>
      <c r="J12" s="33">
        <f>$C$32*('E Balans VL '!D8+'E Balans VL '!E8)/100/3.6*1000000</f>
        <v>3.8957182824386177E-2</v>
      </c>
      <c r="K12" s="33"/>
      <c r="L12" s="33"/>
      <c r="M12" s="33"/>
      <c r="N12" s="33">
        <f>$C$32*'E Balans VL '!Y8/100/3.6*1000000</f>
        <v>1557.7989679622995</v>
      </c>
      <c r="O12" s="33"/>
      <c r="P12" s="33"/>
      <c r="R12" s="32"/>
    </row>
    <row r="13" spans="1:18">
      <c r="A13" s="16" t="s">
        <v>488</v>
      </c>
      <c r="B13" s="247">
        <f ca="1">'lokale energieproductie'!N91+'lokale energieproductie'!N60</f>
        <v>24151.5</v>
      </c>
      <c r="C13" s="247">
        <f ca="1">'lokale energieproductie'!O91+'lokale energieproductie'!O60</f>
        <v>34502.142857142855</v>
      </c>
      <c r="D13" s="310">
        <f ca="1">('lokale energieproductie'!P60+'lokale energieproductie'!P91)*(-1)</f>
        <v>-30767.142857142862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177767.66930958876</v>
      </c>
      <c r="C16" s="21">
        <f t="shared" ca="1" si="1"/>
        <v>34502.142857142855</v>
      </c>
      <c r="D16" s="21">
        <f t="shared" ca="1" si="1"/>
        <v>77675.509796136786</v>
      </c>
      <c r="E16" s="21">
        <f t="shared" si="1"/>
        <v>1053.5155381784639</v>
      </c>
      <c r="F16" s="21">
        <f t="shared" ca="1" si="1"/>
        <v>25118.567404209265</v>
      </c>
      <c r="G16" s="21">
        <f t="shared" si="1"/>
        <v>0</v>
      </c>
      <c r="H16" s="21">
        <f t="shared" si="1"/>
        <v>0</v>
      </c>
      <c r="I16" s="21">
        <f t="shared" si="1"/>
        <v>0</v>
      </c>
      <c r="J16" s="21">
        <f t="shared" si="1"/>
        <v>0.20106040325634891</v>
      </c>
      <c r="K16" s="21">
        <f t="shared" si="1"/>
        <v>0</v>
      </c>
      <c r="L16" s="21">
        <f t="shared" ca="1" si="1"/>
        <v>0</v>
      </c>
      <c r="M16" s="21">
        <f t="shared" si="1"/>
        <v>0</v>
      </c>
      <c r="N16" s="21">
        <f t="shared" ca="1" si="1"/>
        <v>0</v>
      </c>
      <c r="O16" s="21">
        <f>O5</f>
        <v>14.070000000000002</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0.11069738345064536</v>
      </c>
      <c r="C18" s="25">
        <f ca="1">'EF ele_warmte'!B22</f>
        <v>0.14905164010723015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19678.415854691069</v>
      </c>
      <c r="C20" s="23">
        <f t="shared" ref="C20:P20" ca="1" si="2">C16*C18</f>
        <v>5142.6009800710981</v>
      </c>
      <c r="D20" s="23">
        <f t="shared" ca="1" si="2"/>
        <v>15690.452978819632</v>
      </c>
      <c r="E20" s="23">
        <f t="shared" si="2"/>
        <v>239.1480271665113</v>
      </c>
      <c r="F20" s="23">
        <f t="shared" ca="1" si="2"/>
        <v>6706.6574969238745</v>
      </c>
      <c r="G20" s="23">
        <f t="shared" si="2"/>
        <v>0</v>
      </c>
      <c r="H20" s="23">
        <f t="shared" si="2"/>
        <v>0</v>
      </c>
      <c r="I20" s="23">
        <f t="shared" si="2"/>
        <v>0</v>
      </c>
      <c r="J20" s="23">
        <f t="shared" si="2"/>
        <v>7.1175382752747512E-2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101303.23667016</v>
      </c>
      <c r="C26" s="39">
        <f>IF(ISERROR(B26*3.6/1000000/'E Balans VL '!Z12*100),0,B26*3.6/1000000/'E Balans VL '!Z12*100)</f>
        <v>2.1413899459177324</v>
      </c>
      <c r="D26" s="237" t="s">
        <v>754</v>
      </c>
      <c r="F26" s="6"/>
    </row>
    <row r="27" spans="1:18">
      <c r="A27" s="231" t="s">
        <v>53</v>
      </c>
      <c r="B27" s="33">
        <f>IF(ISERROR(TER_horeca_ele_kWh/1000),0,TER_horeca_ele_kWh/1000)</f>
        <v>3726.1379813242297</v>
      </c>
      <c r="C27" s="39">
        <f>IF(ISERROR(B27*3.6/1000000/'E Balans VL '!Z9*100),0,B27*3.6/1000000/'E Balans VL '!Z9*100)</f>
        <v>0.29373006826526243</v>
      </c>
      <c r="D27" s="237" t="s">
        <v>754</v>
      </c>
      <c r="F27" s="6"/>
    </row>
    <row r="28" spans="1:18">
      <c r="A28" s="171" t="s">
        <v>52</v>
      </c>
      <c r="B28" s="33">
        <f>IF(ISERROR(TER_handel_ele_kWh/1000),0,TER_handel_ele_kWh/1000)</f>
        <v>21358.2597028741</v>
      </c>
      <c r="C28" s="39">
        <f>IF(ISERROR(B28*3.6/1000000/'E Balans VL '!Z13*100),0,B28*3.6/1000000/'E Balans VL '!Z13*100)</f>
        <v>0.61990299361671608</v>
      </c>
      <c r="D28" s="237" t="s">
        <v>754</v>
      </c>
      <c r="F28" s="6"/>
    </row>
    <row r="29" spans="1:18">
      <c r="A29" s="231" t="s">
        <v>51</v>
      </c>
      <c r="B29" s="33">
        <f>IF(ISERROR(TER_gezond_ele_kWh/1000),0,TER_gezond_ele_kWh/1000)</f>
        <v>2610.99096317268</v>
      </c>
      <c r="C29" s="39">
        <f>IF(ISERROR(B29*3.6/1000000/'E Balans VL '!Z10*100),0,B29*3.6/1000000/'E Balans VL '!Z10*100)</f>
        <v>0.27498022202539585</v>
      </c>
      <c r="D29" s="237" t="s">
        <v>754</v>
      </c>
      <c r="F29" s="6"/>
    </row>
    <row r="30" spans="1:18">
      <c r="A30" s="231" t="s">
        <v>50</v>
      </c>
      <c r="B30" s="33">
        <f>IF(ISERROR(TER_ander_ele_kWh/1000),0,TER_ander_ele_kWh/1000)</f>
        <v>7468.1020075318092</v>
      </c>
      <c r="C30" s="39">
        <f>IF(ISERROR(B30*3.6/1000000/'E Balans VL '!Z14*100),0,B30*3.6/1000000/'E Balans VL '!Z14*100)</f>
        <v>0.55084882613923358</v>
      </c>
      <c r="D30" s="237" t="s">
        <v>754</v>
      </c>
      <c r="F30" s="6"/>
    </row>
    <row r="31" spans="1:18">
      <c r="A31" s="231" t="s">
        <v>55</v>
      </c>
      <c r="B31" s="33">
        <f>IF(ISERROR(TER_onderwijs_ele_kWh/1000),0,TER_onderwijs_ele_kWh/1000)</f>
        <v>1061.57214245815</v>
      </c>
      <c r="C31" s="39">
        <f>IF(ISERROR(B31*3.6/1000000/'E Balans VL '!Z11*100),0,B31*3.6/1000000/'E Balans VL '!Z11*100)</f>
        <v>0.26363808994003496</v>
      </c>
      <c r="D31" s="237" t="s">
        <v>754</v>
      </c>
    </row>
    <row r="32" spans="1:18">
      <c r="A32" s="231" t="s">
        <v>260</v>
      </c>
      <c r="B32" s="33">
        <f>IF(ISERROR(TER_rest_ele_kWh/1000),0,TER_rest_ele_kWh/1000)</f>
        <v>16087.869842067801</v>
      </c>
      <c r="C32" s="39">
        <f>IF(ISERROR(B32*3.6/1000000/'E Balans VL '!Z8*100),0,B32*3.6/1000000/'E Balans VL '!Z8*100)</f>
        <v>0.13238181432374155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75181.594629867875</v>
      </c>
      <c r="C5" s="17">
        <f>IF(ISERROR('Eigen informatie GS &amp; warmtenet'!B59),0,'Eigen informatie GS &amp; warmtenet'!B59)</f>
        <v>0</v>
      </c>
      <c r="D5" s="30">
        <f>SUM(D6:D15)</f>
        <v>51539.191240513363</v>
      </c>
      <c r="E5" s="17">
        <f>SUM(E6:E15)</f>
        <v>4593.8399192359848</v>
      </c>
      <c r="F5" s="17">
        <f>SUM(F6:F15)</f>
        <v>15028.121024448767</v>
      </c>
      <c r="G5" s="18"/>
      <c r="H5" s="17"/>
      <c r="I5" s="17"/>
      <c r="J5" s="17">
        <f>SUM(J6:J15)</f>
        <v>167.09928281388906</v>
      </c>
      <c r="K5" s="17"/>
      <c r="L5" s="17"/>
      <c r="M5" s="17"/>
      <c r="N5" s="17">
        <f>SUM(N6:N15)</f>
        <v>14035.351237416198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636.45724737402406</v>
      </c>
      <c r="C8" s="33"/>
      <c r="D8" s="37">
        <f>IF( ISERROR(IND_metaal_Gas_kWH/1000),0,IND_metaal_Gas_kWH/1000)*0.902</f>
        <v>76.065078508522504</v>
      </c>
      <c r="E8" s="33">
        <f>C30*'E Balans VL '!I18/100/3.6*1000000</f>
        <v>5.8516096933488582</v>
      </c>
      <c r="F8" s="33">
        <f>C30*'E Balans VL '!L18/100/3.6*1000000+C30*'E Balans VL '!N18/100/3.6*1000000</f>
        <v>59.678499996988997</v>
      </c>
      <c r="G8" s="34"/>
      <c r="H8" s="33"/>
      <c r="I8" s="33"/>
      <c r="J8" s="40">
        <f>C30*'E Balans VL '!D18/100/3.6*1000000+C30*'E Balans VL '!E18/100/3.6*1000000</f>
        <v>0</v>
      </c>
      <c r="K8" s="33"/>
      <c r="L8" s="33"/>
      <c r="M8" s="33"/>
      <c r="N8" s="33">
        <f>C30*'E Balans VL '!Y18/100/3.6*1000000</f>
        <v>9.0801144236837157</v>
      </c>
      <c r="O8" s="33"/>
      <c r="P8" s="33"/>
      <c r="R8" s="32"/>
    </row>
    <row r="9" spans="1:18">
      <c r="A9" s="6" t="s">
        <v>33</v>
      </c>
      <c r="B9" s="37">
        <f t="shared" si="0"/>
        <v>6705.6577689075202</v>
      </c>
      <c r="C9" s="33"/>
      <c r="D9" s="37">
        <f>IF( ISERROR(IND_andere_gas_kWh/1000),0,IND_andere_gas_kWh/1000)*0.902</f>
        <v>23306.931334873843</v>
      </c>
      <c r="E9" s="33">
        <f>C31*'E Balans VL '!I19/100/3.6*1000000</f>
        <v>1960.1943096108814</v>
      </c>
      <c r="F9" s="33">
        <f>C31*'E Balans VL '!L19/100/3.6*1000000+C31*'E Balans VL '!N19/100/3.6*1000000</f>
        <v>5388.50358897161</v>
      </c>
      <c r="G9" s="34"/>
      <c r="H9" s="33"/>
      <c r="I9" s="33"/>
      <c r="J9" s="40">
        <f>C31*'E Balans VL '!D19/100/3.6*1000000+C31*'E Balans VL '!E19/100/3.6*1000000</f>
        <v>0</v>
      </c>
      <c r="K9" s="33"/>
      <c r="L9" s="33"/>
      <c r="M9" s="33"/>
      <c r="N9" s="33">
        <f>C31*'E Balans VL '!Y19/100/3.6*1000000</f>
        <v>2215.6533242256205</v>
      </c>
      <c r="O9" s="33"/>
      <c r="P9" s="33"/>
      <c r="R9" s="32"/>
    </row>
    <row r="10" spans="1:18">
      <c r="A10" s="6" t="s">
        <v>41</v>
      </c>
      <c r="B10" s="37">
        <f t="shared" si="0"/>
        <v>1973.3017775616299</v>
      </c>
      <c r="C10" s="33"/>
      <c r="D10" s="37">
        <f>IF( ISERROR(IND_voed_gas_kWh/1000),0,IND_voed_gas_kWh/1000)*0.902</f>
        <v>1556.4682539489743</v>
      </c>
      <c r="E10" s="33">
        <f>C32*'E Balans VL '!I20/100/3.6*1000000</f>
        <v>4.1745505068380693</v>
      </c>
      <c r="F10" s="33">
        <f>C32*'E Balans VL '!L20/100/3.6*1000000+C32*'E Balans VL '!N20/100/3.6*1000000</f>
        <v>125.46454268602562</v>
      </c>
      <c r="G10" s="34"/>
      <c r="H10" s="33"/>
      <c r="I10" s="33"/>
      <c r="J10" s="40">
        <f>C32*'E Balans VL '!D20/100/3.6*1000000+C32*'E Balans VL '!E20/100/3.6*1000000</f>
        <v>0</v>
      </c>
      <c r="K10" s="33"/>
      <c r="L10" s="33"/>
      <c r="M10" s="33"/>
      <c r="N10" s="33">
        <f>C32*'E Balans VL '!Y20/100/3.6*1000000</f>
        <v>136.17729566950851</v>
      </c>
      <c r="O10" s="33"/>
      <c r="P10" s="33"/>
      <c r="R10" s="32"/>
    </row>
    <row r="11" spans="1:18">
      <c r="A11" s="6" t="s">
        <v>40</v>
      </c>
      <c r="B11" s="37">
        <f t="shared" si="0"/>
        <v>26.035869555173701</v>
      </c>
      <c r="C11" s="33"/>
      <c r="D11" s="37">
        <f>IF( ISERROR(IND_textiel_gas_kWh/1000),0,IND_textiel_gas_kWh/1000)*0.902</f>
        <v>42.985152007563151</v>
      </c>
      <c r="E11" s="33">
        <f>C33*'E Balans VL '!I21/100/3.6*1000000</f>
        <v>7.7324287855378815E-2</v>
      </c>
      <c r="F11" s="33">
        <f>C33*'E Balans VL '!L21/100/3.6*1000000+C33*'E Balans VL '!N21/100/3.6*1000000</f>
        <v>2.6303376168714303</v>
      </c>
      <c r="G11" s="34"/>
      <c r="H11" s="33"/>
      <c r="I11" s="33"/>
      <c r="J11" s="40">
        <f>C33*'E Balans VL '!D21/100/3.6*1000000+C33*'E Balans VL '!E21/100/3.6*1000000</f>
        <v>0</v>
      </c>
      <c r="K11" s="33"/>
      <c r="L11" s="33"/>
      <c r="M11" s="33"/>
      <c r="N11" s="33">
        <f>C33*'E Balans VL '!Y21/100/3.6*1000000</f>
        <v>1.4359612956508201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269.44954961211801</v>
      </c>
      <c r="C13" s="33"/>
      <c r="D13" s="37">
        <f>IF( ISERROR(IND_papier_gas_kWh/1000),0,IND_papier_gas_kWh/1000)*0.902</f>
        <v>51.051516610789655</v>
      </c>
      <c r="E13" s="33">
        <f>C35*'E Balans VL '!I23/100/3.6*1000000</f>
        <v>0.38228728826597436</v>
      </c>
      <c r="F13" s="33">
        <f>C35*'E Balans VL '!L23/100/3.6*1000000+C35*'E Balans VL '!N23/100/3.6*1000000</f>
        <v>6.5782767016635324</v>
      </c>
      <c r="G13" s="34"/>
      <c r="H13" s="33"/>
      <c r="I13" s="33"/>
      <c r="J13" s="40">
        <f>C35*'E Balans VL '!D23/100/3.6*1000000+C35*'E Balans VL '!E23/100/3.6*1000000</f>
        <v>4.1672902594042112E-2</v>
      </c>
      <c r="K13" s="33"/>
      <c r="L13" s="33"/>
      <c r="M13" s="33"/>
      <c r="N13" s="33">
        <f>C35*'E Balans VL '!Y23/100/3.6*1000000</f>
        <v>783.22605763299282</v>
      </c>
      <c r="O13" s="33"/>
      <c r="P13" s="33"/>
      <c r="R13" s="32"/>
    </row>
    <row r="14" spans="1:18">
      <c r="A14" s="6" t="s">
        <v>34</v>
      </c>
      <c r="B14" s="37">
        <f t="shared" si="0"/>
        <v>18906.307706280702</v>
      </c>
      <c r="C14" s="33"/>
      <c r="D14" s="37">
        <f>IF( ISERROR(IND_chemie_gas_kWh/1000),0,IND_chemie_gas_kWh/1000)*0.902</f>
        <v>0</v>
      </c>
      <c r="E14" s="33">
        <f>C36*'E Balans VL '!I24/100/3.6*1000000</f>
        <v>46.541912560154081</v>
      </c>
      <c r="F14" s="33">
        <f>C36*'E Balans VL '!L24/100/3.6*1000000+C36*'E Balans VL '!N24/100/3.6*1000000</f>
        <v>202.44785619626273</v>
      </c>
      <c r="G14" s="34"/>
      <c r="H14" s="33"/>
      <c r="I14" s="33"/>
      <c r="J14" s="40">
        <f>C36*'E Balans VL '!D24/100/3.6*1000000+C36*'E Balans VL '!E24/100/3.6*1000000</f>
        <v>0</v>
      </c>
      <c r="K14" s="33"/>
      <c r="L14" s="33"/>
      <c r="M14" s="33"/>
      <c r="N14" s="33">
        <f>C36*'E Balans VL '!Y24/100/3.6*1000000</f>
        <v>422.22452174077324</v>
      </c>
      <c r="O14" s="33"/>
      <c r="P14" s="33"/>
      <c r="R14" s="32"/>
    </row>
    <row r="15" spans="1:18">
      <c r="A15" s="6" t="s">
        <v>270</v>
      </c>
      <c r="B15" s="37">
        <f t="shared" si="0"/>
        <v>46664.384710576698</v>
      </c>
      <c r="C15" s="33"/>
      <c r="D15" s="37">
        <f>IF( ISERROR(IND_rest_gas_kWh/1000),0,IND_rest_gas_kWh/1000)*0.902</f>
        <v>26505.689904563667</v>
      </c>
      <c r="E15" s="33">
        <f>C37*'E Balans VL '!I15/100/3.6*1000000</f>
        <v>2576.6179252886404</v>
      </c>
      <c r="F15" s="33">
        <f>C37*'E Balans VL '!L15/100/3.6*1000000+C37*'E Balans VL '!N15/100/3.6*1000000</f>
        <v>9242.8179222793442</v>
      </c>
      <c r="G15" s="34"/>
      <c r="H15" s="33"/>
      <c r="I15" s="33"/>
      <c r="J15" s="40">
        <f>C37*'E Balans VL '!D15/100/3.6*1000000+C37*'E Balans VL '!E15/100/3.6*1000000</f>
        <v>167.05760991129503</v>
      </c>
      <c r="K15" s="33"/>
      <c r="L15" s="33"/>
      <c r="M15" s="33"/>
      <c r="N15" s="33">
        <f>C37*'E Balans VL '!Y15/100/3.6*1000000</f>
        <v>10467.553962427968</v>
      </c>
      <c r="O15" s="33"/>
      <c r="P15" s="33"/>
      <c r="R15" s="32"/>
    </row>
    <row r="16" spans="1:18">
      <c r="A16" s="16" t="s">
        <v>488</v>
      </c>
      <c r="B16" s="247">
        <f>'lokale energieproductie'!N90+'lokale energieproductie'!N59</f>
        <v>13617</v>
      </c>
      <c r="C16" s="247">
        <f>'lokale energieproductie'!O90+'lokale energieproductie'!O59</f>
        <v>19452.857142857141</v>
      </c>
      <c r="D16" s="310">
        <f>('lokale energieproductie'!P59+'lokale energieproductie'!P90)*(-1)</f>
        <v>-23618.571428571431</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88798.594629867875</v>
      </c>
      <c r="C18" s="21">
        <f>C5+C16</f>
        <v>19452.857142857141</v>
      </c>
      <c r="D18" s="21">
        <f>MAX((D5+D16),0)</f>
        <v>27920.619811941931</v>
      </c>
      <c r="E18" s="21">
        <f>MAX((E5+E16),0)</f>
        <v>4593.8399192359848</v>
      </c>
      <c r="F18" s="21">
        <f>MAX((F5+F16),0)</f>
        <v>15028.121024448767</v>
      </c>
      <c r="G18" s="21"/>
      <c r="H18" s="21"/>
      <c r="I18" s="21"/>
      <c r="J18" s="21">
        <f>MAX((J5+J16),0)</f>
        <v>167.09928281388906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0.11069738345064536</v>
      </c>
      <c r="C20" s="25">
        <f ca="1">'EF ele_warmte'!B22</f>
        <v>0.14905164010723015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9829.7720796209032</v>
      </c>
      <c r="C22" s="23">
        <f ca="1">C18*C20</f>
        <v>2899.4802619145039</v>
      </c>
      <c r="D22" s="23">
        <f>D18*D20</f>
        <v>5639.9652020122703</v>
      </c>
      <c r="E22" s="23">
        <f>E18*E20</f>
        <v>1042.8016616665686</v>
      </c>
      <c r="F22" s="23">
        <f>F18*F20</f>
        <v>4012.508313527821</v>
      </c>
      <c r="G22" s="23"/>
      <c r="H22" s="23"/>
      <c r="I22" s="23"/>
      <c r="J22" s="23">
        <f>J18*J20</f>
        <v>59.153146116116723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636.45724737402406</v>
      </c>
      <c r="C30" s="39">
        <f>IF(ISERROR(B30*3.6/1000000/'E Balans VL '!Z18*100),0,B30*3.6/1000000/'E Balans VL '!Z18*100)</f>
        <v>3.6069664191807807E-2</v>
      </c>
      <c r="D30" s="237" t="s">
        <v>754</v>
      </c>
    </row>
    <row r="31" spans="1:18">
      <c r="A31" s="6" t="s">
        <v>33</v>
      </c>
      <c r="B31" s="37">
        <f>IF( ISERROR(IND_ander_ele_kWh/1000),0,IND_ander_ele_kWh/1000)</f>
        <v>6705.6577689075202</v>
      </c>
      <c r="C31" s="39">
        <f>IF(ISERROR(B31*3.6/1000000/'E Balans VL '!Z19*100),0,B31*3.6/1000000/'E Balans VL '!Z19*100)</f>
        <v>0.30414071452466707</v>
      </c>
      <c r="D31" s="237" t="s">
        <v>754</v>
      </c>
    </row>
    <row r="32" spans="1:18">
      <c r="A32" s="171" t="s">
        <v>41</v>
      </c>
      <c r="B32" s="37">
        <f>IF( ISERROR(IND_voed_ele_kWh/1000),0,IND_voed_ele_kWh/1000)</f>
        <v>1973.3017775616299</v>
      </c>
      <c r="C32" s="39">
        <f>IF(ISERROR(B32*3.6/1000000/'E Balans VL '!Z20*100),0,B32*3.6/1000000/'E Balans VL '!Z20*100)</f>
        <v>6.1043182013675347E-2</v>
      </c>
      <c r="D32" s="237" t="s">
        <v>754</v>
      </c>
    </row>
    <row r="33" spans="1:5">
      <c r="A33" s="171" t="s">
        <v>40</v>
      </c>
      <c r="B33" s="37">
        <f>IF( ISERROR(IND_textiel_ele_kWh/1000),0,IND_textiel_ele_kWh/1000)</f>
        <v>26.035869555173701</v>
      </c>
      <c r="C33" s="39">
        <f>IF(ISERROR(B33*3.6/1000000/'E Balans VL '!Z21*100),0,B33*3.6/1000000/'E Balans VL '!Z21*100)</f>
        <v>3.3947879865680827E-3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269.44954961211801</v>
      </c>
      <c r="C35" s="39">
        <f>IF(ISERROR(B35*3.6/1000000/'E Balans VL '!Z22*100),0,B35*3.6/1000000/'E Balans VL '!Z22*100)</f>
        <v>4.8465567246091718E-2</v>
      </c>
      <c r="D35" s="237" t="s">
        <v>754</v>
      </c>
    </row>
    <row r="36" spans="1:5">
      <c r="A36" s="171" t="s">
        <v>34</v>
      </c>
      <c r="B36" s="37">
        <f>IF( ISERROR(IND_chemie_ele_kWh/1000),0,IND_chemie_ele_kWh/1000)</f>
        <v>18906.307706280702</v>
      </c>
      <c r="C36" s="39">
        <f>IF(ISERROR(B36*3.6/1000000/'E Balans VL '!Z24*100),0,B36*3.6/1000000/'E Balans VL '!Z24*100)</f>
        <v>0.57652941735449681</v>
      </c>
      <c r="D36" s="237" t="s">
        <v>754</v>
      </c>
    </row>
    <row r="37" spans="1:5">
      <c r="A37" s="171" t="s">
        <v>270</v>
      </c>
      <c r="B37" s="37">
        <f>IF( ISERROR(IND_rest_ele_kWh/1000),0,IND_rest_ele_kWh/1000)</f>
        <v>46664.384710576698</v>
      </c>
      <c r="C37" s="39">
        <f>IF(ISERROR(B37*3.6/1000000/'E Balans VL '!Z15*100),0,B37*3.6/1000000/'E Balans VL '!Z15*100)</f>
        <v>0.36987255814613662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10735.454325723567</v>
      </c>
      <c r="C5" s="17">
        <f>'Eigen informatie GS &amp; warmtenet'!B60</f>
        <v>0</v>
      </c>
      <c r="D5" s="30">
        <f>IF(ISERROR(SUM(LB_lb_gas_kWh,LB_rest_gas_kWh)/1000),0,SUM(LB_lb_gas_kWh,LB_rest_gas_kWh)/1000)*0.902</f>
        <v>137348.88369362231</v>
      </c>
      <c r="E5" s="17">
        <f>B17*'E Balans VL '!I25/3.6*1000000/100</f>
        <v>315.54779249518145</v>
      </c>
      <c r="F5" s="17">
        <f>B17*('E Balans VL '!L25/3.6*1000000+'E Balans VL '!N25/3.6*1000000)/100</f>
        <v>44723.322607461429</v>
      </c>
      <c r="G5" s="18"/>
      <c r="H5" s="17"/>
      <c r="I5" s="17"/>
      <c r="J5" s="17">
        <f>('E Balans VL '!D25+'E Balans VL '!E25)/3.6*1000000*landbouw!B17/100</f>
        <v>1555.3367852766598</v>
      </c>
      <c r="K5" s="17"/>
      <c r="L5" s="17">
        <f>L6*(-1)</f>
        <v>0</v>
      </c>
      <c r="M5" s="17"/>
      <c r="N5" s="17">
        <f>N6*(-1)</f>
        <v>67123.285714285725</v>
      </c>
      <c r="O5" s="17"/>
      <c r="P5" s="17"/>
      <c r="R5" s="32"/>
    </row>
    <row r="6" spans="1:18">
      <c r="A6" s="16" t="s">
        <v>488</v>
      </c>
      <c r="B6" s="17" t="s">
        <v>211</v>
      </c>
      <c r="C6" s="17">
        <f>'lokale energieproductie'!O92+'lokale energieproductie'!O61</f>
        <v>107856.64285714288</v>
      </c>
      <c r="D6" s="310">
        <f>('lokale energieproductie'!P61+'lokale energieproductie'!P92)*(-1)</f>
        <v>-148590.00000000003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10735.454325723567</v>
      </c>
      <c r="C8" s="21">
        <f>C5+C6</f>
        <v>107856.64285714288</v>
      </c>
      <c r="D8" s="21">
        <f>MAX((D5+D6),0)</f>
        <v>0</v>
      </c>
      <c r="E8" s="21">
        <f>MAX((E5+E6),0)</f>
        <v>315.54779249518145</v>
      </c>
      <c r="F8" s="21">
        <f>MAX((F5+F6),0)</f>
        <v>44723.322607461429</v>
      </c>
      <c r="G8" s="21"/>
      <c r="H8" s="21"/>
      <c r="I8" s="21"/>
      <c r="J8" s="21">
        <f>MAX((J5+J6),0)</f>
        <v>1555.3367852766598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0.11069738345064536</v>
      </c>
      <c r="C10" s="31">
        <f ca="1">'EF ele_warmte'!B22</f>
        <v>0.14905164010723015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1188.3867040115113</v>
      </c>
      <c r="C12" s="23">
        <f ca="1">C8*C10</f>
        <v>16076.209514316917</v>
      </c>
      <c r="D12" s="23">
        <f>D8*D10</f>
        <v>0</v>
      </c>
      <c r="E12" s="23">
        <f>E8*E10</f>
        <v>71.629348896406199</v>
      </c>
      <c r="F12" s="23">
        <f>F8*F10</f>
        <v>11941.127136192203</v>
      </c>
      <c r="G12" s="23"/>
      <c r="H12" s="23"/>
      <c r="I12" s="23"/>
      <c r="J12" s="23">
        <f>J8*J10</f>
        <v>550.58922198793755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1.5233946502809415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943.87252467080577</v>
      </c>
      <c r="C26" s="247">
        <f>B26*'GWP N2O_CH4'!B5</f>
        <v>19821.323018086921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435.83133601825699</v>
      </c>
      <c r="C27" s="247">
        <f>B27*'GWP N2O_CH4'!B5</f>
        <v>9152.458056383397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13.74680682379779</v>
      </c>
      <c r="C28" s="247">
        <f>B28*'GWP N2O_CH4'!B4</f>
        <v>4261.5101153773148</v>
      </c>
      <c r="D28" s="50"/>
    </row>
    <row r="29" spans="1:4">
      <c r="A29" s="41" t="s">
        <v>277</v>
      </c>
      <c r="B29" s="247">
        <f>B34*'ha_N2O bodem landbouw'!B4</f>
        <v>44.973410725387815</v>
      </c>
      <c r="C29" s="247">
        <f>B29*'GWP N2O_CH4'!B4</f>
        <v>13941.757324870223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1.0262777342265298E-2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1.1112855656477847E-3</v>
      </c>
      <c r="C5" s="463" t="s">
        <v>211</v>
      </c>
      <c r="D5" s="448">
        <f>SUM(D6:D11)</f>
        <v>3.9938571998233922E-3</v>
      </c>
      <c r="E5" s="448">
        <f>SUM(E6:E11)</f>
        <v>5.794301266227847E-3</v>
      </c>
      <c r="F5" s="461" t="s">
        <v>211</v>
      </c>
      <c r="G5" s="448">
        <f>SUM(G6:G11)</f>
        <v>3.1493543773026422</v>
      </c>
      <c r="H5" s="448">
        <f>SUM(H6:H11)</f>
        <v>0.45714813538497007</v>
      </c>
      <c r="I5" s="463" t="s">
        <v>211</v>
      </c>
      <c r="J5" s="463" t="s">
        <v>211</v>
      </c>
      <c r="K5" s="463" t="s">
        <v>211</v>
      </c>
      <c r="L5" s="463" t="s">
        <v>211</v>
      </c>
      <c r="M5" s="448">
        <f>SUM(M6:M11)</f>
        <v>0.19749068190624483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4.0231212757648203E-4</v>
      </c>
      <c r="C6" s="449"/>
      <c r="D6" s="892">
        <f>vkm_2011_GW_PW*SUMIFS(TableVerdeelsleutelVkm[CNG],TableVerdeelsleutelVkm[Voertuigtype],"Lichte voertuigen")*SUMIFS(TableECFTransport[EnergieConsumptieFactor (PJ per km)],TableECFTransport[Index],CONCATENATE($A6,"_CNG_CNG"))</f>
        <v>1.2067054765716693E-3</v>
      </c>
      <c r="E6" s="892">
        <f>vkm_2011_GW_PW*SUMIFS(TableVerdeelsleutelVkm[LPG],TableVerdeelsleutelVkm[Voertuigtype],"Lichte voertuigen")*SUMIFS(TableECFTransport[EnergieConsumptieFactor (PJ per km)],TableECFTransport[Index],CONCATENATE($A6,"_LPG_LPG"))</f>
        <v>1.6485330156962848E-3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0.42623506793106009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0.13724886296025382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2.8951390893748825E-2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0.50621302198802376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1.5428344280107636E-4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2.9581381139184997E-2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2.5631127710373601E-4</v>
      </c>
      <c r="C8" s="449"/>
      <c r="D8" s="451">
        <f>vkm_2011_NGW_PW*SUMIFS(TableVerdeelsleutelVkm[CNG],TableVerdeelsleutelVkm[Voertuigtype],"Lichte voertuigen")*SUMIFS(TableECFTransport[EnergieConsumptieFactor (PJ per km)],TableECFTransport[Index],CONCATENATE($A8,"_CNG_CNG"))</f>
        <v>1.3669114039756218E-3</v>
      </c>
      <c r="E8" s="451">
        <f>vkm_2011_NGW_PW*SUMIFS(TableVerdeelsleutelVkm[LPG],TableVerdeelsleutelVkm[Voertuigtype],"Lichte voertuigen")*SUMIFS(TableECFTransport[EnergieConsumptieFactor (PJ per km)],TableECFTransport[Index],CONCATENATE($A8,"_LPG_LPG"))</f>
        <v>1.7294218236534361E-3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0.41669574744865917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0.1510832189094154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2.8802007454039612E-2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0.42486638868255444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1.2190424685519491E-4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2.4827534613234101E-2</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4.5266216096756658E-4</v>
      </c>
      <c r="C10" s="449"/>
      <c r="D10" s="451">
        <f>vkm_2011_SW_PW*SUMIFS(TableVerdeelsleutelVkm[CNG],TableVerdeelsleutelVkm[Voertuigtype],"Lichte voertuigen")*SUMIFS(TableECFTransport[EnergieConsumptieFactor (PJ per km)],TableECFTransport[Index],CONCATENATE($A10,"_CNG_CNG"))</f>
        <v>1.4202403192761005E-3</v>
      </c>
      <c r="E10" s="451">
        <f>vkm_2011_SW_PW*SUMIFS(TableVerdeelsleutelVkm[LPG],TableVerdeelsleutelVkm[Voertuigtype],"Lichte voertuigen")*SUMIFS(TableECFTransport[EnergieConsumptieFactor (PJ per km)],TableECFTransport[Index],CONCATENATE($A10,"_LPG_LPG"))</f>
        <v>2.4163464268781259E-3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0.55697332610567751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0.16827051663552539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3.7504950179637904E-2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0.81837082514666704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2.6934919011916981E-4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4.7823417626399377E-2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308.69043490216245</v>
      </c>
      <c r="C14" s="21"/>
      <c r="D14" s="21">
        <f t="shared" ref="D14:M14" si="0">((D5)*10^9/3600)+D12</f>
        <v>1109.4047777287201</v>
      </c>
      <c r="E14" s="21">
        <f t="shared" si="0"/>
        <v>1609.5281295077352</v>
      </c>
      <c r="F14" s="21"/>
      <c r="G14" s="21">
        <f t="shared" si="0"/>
        <v>874820.66036184505</v>
      </c>
      <c r="H14" s="21">
        <f t="shared" si="0"/>
        <v>126985.59316249168</v>
      </c>
      <c r="I14" s="21"/>
      <c r="J14" s="21"/>
      <c r="K14" s="21"/>
      <c r="L14" s="21"/>
      <c r="M14" s="21">
        <f t="shared" si="0"/>
        <v>54858.522751734679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0.11069738345064536</v>
      </c>
      <c r="C16" s="56">
        <f ca="1">'EF ele_warmte'!B22</f>
        <v>0.14905164010723015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34.171223439911159</v>
      </c>
      <c r="C18" s="23"/>
      <c r="D18" s="23">
        <f t="shared" ref="D18:M18" si="1">D14*D16</f>
        <v>224.09976510120148</v>
      </c>
      <c r="E18" s="23">
        <f t="shared" si="1"/>
        <v>365.36288539825591</v>
      </c>
      <c r="F18" s="23"/>
      <c r="G18" s="23">
        <f t="shared" si="1"/>
        <v>233577.11631661264</v>
      </c>
      <c r="H18" s="23">
        <f t="shared" si="1"/>
        <v>31619.41269746043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1.3440824796139211E-2</v>
      </c>
      <c r="H50" s="321">
        <f t="shared" si="2"/>
        <v>0</v>
      </c>
      <c r="I50" s="321">
        <f t="shared" si="2"/>
        <v>0</v>
      </c>
      <c r="J50" s="321">
        <f t="shared" si="2"/>
        <v>0</v>
      </c>
      <c r="K50" s="321">
        <f t="shared" si="2"/>
        <v>0</v>
      </c>
      <c r="L50" s="321">
        <f t="shared" si="2"/>
        <v>0</v>
      </c>
      <c r="M50" s="321">
        <f t="shared" si="2"/>
        <v>7.6337951287297305E-4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1.3440824796139211E-2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7.6337951287297305E-4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3733.5624433720027</v>
      </c>
      <c r="H54" s="21">
        <f t="shared" si="3"/>
        <v>0</v>
      </c>
      <c r="I54" s="21">
        <f t="shared" si="3"/>
        <v>0</v>
      </c>
      <c r="J54" s="21">
        <f t="shared" si="3"/>
        <v>0</v>
      </c>
      <c r="K54" s="21">
        <f t="shared" si="3"/>
        <v>0</v>
      </c>
      <c r="L54" s="21">
        <f t="shared" si="3"/>
        <v>0</v>
      </c>
      <c r="M54" s="21">
        <f t="shared" si="3"/>
        <v>212.04986468693698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0.11069738345064536</v>
      </c>
      <c r="C56" s="56">
        <f ca="1">'EF ele_warmte'!B22</f>
        <v>0.14905164010723015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996.86117238032477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180719.39030958875</v>
      </c>
      <c r="D10" s="1013">
        <f ca="1">tertiair!C16</f>
        <v>34502.142857142855</v>
      </c>
      <c r="E10" s="1013">
        <f ca="1">tertiair!D16</f>
        <v>77675.509796136786</v>
      </c>
      <c r="F10" s="1013">
        <f>tertiair!E16</f>
        <v>1053.5155381784639</v>
      </c>
      <c r="G10" s="1013">
        <f ca="1">tertiair!F16</f>
        <v>25118.567404209265</v>
      </c>
      <c r="H10" s="1013">
        <f>tertiair!G16</f>
        <v>0</v>
      </c>
      <c r="I10" s="1013">
        <f>tertiair!H16</f>
        <v>0</v>
      </c>
      <c r="J10" s="1013">
        <f>tertiair!I16</f>
        <v>0</v>
      </c>
      <c r="K10" s="1013">
        <f>tertiair!J16</f>
        <v>0.20106040325634891</v>
      </c>
      <c r="L10" s="1013">
        <f>tertiair!K16</f>
        <v>0</v>
      </c>
      <c r="M10" s="1013">
        <f ca="1">tertiair!L16</f>
        <v>0</v>
      </c>
      <c r="N10" s="1013">
        <f>tertiair!M16</f>
        <v>0</v>
      </c>
      <c r="O10" s="1013">
        <f ca="1">tertiair!N16</f>
        <v>0</v>
      </c>
      <c r="P10" s="1013">
        <f>tertiair!O16</f>
        <v>14.070000000000002</v>
      </c>
      <c r="Q10" s="1014">
        <f>tertiair!P16</f>
        <v>133.46666666666667</v>
      </c>
      <c r="R10" s="700">
        <f ca="1">SUM(C10:Q10)</f>
        <v>319216.86363232601</v>
      </c>
      <c r="S10" s="67"/>
    </row>
    <row r="11" spans="1:19" s="473" customFormat="1">
      <c r="A11" s="809" t="s">
        <v>225</v>
      </c>
      <c r="B11" s="814"/>
      <c r="C11" s="1013">
        <f>huishoudens!B8</f>
        <v>95345.76496477281</v>
      </c>
      <c r="D11" s="1013">
        <f>huishoudens!C8</f>
        <v>0</v>
      </c>
      <c r="E11" s="1013">
        <f>huishoudens!D8</f>
        <v>203349.14569799512</v>
      </c>
      <c r="F11" s="1013">
        <f>huishoudens!E8</f>
        <v>4113.9897670217697</v>
      </c>
      <c r="G11" s="1013">
        <f>huishoudens!F8</f>
        <v>0</v>
      </c>
      <c r="H11" s="1013">
        <f>huishoudens!G8</f>
        <v>0</v>
      </c>
      <c r="I11" s="1013">
        <f>huishoudens!H8</f>
        <v>0</v>
      </c>
      <c r="J11" s="1013">
        <f>huishoudens!I8</f>
        <v>0</v>
      </c>
      <c r="K11" s="1013">
        <f>huishoudens!J8</f>
        <v>4816.5606637662831</v>
      </c>
      <c r="L11" s="1013">
        <f>huishoudens!K8</f>
        <v>0</v>
      </c>
      <c r="M11" s="1013">
        <f>huishoudens!L8</f>
        <v>0</v>
      </c>
      <c r="N11" s="1013">
        <f>huishoudens!M8</f>
        <v>0</v>
      </c>
      <c r="O11" s="1013">
        <f>huishoudens!N8</f>
        <v>33311.279684876492</v>
      </c>
      <c r="P11" s="1013">
        <f>huishoudens!O8</f>
        <v>1188.1333333333334</v>
      </c>
      <c r="Q11" s="1014">
        <f>huishoudens!P8</f>
        <v>2097.3333333333335</v>
      </c>
      <c r="R11" s="700">
        <f>SUM(C11:Q11)</f>
        <v>344222.20744509919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88798.594629867875</v>
      </c>
      <c r="D13" s="1013">
        <f>industrie!C18</f>
        <v>19452.857142857141</v>
      </c>
      <c r="E13" s="1013">
        <f>industrie!D18</f>
        <v>27920.619811941931</v>
      </c>
      <c r="F13" s="1013">
        <f>industrie!E18</f>
        <v>4593.8399192359848</v>
      </c>
      <c r="G13" s="1013">
        <f>industrie!F18</f>
        <v>15028.121024448767</v>
      </c>
      <c r="H13" s="1013">
        <f>industrie!G18</f>
        <v>0</v>
      </c>
      <c r="I13" s="1013">
        <f>industrie!H18</f>
        <v>0</v>
      </c>
      <c r="J13" s="1013">
        <f>industrie!I18</f>
        <v>0</v>
      </c>
      <c r="K13" s="1013">
        <f>industrie!J18</f>
        <v>167.09928281388906</v>
      </c>
      <c r="L13" s="1013">
        <f>industrie!K18</f>
        <v>0</v>
      </c>
      <c r="M13" s="1013">
        <f>industrie!L18</f>
        <v>0</v>
      </c>
      <c r="N13" s="1013">
        <f>industrie!M18</f>
        <v>0</v>
      </c>
      <c r="O13" s="1013">
        <f>industrie!N18</f>
        <v>0</v>
      </c>
      <c r="P13" s="1013">
        <f>industrie!O18</f>
        <v>0</v>
      </c>
      <c r="Q13" s="1014">
        <f>industrie!P18</f>
        <v>0</v>
      </c>
      <c r="R13" s="700">
        <f>SUM(C13:Q13)</f>
        <v>155961.13181116563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364863.74990422942</v>
      </c>
      <c r="D16" s="732">
        <f t="shared" ref="D16:R16" ca="1" si="0">SUM(D9:D15)</f>
        <v>53955</v>
      </c>
      <c r="E16" s="732">
        <f t="shared" ca="1" si="0"/>
        <v>308945.27530607383</v>
      </c>
      <c r="F16" s="732">
        <f t="shared" si="0"/>
        <v>9761.3452244362179</v>
      </c>
      <c r="G16" s="732">
        <f t="shared" ca="1" si="0"/>
        <v>40146.688428658032</v>
      </c>
      <c r="H16" s="732">
        <f t="shared" si="0"/>
        <v>0</v>
      </c>
      <c r="I16" s="732">
        <f t="shared" si="0"/>
        <v>0</v>
      </c>
      <c r="J16" s="732">
        <f t="shared" si="0"/>
        <v>0</v>
      </c>
      <c r="K16" s="732">
        <f t="shared" si="0"/>
        <v>4983.8610069834285</v>
      </c>
      <c r="L16" s="732">
        <f t="shared" si="0"/>
        <v>0</v>
      </c>
      <c r="M16" s="732">
        <f t="shared" ca="1" si="0"/>
        <v>0</v>
      </c>
      <c r="N16" s="732">
        <f t="shared" si="0"/>
        <v>0</v>
      </c>
      <c r="O16" s="732">
        <f t="shared" ca="1" si="0"/>
        <v>33311.279684876492</v>
      </c>
      <c r="P16" s="732">
        <f t="shared" si="0"/>
        <v>1202.2033333333334</v>
      </c>
      <c r="Q16" s="732">
        <f t="shared" si="0"/>
        <v>2230.8000000000002</v>
      </c>
      <c r="R16" s="732">
        <f t="shared" ca="1" si="0"/>
        <v>819400.20288859087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3733.5624433720027</v>
      </c>
      <c r="I19" s="1013">
        <f>transport!H54</f>
        <v>0</v>
      </c>
      <c r="J19" s="1013">
        <f>transport!I54</f>
        <v>0</v>
      </c>
      <c r="K19" s="1013">
        <f>transport!J54</f>
        <v>0</v>
      </c>
      <c r="L19" s="1013">
        <f>transport!K54</f>
        <v>0</v>
      </c>
      <c r="M19" s="1013">
        <f>transport!L54</f>
        <v>0</v>
      </c>
      <c r="N19" s="1013">
        <f>transport!M54</f>
        <v>212.04986468693698</v>
      </c>
      <c r="O19" s="1013">
        <f>transport!N54</f>
        <v>0</v>
      </c>
      <c r="P19" s="1013">
        <f>transport!O54</f>
        <v>0</v>
      </c>
      <c r="Q19" s="1014">
        <f>transport!P54</f>
        <v>0</v>
      </c>
      <c r="R19" s="700">
        <f>SUM(C19:Q19)</f>
        <v>3945.6123080589396</v>
      </c>
      <c r="S19" s="67"/>
    </row>
    <row r="20" spans="1:19" s="473" customFormat="1">
      <c r="A20" s="809" t="s">
        <v>307</v>
      </c>
      <c r="B20" s="814"/>
      <c r="C20" s="1013">
        <f>transport!B14</f>
        <v>308.69043490216245</v>
      </c>
      <c r="D20" s="1013">
        <f>transport!C14</f>
        <v>0</v>
      </c>
      <c r="E20" s="1013">
        <f>transport!D14</f>
        <v>1109.4047777287201</v>
      </c>
      <c r="F20" s="1013">
        <f>transport!E14</f>
        <v>1609.5281295077352</v>
      </c>
      <c r="G20" s="1013">
        <f>transport!F14</f>
        <v>0</v>
      </c>
      <c r="H20" s="1013">
        <f>transport!G14</f>
        <v>874820.66036184505</v>
      </c>
      <c r="I20" s="1013">
        <f>transport!H14</f>
        <v>126985.59316249168</v>
      </c>
      <c r="J20" s="1013">
        <f>transport!I14</f>
        <v>0</v>
      </c>
      <c r="K20" s="1013">
        <f>transport!J14</f>
        <v>0</v>
      </c>
      <c r="L20" s="1013">
        <f>transport!K14</f>
        <v>0</v>
      </c>
      <c r="M20" s="1013">
        <f>transport!L14</f>
        <v>0</v>
      </c>
      <c r="N20" s="1013">
        <f>transport!M14</f>
        <v>54858.522751734679</v>
      </c>
      <c r="O20" s="1013">
        <f>transport!N14</f>
        <v>0</v>
      </c>
      <c r="P20" s="1013">
        <f>transport!O14</f>
        <v>0</v>
      </c>
      <c r="Q20" s="1014">
        <f>transport!P14</f>
        <v>0</v>
      </c>
      <c r="R20" s="700">
        <f>SUM(C20:Q20)</f>
        <v>1059692.39961821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308.69043490216245</v>
      </c>
      <c r="D22" s="812">
        <f t="shared" ref="D22:R22" si="1">SUM(D18:D21)</f>
        <v>0</v>
      </c>
      <c r="E22" s="812">
        <f t="shared" si="1"/>
        <v>1109.4047777287201</v>
      </c>
      <c r="F22" s="812">
        <f t="shared" si="1"/>
        <v>1609.5281295077352</v>
      </c>
      <c r="G22" s="812">
        <f t="shared" si="1"/>
        <v>0</v>
      </c>
      <c r="H22" s="812">
        <f t="shared" si="1"/>
        <v>878554.22280521702</v>
      </c>
      <c r="I22" s="812">
        <f t="shared" si="1"/>
        <v>126985.59316249168</v>
      </c>
      <c r="J22" s="812">
        <f t="shared" si="1"/>
        <v>0</v>
      </c>
      <c r="K22" s="812">
        <f t="shared" si="1"/>
        <v>0</v>
      </c>
      <c r="L22" s="812">
        <f t="shared" si="1"/>
        <v>0</v>
      </c>
      <c r="M22" s="812">
        <f t="shared" si="1"/>
        <v>0</v>
      </c>
      <c r="N22" s="812">
        <f t="shared" si="1"/>
        <v>55070.572616421618</v>
      </c>
      <c r="O22" s="812">
        <f t="shared" si="1"/>
        <v>0</v>
      </c>
      <c r="P22" s="812">
        <f t="shared" si="1"/>
        <v>0</v>
      </c>
      <c r="Q22" s="812">
        <f t="shared" si="1"/>
        <v>0</v>
      </c>
      <c r="R22" s="812">
        <f t="shared" si="1"/>
        <v>1063638.0119262689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10735.454325723567</v>
      </c>
      <c r="D24" s="1013">
        <f>+landbouw!C8</f>
        <v>107856.64285714288</v>
      </c>
      <c r="E24" s="1013">
        <f>+landbouw!D8</f>
        <v>0</v>
      </c>
      <c r="F24" s="1013">
        <f>+landbouw!E8</f>
        <v>315.54779249518145</v>
      </c>
      <c r="G24" s="1013">
        <f>+landbouw!F8</f>
        <v>44723.322607461429</v>
      </c>
      <c r="H24" s="1013">
        <f>+landbouw!G8</f>
        <v>0</v>
      </c>
      <c r="I24" s="1013">
        <f>+landbouw!H8</f>
        <v>0</v>
      </c>
      <c r="J24" s="1013">
        <f>+landbouw!I8</f>
        <v>0</v>
      </c>
      <c r="K24" s="1013">
        <f>+landbouw!J8</f>
        <v>1555.3367852766598</v>
      </c>
      <c r="L24" s="1013">
        <f>+landbouw!K8</f>
        <v>0</v>
      </c>
      <c r="M24" s="1013">
        <f>+landbouw!L8</f>
        <v>0</v>
      </c>
      <c r="N24" s="1013">
        <f>+landbouw!M8</f>
        <v>0</v>
      </c>
      <c r="O24" s="1013">
        <f>+landbouw!N8</f>
        <v>0</v>
      </c>
      <c r="P24" s="1013">
        <f>+landbouw!O8</f>
        <v>0</v>
      </c>
      <c r="Q24" s="1014">
        <f>+landbouw!P8</f>
        <v>0</v>
      </c>
      <c r="R24" s="700">
        <f>SUM(C24:Q24)</f>
        <v>165186.30436809972</v>
      </c>
      <c r="S24" s="67"/>
    </row>
    <row r="25" spans="1:19" s="473" customFormat="1" ht="15" thickBot="1">
      <c r="A25" s="831" t="s">
        <v>836</v>
      </c>
      <c r="B25" s="1016"/>
      <c r="C25" s="1017">
        <f>IF(Onbekend_ele_kWh="---",0,Onbekend_ele_kWh)/1000+IF(REST_rest_ele_kWh="---",0,REST_rest_ele_kWh)/1000</f>
        <v>7592.8729582333308</v>
      </c>
      <c r="D25" s="1017"/>
      <c r="E25" s="1017">
        <f>IF(onbekend_gas_kWh="---",0,onbekend_gas_kWh)/1000+IF(REST_rest_gas_kWh="---",0,REST_rest_gas_kWh)/1000</f>
        <v>6348.0402530504798</v>
      </c>
      <c r="F25" s="1017"/>
      <c r="G25" s="1017"/>
      <c r="H25" s="1017"/>
      <c r="I25" s="1017"/>
      <c r="J25" s="1017"/>
      <c r="K25" s="1017"/>
      <c r="L25" s="1017"/>
      <c r="M25" s="1017"/>
      <c r="N25" s="1017"/>
      <c r="O25" s="1017"/>
      <c r="P25" s="1017"/>
      <c r="Q25" s="1018"/>
      <c r="R25" s="700">
        <f>SUM(C25:Q25)</f>
        <v>13940.913211283811</v>
      </c>
      <c r="S25" s="67"/>
    </row>
    <row r="26" spans="1:19" s="473" customFormat="1" ht="15.75" thickBot="1">
      <c r="A26" s="705" t="s">
        <v>837</v>
      </c>
      <c r="B26" s="817"/>
      <c r="C26" s="812">
        <f>SUM(C24:C25)</f>
        <v>18328.327283956896</v>
      </c>
      <c r="D26" s="812">
        <f t="shared" ref="D26:R26" si="2">SUM(D24:D25)</f>
        <v>107856.64285714288</v>
      </c>
      <c r="E26" s="812">
        <f t="shared" si="2"/>
        <v>6348.0402530504798</v>
      </c>
      <c r="F26" s="812">
        <f t="shared" si="2"/>
        <v>315.54779249518145</v>
      </c>
      <c r="G26" s="812">
        <f t="shared" si="2"/>
        <v>44723.322607461429</v>
      </c>
      <c r="H26" s="812">
        <f t="shared" si="2"/>
        <v>0</v>
      </c>
      <c r="I26" s="812">
        <f t="shared" si="2"/>
        <v>0</v>
      </c>
      <c r="J26" s="812">
        <f t="shared" si="2"/>
        <v>0</v>
      </c>
      <c r="K26" s="812">
        <f t="shared" si="2"/>
        <v>1555.3367852766598</v>
      </c>
      <c r="L26" s="812">
        <f t="shared" si="2"/>
        <v>0</v>
      </c>
      <c r="M26" s="812">
        <f t="shared" si="2"/>
        <v>0</v>
      </c>
      <c r="N26" s="812">
        <f t="shared" si="2"/>
        <v>0</v>
      </c>
      <c r="O26" s="812">
        <f t="shared" si="2"/>
        <v>0</v>
      </c>
      <c r="P26" s="812">
        <f t="shared" si="2"/>
        <v>0</v>
      </c>
      <c r="Q26" s="812">
        <f t="shared" si="2"/>
        <v>0</v>
      </c>
      <c r="R26" s="812">
        <f t="shared" si="2"/>
        <v>179127.21757938352</v>
      </c>
      <c r="S26" s="67"/>
    </row>
    <row r="27" spans="1:19" s="473" customFormat="1" ht="17.25" thickTop="1" thickBot="1">
      <c r="A27" s="706" t="s">
        <v>116</v>
      </c>
      <c r="B27" s="805"/>
      <c r="C27" s="707">
        <f ca="1">C22+C16+C26</f>
        <v>383500.76762308844</v>
      </c>
      <c r="D27" s="707">
        <f t="shared" ref="D27:R27" ca="1" si="3">D22+D16+D26</f>
        <v>161811.6428571429</v>
      </c>
      <c r="E27" s="707">
        <f t="shared" ca="1" si="3"/>
        <v>316402.72033685306</v>
      </c>
      <c r="F27" s="707">
        <f t="shared" si="3"/>
        <v>11686.421146439134</v>
      </c>
      <c r="G27" s="707">
        <f t="shared" ca="1" si="3"/>
        <v>84870.011036119453</v>
      </c>
      <c r="H27" s="707">
        <f t="shared" si="3"/>
        <v>878554.22280521702</v>
      </c>
      <c r="I27" s="707">
        <f t="shared" si="3"/>
        <v>126985.59316249168</v>
      </c>
      <c r="J27" s="707">
        <f t="shared" si="3"/>
        <v>0</v>
      </c>
      <c r="K27" s="707">
        <f t="shared" si="3"/>
        <v>6539.1977922600881</v>
      </c>
      <c r="L27" s="707">
        <f t="shared" si="3"/>
        <v>0</v>
      </c>
      <c r="M27" s="707">
        <f t="shared" ca="1" si="3"/>
        <v>0</v>
      </c>
      <c r="N27" s="707">
        <f t="shared" si="3"/>
        <v>55070.572616421618</v>
      </c>
      <c r="O27" s="707">
        <f t="shared" ca="1" si="3"/>
        <v>33311.279684876492</v>
      </c>
      <c r="P27" s="707">
        <f t="shared" si="3"/>
        <v>1202.2033333333334</v>
      </c>
      <c r="Q27" s="707">
        <f t="shared" si="3"/>
        <v>2230.8000000000002</v>
      </c>
      <c r="R27" s="707">
        <f t="shared" ca="1" si="3"/>
        <v>2062165.4323942433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20005.163646067391</v>
      </c>
      <c r="D40" s="1013">
        <f ca="1">tertiair!C20</f>
        <v>5142.6009800710981</v>
      </c>
      <c r="E40" s="1013">
        <f ca="1">tertiair!D20</f>
        <v>15690.452978819632</v>
      </c>
      <c r="F40" s="1013">
        <f>tertiair!E20</f>
        <v>239.1480271665113</v>
      </c>
      <c r="G40" s="1013">
        <f ca="1">tertiair!F20</f>
        <v>6706.6574969238745</v>
      </c>
      <c r="H40" s="1013">
        <f>tertiair!G20</f>
        <v>0</v>
      </c>
      <c r="I40" s="1013">
        <f>tertiair!H20</f>
        <v>0</v>
      </c>
      <c r="J40" s="1013">
        <f>tertiair!I20</f>
        <v>0</v>
      </c>
      <c r="K40" s="1013">
        <f>tertiair!J20</f>
        <v>7.1175382752747512E-2</v>
      </c>
      <c r="L40" s="1013">
        <f>tertiair!K20</f>
        <v>0</v>
      </c>
      <c r="M40" s="1013">
        <f ca="1">tertiair!L20</f>
        <v>0</v>
      </c>
      <c r="N40" s="1013">
        <f>tertiair!M20</f>
        <v>0</v>
      </c>
      <c r="O40" s="1013">
        <f ca="1">tertiair!N20</f>
        <v>0</v>
      </c>
      <c r="P40" s="1013">
        <f>tertiair!O20</f>
        <v>0</v>
      </c>
      <c r="Q40" s="774">
        <f>tertiair!P20</f>
        <v>0</v>
      </c>
      <c r="R40" s="850">
        <f t="shared" ca="1" si="4"/>
        <v>47784.094304431259</v>
      </c>
    </row>
    <row r="41" spans="1:18">
      <c r="A41" s="822" t="s">
        <v>225</v>
      </c>
      <c r="B41" s="829"/>
      <c r="C41" s="1013">
        <f ca="1">huishoudens!B12</f>
        <v>10554.526704700564</v>
      </c>
      <c r="D41" s="1013">
        <f ca="1">huishoudens!C12</f>
        <v>0</v>
      </c>
      <c r="E41" s="1013">
        <f>huishoudens!D12</f>
        <v>41076.527430995018</v>
      </c>
      <c r="F41" s="1013">
        <f>huishoudens!E12</f>
        <v>933.87567711394172</v>
      </c>
      <c r="G41" s="1013">
        <f>huishoudens!F12</f>
        <v>0</v>
      </c>
      <c r="H41" s="1013">
        <f>huishoudens!G12</f>
        <v>0</v>
      </c>
      <c r="I41" s="1013">
        <f>huishoudens!H12</f>
        <v>0</v>
      </c>
      <c r="J41" s="1013">
        <f>huishoudens!I12</f>
        <v>0</v>
      </c>
      <c r="K41" s="1013">
        <f>huishoudens!J12</f>
        <v>1705.0624749732642</v>
      </c>
      <c r="L41" s="1013">
        <f>huishoudens!K12</f>
        <v>0</v>
      </c>
      <c r="M41" s="1013">
        <f>huishoudens!L12</f>
        <v>0</v>
      </c>
      <c r="N41" s="1013">
        <f>huishoudens!M12</f>
        <v>0</v>
      </c>
      <c r="O41" s="1013">
        <f>huishoudens!N12</f>
        <v>0</v>
      </c>
      <c r="P41" s="1013">
        <f>huishoudens!O12</f>
        <v>0</v>
      </c>
      <c r="Q41" s="774">
        <f>huishoudens!P12</f>
        <v>0</v>
      </c>
      <c r="R41" s="850">
        <f t="shared" ca="1" si="4"/>
        <v>54269.992287782792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9829.7720796209032</v>
      </c>
      <c r="D43" s="1013">
        <f ca="1">industrie!C22</f>
        <v>2899.4802619145039</v>
      </c>
      <c r="E43" s="1013">
        <f>industrie!D22</f>
        <v>5639.9652020122703</v>
      </c>
      <c r="F43" s="1013">
        <f>industrie!E22</f>
        <v>1042.8016616665686</v>
      </c>
      <c r="G43" s="1013">
        <f>industrie!F22</f>
        <v>4012.508313527821</v>
      </c>
      <c r="H43" s="1013">
        <f>industrie!G22</f>
        <v>0</v>
      </c>
      <c r="I43" s="1013">
        <f>industrie!H22</f>
        <v>0</v>
      </c>
      <c r="J43" s="1013">
        <f>industrie!I22</f>
        <v>0</v>
      </c>
      <c r="K43" s="1013">
        <f>industrie!J22</f>
        <v>59.153146116116723</v>
      </c>
      <c r="L43" s="1013">
        <f>industrie!K22</f>
        <v>0</v>
      </c>
      <c r="M43" s="1013">
        <f>industrie!L22</f>
        <v>0</v>
      </c>
      <c r="N43" s="1013">
        <f>industrie!M22</f>
        <v>0</v>
      </c>
      <c r="O43" s="1013">
        <f>industrie!N22</f>
        <v>0</v>
      </c>
      <c r="P43" s="1013">
        <f>industrie!O22</f>
        <v>0</v>
      </c>
      <c r="Q43" s="774">
        <f>industrie!P22</f>
        <v>0</v>
      </c>
      <c r="R43" s="849">
        <f t="shared" ca="1" si="4"/>
        <v>23483.680664858188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40389.462430388856</v>
      </c>
      <c r="D46" s="732">
        <f t="shared" ref="D46:Q46" ca="1" si="5">SUM(D39:D45)</f>
        <v>8042.081241985602</v>
      </c>
      <c r="E46" s="732">
        <f t="shared" ca="1" si="5"/>
        <v>62406.945611826915</v>
      </c>
      <c r="F46" s="732">
        <f t="shared" si="5"/>
        <v>2215.825365947022</v>
      </c>
      <c r="G46" s="732">
        <f t="shared" ca="1" si="5"/>
        <v>10719.165810451696</v>
      </c>
      <c r="H46" s="732">
        <f t="shared" si="5"/>
        <v>0</v>
      </c>
      <c r="I46" s="732">
        <f t="shared" si="5"/>
        <v>0</v>
      </c>
      <c r="J46" s="732">
        <f t="shared" si="5"/>
        <v>0</v>
      </c>
      <c r="K46" s="732">
        <f t="shared" si="5"/>
        <v>1764.2867964721336</v>
      </c>
      <c r="L46" s="732">
        <f t="shared" si="5"/>
        <v>0</v>
      </c>
      <c r="M46" s="732">
        <f t="shared" ca="1" si="5"/>
        <v>0</v>
      </c>
      <c r="N46" s="732">
        <f t="shared" si="5"/>
        <v>0</v>
      </c>
      <c r="O46" s="732">
        <f t="shared" ca="1" si="5"/>
        <v>0</v>
      </c>
      <c r="P46" s="732">
        <f t="shared" si="5"/>
        <v>0</v>
      </c>
      <c r="Q46" s="732">
        <f t="shared" si="5"/>
        <v>0</v>
      </c>
      <c r="R46" s="732">
        <f ca="1">SUM(R39:R45)</f>
        <v>125537.76725707224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996.86117238032477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996.86117238032477</v>
      </c>
    </row>
    <row r="50" spans="1:18">
      <c r="A50" s="825" t="s">
        <v>307</v>
      </c>
      <c r="B50" s="835"/>
      <c r="C50" s="703">
        <f ca="1">transport!B18</f>
        <v>34.171223439911159</v>
      </c>
      <c r="D50" s="703">
        <f>transport!C18</f>
        <v>0</v>
      </c>
      <c r="E50" s="703">
        <f>transport!D18</f>
        <v>224.09976510120148</v>
      </c>
      <c r="F50" s="703">
        <f>transport!E18</f>
        <v>365.36288539825591</v>
      </c>
      <c r="G50" s="703">
        <f>transport!F18</f>
        <v>0</v>
      </c>
      <c r="H50" s="703">
        <f>transport!G18</f>
        <v>233577.11631661264</v>
      </c>
      <c r="I50" s="703">
        <f>transport!H18</f>
        <v>31619.41269746043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265820.16288801242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34.171223439911159</v>
      </c>
      <c r="D52" s="732">
        <f t="shared" ref="D52:Q52" ca="1" si="6">SUM(D48:D51)</f>
        <v>0</v>
      </c>
      <c r="E52" s="732">
        <f t="shared" si="6"/>
        <v>224.09976510120148</v>
      </c>
      <c r="F52" s="732">
        <f t="shared" si="6"/>
        <v>365.36288539825591</v>
      </c>
      <c r="G52" s="732">
        <f t="shared" si="6"/>
        <v>0</v>
      </c>
      <c r="H52" s="732">
        <f t="shared" si="6"/>
        <v>234573.97748899297</v>
      </c>
      <c r="I52" s="732">
        <f t="shared" si="6"/>
        <v>31619.41269746043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266817.02406039275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1188.3867040115113</v>
      </c>
      <c r="D54" s="703">
        <f ca="1">+landbouw!C12</f>
        <v>16076.209514316917</v>
      </c>
      <c r="E54" s="703">
        <f>+landbouw!D12</f>
        <v>0</v>
      </c>
      <c r="F54" s="703">
        <f>+landbouw!E12</f>
        <v>71.629348896406199</v>
      </c>
      <c r="G54" s="703">
        <f>+landbouw!F12</f>
        <v>11941.127136192203</v>
      </c>
      <c r="H54" s="703">
        <f>+landbouw!G12</f>
        <v>0</v>
      </c>
      <c r="I54" s="703">
        <f>+landbouw!H12</f>
        <v>0</v>
      </c>
      <c r="J54" s="703">
        <f>+landbouw!I12</f>
        <v>0</v>
      </c>
      <c r="K54" s="703">
        <f>+landbouw!J12</f>
        <v>550.58922198793755</v>
      </c>
      <c r="L54" s="703">
        <f>+landbouw!K12</f>
        <v>0</v>
      </c>
      <c r="M54" s="703">
        <f>+landbouw!L12</f>
        <v>0</v>
      </c>
      <c r="N54" s="703">
        <f>+landbouw!M12</f>
        <v>0</v>
      </c>
      <c r="O54" s="703">
        <f>+landbouw!N12</f>
        <v>0</v>
      </c>
      <c r="P54" s="703">
        <f>+landbouw!O12</f>
        <v>0</v>
      </c>
      <c r="Q54" s="704">
        <f>+landbouw!P12</f>
        <v>0</v>
      </c>
      <c r="R54" s="731">
        <f ca="1">SUM(C54:Q54)</f>
        <v>29827.941925404979</v>
      </c>
    </row>
    <row r="55" spans="1:18" ht="15" thickBot="1">
      <c r="A55" s="825" t="s">
        <v>836</v>
      </c>
      <c r="B55" s="835"/>
      <c r="C55" s="703">
        <f ca="1">C25*'EF ele_warmte'!B12</f>
        <v>840.511169349591</v>
      </c>
      <c r="D55" s="703"/>
      <c r="E55" s="703">
        <f>E25*EF_CO2_aardgas</f>
        <v>1282.3041311161969</v>
      </c>
      <c r="F55" s="703"/>
      <c r="G55" s="703"/>
      <c r="H55" s="703"/>
      <c r="I55" s="703"/>
      <c r="J55" s="703"/>
      <c r="K55" s="703"/>
      <c r="L55" s="703"/>
      <c r="M55" s="703"/>
      <c r="N55" s="703"/>
      <c r="O55" s="703"/>
      <c r="P55" s="703"/>
      <c r="Q55" s="704"/>
      <c r="R55" s="731">
        <f ca="1">SUM(C55:Q55)</f>
        <v>2122.8153004657879</v>
      </c>
    </row>
    <row r="56" spans="1:18" ht="15.75" thickBot="1">
      <c r="A56" s="823" t="s">
        <v>837</v>
      </c>
      <c r="B56" s="836"/>
      <c r="C56" s="732">
        <f ca="1">SUM(C54:C55)</f>
        <v>2028.8978733611023</v>
      </c>
      <c r="D56" s="732">
        <f t="shared" ref="D56:Q56" ca="1" si="7">SUM(D54:D55)</f>
        <v>16076.209514316917</v>
      </c>
      <c r="E56" s="732">
        <f t="shared" si="7"/>
        <v>1282.3041311161969</v>
      </c>
      <c r="F56" s="732">
        <f t="shared" si="7"/>
        <v>71.629348896406199</v>
      </c>
      <c r="G56" s="732">
        <f t="shared" si="7"/>
        <v>11941.127136192203</v>
      </c>
      <c r="H56" s="732">
        <f t="shared" si="7"/>
        <v>0</v>
      </c>
      <c r="I56" s="732">
        <f t="shared" si="7"/>
        <v>0</v>
      </c>
      <c r="J56" s="732">
        <f t="shared" si="7"/>
        <v>0</v>
      </c>
      <c r="K56" s="732">
        <f t="shared" si="7"/>
        <v>550.58922198793755</v>
      </c>
      <c r="L56" s="732">
        <f t="shared" si="7"/>
        <v>0</v>
      </c>
      <c r="M56" s="732">
        <f t="shared" si="7"/>
        <v>0</v>
      </c>
      <c r="N56" s="732">
        <f t="shared" si="7"/>
        <v>0</v>
      </c>
      <c r="O56" s="732">
        <f t="shared" si="7"/>
        <v>0</v>
      </c>
      <c r="P56" s="732">
        <f t="shared" si="7"/>
        <v>0</v>
      </c>
      <c r="Q56" s="733">
        <f t="shared" si="7"/>
        <v>0</v>
      </c>
      <c r="R56" s="734">
        <f ca="1">SUM(R54:R55)</f>
        <v>31950.757225870766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42452.531527189865</v>
      </c>
      <c r="D61" s="740">
        <f t="shared" ref="D61:Q61" ca="1" si="8">D46+D52+D56</f>
        <v>24118.290756302518</v>
      </c>
      <c r="E61" s="740">
        <f t="shared" ca="1" si="8"/>
        <v>63913.34950804431</v>
      </c>
      <c r="F61" s="740">
        <f t="shared" si="8"/>
        <v>2652.817600241684</v>
      </c>
      <c r="G61" s="740">
        <f t="shared" ca="1" si="8"/>
        <v>22660.292946643898</v>
      </c>
      <c r="H61" s="740">
        <f t="shared" si="8"/>
        <v>234573.97748899297</v>
      </c>
      <c r="I61" s="740">
        <f t="shared" si="8"/>
        <v>31619.41269746043</v>
      </c>
      <c r="J61" s="740">
        <f t="shared" si="8"/>
        <v>0</v>
      </c>
      <c r="K61" s="740">
        <f t="shared" si="8"/>
        <v>2314.876018460071</v>
      </c>
      <c r="L61" s="740">
        <f t="shared" si="8"/>
        <v>0</v>
      </c>
      <c r="M61" s="740">
        <f t="shared" ca="1" si="8"/>
        <v>0</v>
      </c>
      <c r="N61" s="740">
        <f t="shared" si="8"/>
        <v>0</v>
      </c>
      <c r="O61" s="740">
        <f t="shared" ca="1" si="8"/>
        <v>0</v>
      </c>
      <c r="P61" s="740">
        <f t="shared" si="8"/>
        <v>0</v>
      </c>
      <c r="Q61" s="740">
        <f t="shared" si="8"/>
        <v>0</v>
      </c>
      <c r="R61" s="740">
        <f ca="1">R46+R52+R56</f>
        <v>424305.54854333575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0.11069738345064536</v>
      </c>
      <c r="D63" s="781">
        <f t="shared" ca="1" si="9"/>
        <v>0.14905164010723013</v>
      </c>
      <c r="E63" s="1024">
        <f t="shared" ca="1" si="9"/>
        <v>0.20199999999999999</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108428.1094847791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46104.381451530622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42226.649999999994</v>
      </c>
      <c r="C76" s="750">
        <f>'lokale energieproductie'!B8*IFERROR(SUM(D76:H76)/SUM(D76:O76),0)</f>
        <v>71041.499999999985</v>
      </c>
      <c r="D76" s="1034">
        <f>'lokale energieproductie'!C8</f>
        <v>83578.23529411765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49678.411764705888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16882.803529411765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196759.1409363097</v>
      </c>
      <c r="C78" s="755">
        <f>SUM(C72:C77)</f>
        <v>71041.499999999985</v>
      </c>
      <c r="D78" s="756">
        <f t="shared" ref="D78:H78" si="10">SUM(D76:D77)</f>
        <v>83578.23529411765</v>
      </c>
      <c r="E78" s="756">
        <f t="shared" si="10"/>
        <v>0</v>
      </c>
      <c r="F78" s="756">
        <f t="shared" si="10"/>
        <v>0</v>
      </c>
      <c r="G78" s="756">
        <f t="shared" si="10"/>
        <v>0</v>
      </c>
      <c r="H78" s="756">
        <f t="shared" si="10"/>
        <v>0</v>
      </c>
      <c r="I78" s="756">
        <f>SUM(I76:I77)</f>
        <v>0</v>
      </c>
      <c r="J78" s="756">
        <f>SUM(J76:J77)</f>
        <v>49678.411764705888</v>
      </c>
      <c r="K78" s="756">
        <f t="shared" ref="K78:L78" si="11">SUM(K76:K77)</f>
        <v>0</v>
      </c>
      <c r="L78" s="756">
        <f t="shared" si="11"/>
        <v>0</v>
      </c>
      <c r="M78" s="756">
        <f>SUM(M76:M77)</f>
        <v>0</v>
      </c>
      <c r="N78" s="756">
        <f>SUM(N76:N77)</f>
        <v>0</v>
      </c>
      <c r="O78" s="860">
        <f>SUM(O76:O77)</f>
        <v>0</v>
      </c>
      <c r="P78" s="757">
        <v>0</v>
      </c>
      <c r="Q78" s="757">
        <f>SUM(Q76:Q77)</f>
        <v>16882.803529411765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60323.785714285732</v>
      </c>
      <c r="C87" s="766">
        <f>'lokale energieproductie'!B17*IFERROR(SUM(D87:H87)/SUM(D87:O87),0)</f>
        <v>101487.85714285716</v>
      </c>
      <c r="D87" s="777">
        <f>'lokale energieproductie'!C17</f>
        <v>119397.47899159664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70969.159663865561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24118.290756302522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60323.785714285732</v>
      </c>
      <c r="C90" s="755">
        <f>SUM(C87:C89)</f>
        <v>101487.85714285716</v>
      </c>
      <c r="D90" s="755">
        <f t="shared" ref="D90:H90" si="12">SUM(D87:D89)</f>
        <v>119397.47899159664</v>
      </c>
      <c r="E90" s="755">
        <f t="shared" si="12"/>
        <v>0</v>
      </c>
      <c r="F90" s="755">
        <f t="shared" si="12"/>
        <v>0</v>
      </c>
      <c r="G90" s="755">
        <f t="shared" si="12"/>
        <v>0</v>
      </c>
      <c r="H90" s="755">
        <f t="shared" si="12"/>
        <v>0</v>
      </c>
      <c r="I90" s="755">
        <f>SUM(I87:I89)</f>
        <v>0</v>
      </c>
      <c r="J90" s="755">
        <f>SUM(J87:J89)</f>
        <v>70969.159663865561</v>
      </c>
      <c r="K90" s="755">
        <f t="shared" ref="K90:L90" si="13">SUM(K87:K89)</f>
        <v>0</v>
      </c>
      <c r="L90" s="755">
        <f t="shared" si="13"/>
        <v>0</v>
      </c>
      <c r="M90" s="755">
        <f>SUM(M87:M89)</f>
        <v>0</v>
      </c>
      <c r="N90" s="755">
        <f>SUM(N87:N89)</f>
        <v>0</v>
      </c>
      <c r="O90" s="755">
        <f>SUM(O87:O89)</f>
        <v>0</v>
      </c>
      <c r="P90" s="755">
        <v>0</v>
      </c>
      <c r="Q90" s="755">
        <f>SUM(Q87:Q89)</f>
        <v>24118.290756302522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108428.1094847791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46104.381451530622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113268.15</v>
      </c>
      <c r="C8" s="570">
        <f>B101</f>
        <v>83578.23529411765</v>
      </c>
      <c r="D8" s="1044"/>
      <c r="E8" s="1044">
        <f>E101</f>
        <v>0</v>
      </c>
      <c r="F8" s="1045"/>
      <c r="G8" s="571"/>
      <c r="H8" s="1044">
        <f>I101</f>
        <v>0</v>
      </c>
      <c r="I8" s="1044">
        <f>G101+F101</f>
        <v>0</v>
      </c>
      <c r="J8" s="1044">
        <f>H101+D101+C101</f>
        <v>49678.411764705888</v>
      </c>
      <c r="K8" s="1044"/>
      <c r="L8" s="1044"/>
      <c r="M8" s="1044"/>
      <c r="N8" s="572"/>
      <c r="O8" s="573">
        <f>C8*$C$12+D8*$D$12+E8*$E$12+F8*$F$12+G8*$G$12+H8*$H$12+I8*$I$12+J8*$J$12</f>
        <v>16882.803529411765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267800.6409363097</v>
      </c>
      <c r="C10" s="583">
        <f t="shared" ref="C10:L10" si="0">SUM(C8:C9)</f>
        <v>83578.23529411765</v>
      </c>
      <c r="D10" s="583">
        <f t="shared" si="0"/>
        <v>0</v>
      </c>
      <c r="E10" s="583">
        <f t="shared" si="0"/>
        <v>0</v>
      </c>
      <c r="F10" s="583">
        <f t="shared" si="0"/>
        <v>0</v>
      </c>
      <c r="G10" s="583">
        <f t="shared" si="0"/>
        <v>0</v>
      </c>
      <c r="H10" s="583">
        <f t="shared" si="0"/>
        <v>0</v>
      </c>
      <c r="I10" s="583">
        <f t="shared" si="0"/>
        <v>0</v>
      </c>
      <c r="J10" s="583">
        <f t="shared" si="0"/>
        <v>49678.411764705888</v>
      </c>
      <c r="K10" s="583">
        <f t="shared" si="0"/>
        <v>0</v>
      </c>
      <c r="L10" s="583">
        <f t="shared" si="0"/>
        <v>0</v>
      </c>
      <c r="M10" s="1047"/>
      <c r="N10" s="1047"/>
      <c r="O10" s="584">
        <f>SUM(O4:O9)</f>
        <v>16882.803529411765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161811.64285714287</v>
      </c>
      <c r="C17" s="595">
        <f>B102</f>
        <v>119397.47899159664</v>
      </c>
      <c r="D17" s="596"/>
      <c r="E17" s="596">
        <f>E102</f>
        <v>0</v>
      </c>
      <c r="F17" s="1050"/>
      <c r="G17" s="597"/>
      <c r="H17" s="595">
        <f>I102</f>
        <v>0</v>
      </c>
      <c r="I17" s="596">
        <f>G102+F102</f>
        <v>0</v>
      </c>
      <c r="J17" s="596">
        <f>H102+D102+C102</f>
        <v>70969.159663865561</v>
      </c>
      <c r="K17" s="596"/>
      <c r="L17" s="596"/>
      <c r="M17" s="596"/>
      <c r="N17" s="1051"/>
      <c r="O17" s="598">
        <f>C17*$C$22+E17*$E$22+H17*$H$22+I17*$I$22+J17*$J$22+D17*$D$22+F17*$F$22+G17*$G$22+K17*$K$22+L17*$L$22</f>
        <v>24118.290756302522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161811.64285714287</v>
      </c>
      <c r="C20" s="582">
        <f>SUM(C17:C19)</f>
        <v>119397.47899159664</v>
      </c>
      <c r="D20" s="582">
        <f t="shared" ref="D20:L20" si="1">SUM(D17:D19)</f>
        <v>0</v>
      </c>
      <c r="E20" s="582">
        <f t="shared" si="1"/>
        <v>0</v>
      </c>
      <c r="F20" s="582">
        <f t="shared" si="1"/>
        <v>0</v>
      </c>
      <c r="G20" s="582">
        <f t="shared" si="1"/>
        <v>0</v>
      </c>
      <c r="H20" s="582">
        <f t="shared" si="1"/>
        <v>0</v>
      </c>
      <c r="I20" s="582">
        <f t="shared" si="1"/>
        <v>0</v>
      </c>
      <c r="J20" s="582">
        <f t="shared" si="1"/>
        <v>70969.159663865561</v>
      </c>
      <c r="K20" s="582">
        <f t="shared" si="1"/>
        <v>0</v>
      </c>
      <c r="L20" s="582">
        <f t="shared" si="1"/>
        <v>0</v>
      </c>
      <c r="M20" s="582"/>
      <c r="N20" s="582"/>
      <c r="O20" s="601">
        <f>SUM(O17:O19)</f>
        <v>24118.290756302522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46003</v>
      </c>
      <c r="C28" s="796">
        <v>9120</v>
      </c>
      <c r="D28" s="653" t="s">
        <v>881</v>
      </c>
      <c r="E28" s="652" t="s">
        <v>882</v>
      </c>
      <c r="F28" s="652" t="s">
        <v>883</v>
      </c>
      <c r="G28" s="652" t="s">
        <v>884</v>
      </c>
      <c r="H28" s="652" t="s">
        <v>885</v>
      </c>
      <c r="I28" s="652" t="s">
        <v>882</v>
      </c>
      <c r="J28" s="795">
        <v>39377</v>
      </c>
      <c r="K28" s="795">
        <v>39380</v>
      </c>
      <c r="L28" s="652" t="s">
        <v>886</v>
      </c>
      <c r="M28" s="652">
        <v>1372</v>
      </c>
      <c r="N28" s="652">
        <v>6174.0000000000009</v>
      </c>
      <c r="O28" s="652">
        <v>8820.0000000000018</v>
      </c>
      <c r="P28" s="652">
        <v>17640.000000000004</v>
      </c>
      <c r="Q28" s="652">
        <v>0</v>
      </c>
      <c r="R28" s="652">
        <v>0</v>
      </c>
      <c r="S28" s="652">
        <v>0</v>
      </c>
      <c r="T28" s="652">
        <v>0</v>
      </c>
      <c r="U28" s="652">
        <v>0</v>
      </c>
      <c r="V28" s="652">
        <v>0</v>
      </c>
      <c r="W28" s="652">
        <v>0</v>
      </c>
      <c r="X28" s="652">
        <v>10</v>
      </c>
      <c r="Y28" s="652" t="s">
        <v>112</v>
      </c>
      <c r="Z28" s="654" t="s">
        <v>112</v>
      </c>
    </row>
    <row r="29" spans="1:26" s="606" customFormat="1" ht="25.5">
      <c r="A29" s="605"/>
      <c r="B29" s="796">
        <v>46003</v>
      </c>
      <c r="C29" s="796">
        <v>9120</v>
      </c>
      <c r="D29" s="653" t="s">
        <v>887</v>
      </c>
      <c r="E29" s="652" t="s">
        <v>888</v>
      </c>
      <c r="F29" s="652" t="s">
        <v>889</v>
      </c>
      <c r="G29" s="652" t="s">
        <v>884</v>
      </c>
      <c r="H29" s="652" t="s">
        <v>885</v>
      </c>
      <c r="I29" s="652" t="s">
        <v>888</v>
      </c>
      <c r="J29" s="795">
        <v>39568</v>
      </c>
      <c r="K29" s="795">
        <v>39568</v>
      </c>
      <c r="L29" s="652" t="s">
        <v>886</v>
      </c>
      <c r="M29" s="652">
        <v>2731</v>
      </c>
      <c r="N29" s="652">
        <v>12289.5</v>
      </c>
      <c r="O29" s="652">
        <v>17556.428571428572</v>
      </c>
      <c r="P29" s="652">
        <v>35112.857142857145</v>
      </c>
      <c r="Q29" s="652">
        <v>0</v>
      </c>
      <c r="R29" s="652">
        <v>0</v>
      </c>
      <c r="S29" s="652">
        <v>0</v>
      </c>
      <c r="T29" s="652">
        <v>0</v>
      </c>
      <c r="U29" s="652">
        <v>0</v>
      </c>
      <c r="V29" s="652">
        <v>0</v>
      </c>
      <c r="W29" s="652">
        <v>0</v>
      </c>
      <c r="X29" s="652">
        <v>10</v>
      </c>
      <c r="Y29" s="652" t="s">
        <v>112</v>
      </c>
      <c r="Z29" s="654" t="s">
        <v>112</v>
      </c>
    </row>
    <row r="30" spans="1:26" s="606" customFormat="1" ht="25.5">
      <c r="A30" s="605"/>
      <c r="B30" s="796">
        <v>46003</v>
      </c>
      <c r="C30" s="796">
        <v>9120</v>
      </c>
      <c r="D30" s="653" t="s">
        <v>890</v>
      </c>
      <c r="E30" s="652" t="s">
        <v>891</v>
      </c>
      <c r="F30" s="652" t="s">
        <v>892</v>
      </c>
      <c r="G30" s="652" t="s">
        <v>884</v>
      </c>
      <c r="H30" s="652" t="s">
        <v>885</v>
      </c>
      <c r="I30" s="652" t="s">
        <v>891</v>
      </c>
      <c r="J30" s="795">
        <v>39737</v>
      </c>
      <c r="K30" s="795">
        <v>39737</v>
      </c>
      <c r="L30" s="652" t="s">
        <v>886</v>
      </c>
      <c r="M30" s="652">
        <v>1562</v>
      </c>
      <c r="N30" s="652">
        <v>7029</v>
      </c>
      <c r="O30" s="652">
        <v>10041.428571428572</v>
      </c>
      <c r="P30" s="652">
        <v>20082.857142857145</v>
      </c>
      <c r="Q30" s="652">
        <v>0</v>
      </c>
      <c r="R30" s="652">
        <v>0</v>
      </c>
      <c r="S30" s="652">
        <v>0</v>
      </c>
      <c r="T30" s="652">
        <v>0</v>
      </c>
      <c r="U30" s="652">
        <v>0</v>
      </c>
      <c r="V30" s="652">
        <v>0</v>
      </c>
      <c r="W30" s="652">
        <v>0</v>
      </c>
      <c r="X30" s="652">
        <v>10</v>
      </c>
      <c r="Y30" s="652" t="s">
        <v>112</v>
      </c>
      <c r="Z30" s="654" t="s">
        <v>112</v>
      </c>
    </row>
    <row r="31" spans="1:26" s="606" customFormat="1" ht="25.5">
      <c r="A31" s="605"/>
      <c r="B31" s="796">
        <v>46003</v>
      </c>
      <c r="C31" s="796">
        <v>9120</v>
      </c>
      <c r="D31" s="653" t="s">
        <v>893</v>
      </c>
      <c r="E31" s="652" t="s">
        <v>894</v>
      </c>
      <c r="F31" s="652" t="s">
        <v>895</v>
      </c>
      <c r="G31" s="652" t="s">
        <v>884</v>
      </c>
      <c r="H31" s="652" t="s">
        <v>885</v>
      </c>
      <c r="I31" s="652" t="s">
        <v>894</v>
      </c>
      <c r="J31" s="795">
        <v>40927</v>
      </c>
      <c r="K31" s="795">
        <v>39841</v>
      </c>
      <c r="L31" s="652" t="s">
        <v>886</v>
      </c>
      <c r="M31" s="652">
        <v>2233</v>
      </c>
      <c r="N31" s="652">
        <v>10048.5</v>
      </c>
      <c r="O31" s="652">
        <v>14355</v>
      </c>
      <c r="P31" s="652">
        <v>0</v>
      </c>
      <c r="Q31" s="652">
        <v>28710.000000000004</v>
      </c>
      <c r="R31" s="652">
        <v>0</v>
      </c>
      <c r="S31" s="652">
        <v>0</v>
      </c>
      <c r="T31" s="652">
        <v>0</v>
      </c>
      <c r="U31" s="652">
        <v>0</v>
      </c>
      <c r="V31" s="652">
        <v>0</v>
      </c>
      <c r="W31" s="652">
        <v>0</v>
      </c>
      <c r="X31" s="652">
        <v>10</v>
      </c>
      <c r="Y31" s="652" t="s">
        <v>112</v>
      </c>
      <c r="Z31" s="654" t="s">
        <v>112</v>
      </c>
    </row>
    <row r="32" spans="1:26" s="606" customFormat="1" ht="25.5">
      <c r="A32" s="605"/>
      <c r="B32" s="796">
        <v>46003</v>
      </c>
      <c r="C32" s="796">
        <v>9120</v>
      </c>
      <c r="D32" s="653" t="s">
        <v>896</v>
      </c>
      <c r="E32" s="652" t="s">
        <v>897</v>
      </c>
      <c r="F32" s="652" t="s">
        <v>898</v>
      </c>
      <c r="G32" s="652" t="s">
        <v>884</v>
      </c>
      <c r="H32" s="652" t="s">
        <v>885</v>
      </c>
      <c r="I32" s="652" t="s">
        <v>897</v>
      </c>
      <c r="J32" s="795">
        <v>40954</v>
      </c>
      <c r="K32" s="795">
        <v>39990</v>
      </c>
      <c r="L32" s="652" t="s">
        <v>886</v>
      </c>
      <c r="M32" s="652">
        <v>3898</v>
      </c>
      <c r="N32" s="652">
        <v>17541</v>
      </c>
      <c r="O32" s="652">
        <v>25058.571428571428</v>
      </c>
      <c r="P32" s="652">
        <v>50117.142857142862</v>
      </c>
      <c r="Q32" s="652">
        <v>0</v>
      </c>
      <c r="R32" s="652">
        <v>0</v>
      </c>
      <c r="S32" s="652">
        <v>0</v>
      </c>
      <c r="T32" s="652">
        <v>0</v>
      </c>
      <c r="U32" s="652">
        <v>0</v>
      </c>
      <c r="V32" s="652">
        <v>0</v>
      </c>
      <c r="W32" s="652">
        <v>0</v>
      </c>
      <c r="X32" s="652">
        <v>10</v>
      </c>
      <c r="Y32" s="652" t="s">
        <v>112</v>
      </c>
      <c r="Z32" s="654" t="s">
        <v>112</v>
      </c>
    </row>
    <row r="33" spans="1:26" s="606" customFormat="1" ht="25.5">
      <c r="A33" s="605"/>
      <c r="B33" s="796">
        <v>46003</v>
      </c>
      <c r="C33" s="796">
        <v>9120</v>
      </c>
      <c r="D33" s="653" t="s">
        <v>899</v>
      </c>
      <c r="E33" s="652" t="s">
        <v>900</v>
      </c>
      <c r="F33" s="652" t="s">
        <v>901</v>
      </c>
      <c r="G33" s="652" t="s">
        <v>884</v>
      </c>
      <c r="H33" s="652" t="s">
        <v>885</v>
      </c>
      <c r="I33" s="652" t="s">
        <v>902</v>
      </c>
      <c r="J33" s="795">
        <v>40333</v>
      </c>
      <c r="K33" s="795">
        <v>40345</v>
      </c>
      <c r="L33" s="652" t="s">
        <v>886</v>
      </c>
      <c r="M33" s="652">
        <v>1994</v>
      </c>
      <c r="N33" s="652">
        <v>8973</v>
      </c>
      <c r="O33" s="652">
        <v>12818.571428571429</v>
      </c>
      <c r="P33" s="652">
        <v>25637.142857142859</v>
      </c>
      <c r="Q33" s="652">
        <v>0</v>
      </c>
      <c r="R33" s="652">
        <v>0</v>
      </c>
      <c r="S33" s="652">
        <v>0</v>
      </c>
      <c r="T33" s="652">
        <v>0</v>
      </c>
      <c r="U33" s="652">
        <v>0</v>
      </c>
      <c r="V33" s="652">
        <v>0</v>
      </c>
      <c r="W33" s="652">
        <v>0</v>
      </c>
      <c r="X33" s="652">
        <v>10</v>
      </c>
      <c r="Y33" s="652" t="s">
        <v>112</v>
      </c>
      <c r="Z33" s="654" t="s">
        <v>112</v>
      </c>
    </row>
    <row r="34" spans="1:26" s="606" customFormat="1" ht="25.5">
      <c r="A34" s="605"/>
      <c r="B34" s="796">
        <v>46003</v>
      </c>
      <c r="C34" s="796">
        <v>9120</v>
      </c>
      <c r="D34" s="653" t="s">
        <v>903</v>
      </c>
      <c r="E34" s="652" t="s">
        <v>904</v>
      </c>
      <c r="F34" s="652" t="s">
        <v>905</v>
      </c>
      <c r="G34" s="652" t="s">
        <v>884</v>
      </c>
      <c r="H34" s="652" t="s">
        <v>885</v>
      </c>
      <c r="I34" s="652" t="s">
        <v>904</v>
      </c>
      <c r="J34" s="795">
        <v>40819</v>
      </c>
      <c r="K34" s="795">
        <v>40834</v>
      </c>
      <c r="L34" s="652" t="s">
        <v>886</v>
      </c>
      <c r="M34" s="652">
        <v>197</v>
      </c>
      <c r="N34" s="652">
        <v>886.5</v>
      </c>
      <c r="O34" s="652">
        <v>1266.4285714285716</v>
      </c>
      <c r="P34" s="652">
        <v>2532.8571428571431</v>
      </c>
      <c r="Q34" s="652">
        <v>0</v>
      </c>
      <c r="R34" s="652">
        <v>0</v>
      </c>
      <c r="S34" s="652">
        <v>0</v>
      </c>
      <c r="T34" s="652">
        <v>0</v>
      </c>
      <c r="U34" s="652">
        <v>0</v>
      </c>
      <c r="V34" s="652">
        <v>0</v>
      </c>
      <c r="W34" s="652">
        <v>0</v>
      </c>
      <c r="X34" s="652">
        <v>1200</v>
      </c>
      <c r="Y34" s="652" t="s">
        <v>53</v>
      </c>
      <c r="Z34" s="654" t="s">
        <v>156</v>
      </c>
    </row>
    <row r="35" spans="1:26" s="606" customFormat="1" ht="25.5">
      <c r="A35" s="605"/>
      <c r="B35" s="796">
        <v>46003</v>
      </c>
      <c r="C35" s="796">
        <v>9120</v>
      </c>
      <c r="D35" s="653" t="s">
        <v>906</v>
      </c>
      <c r="E35" s="652" t="s">
        <v>907</v>
      </c>
      <c r="F35" s="652" t="s">
        <v>908</v>
      </c>
      <c r="G35" s="652" t="s">
        <v>884</v>
      </c>
      <c r="H35" s="652" t="s">
        <v>885</v>
      </c>
      <c r="I35" s="652" t="s">
        <v>907</v>
      </c>
      <c r="J35" s="795">
        <v>41184</v>
      </c>
      <c r="K35" s="795">
        <v>41184</v>
      </c>
      <c r="L35" s="652" t="s">
        <v>886</v>
      </c>
      <c r="M35" s="652">
        <v>2978</v>
      </c>
      <c r="N35" s="652">
        <v>13401.000000000002</v>
      </c>
      <c r="O35" s="652">
        <v>19144.285714285717</v>
      </c>
      <c r="P35" s="652">
        <v>0</v>
      </c>
      <c r="Q35" s="652">
        <v>38288.571428571435</v>
      </c>
      <c r="R35" s="652">
        <v>0</v>
      </c>
      <c r="S35" s="652">
        <v>0</v>
      </c>
      <c r="T35" s="652">
        <v>0</v>
      </c>
      <c r="U35" s="652">
        <v>0</v>
      </c>
      <c r="V35" s="652">
        <v>0</v>
      </c>
      <c r="W35" s="652">
        <v>0</v>
      </c>
      <c r="X35" s="652">
        <v>10</v>
      </c>
      <c r="Y35" s="652" t="s">
        <v>112</v>
      </c>
      <c r="Z35" s="654" t="s">
        <v>112</v>
      </c>
    </row>
    <row r="36" spans="1:26" s="606" customFormat="1" ht="63.75">
      <c r="A36" s="605"/>
      <c r="B36" s="796">
        <v>46003</v>
      </c>
      <c r="C36" s="796">
        <v>9120</v>
      </c>
      <c r="D36" s="653" t="s">
        <v>909</v>
      </c>
      <c r="E36" s="652" t="s">
        <v>910</v>
      </c>
      <c r="F36" s="652" t="s">
        <v>911</v>
      </c>
      <c r="G36" s="652" t="s">
        <v>884</v>
      </c>
      <c r="H36" s="652" t="s">
        <v>885</v>
      </c>
      <c r="I36" s="652" t="s">
        <v>912</v>
      </c>
      <c r="J36" s="795">
        <v>41450</v>
      </c>
      <c r="K36" s="795">
        <v>41361</v>
      </c>
      <c r="L36" s="652" t="s">
        <v>886</v>
      </c>
      <c r="M36" s="652">
        <v>70</v>
      </c>
      <c r="N36" s="652">
        <v>315.00000000000006</v>
      </c>
      <c r="O36" s="652">
        <v>450.00000000000011</v>
      </c>
      <c r="P36" s="652">
        <v>900.00000000000023</v>
      </c>
      <c r="Q36" s="652">
        <v>0</v>
      </c>
      <c r="R36" s="652">
        <v>0</v>
      </c>
      <c r="S36" s="652">
        <v>0</v>
      </c>
      <c r="T36" s="652">
        <v>0</v>
      </c>
      <c r="U36" s="652">
        <v>0</v>
      </c>
      <c r="V36" s="652">
        <v>0</v>
      </c>
      <c r="W36" s="652">
        <v>0</v>
      </c>
      <c r="X36" s="652">
        <v>1600</v>
      </c>
      <c r="Y36" s="652" t="s">
        <v>50</v>
      </c>
      <c r="Z36" s="654" t="s">
        <v>156</v>
      </c>
    </row>
    <row r="37" spans="1:26" s="606" customFormat="1" ht="25.5">
      <c r="A37" s="605"/>
      <c r="B37" s="796">
        <v>46003</v>
      </c>
      <c r="C37" s="796">
        <v>9120</v>
      </c>
      <c r="D37" s="653" t="s">
        <v>913</v>
      </c>
      <c r="E37" s="652" t="s">
        <v>914</v>
      </c>
      <c r="F37" s="652" t="s">
        <v>915</v>
      </c>
      <c r="G37" s="652" t="s">
        <v>884</v>
      </c>
      <c r="H37" s="652" t="s">
        <v>885</v>
      </c>
      <c r="I37" s="652" t="s">
        <v>914</v>
      </c>
      <c r="J37" s="795">
        <v>41373</v>
      </c>
      <c r="K37" s="795">
        <v>41373</v>
      </c>
      <c r="L37" s="652" t="s">
        <v>886</v>
      </c>
      <c r="M37" s="652">
        <v>9.6999999999999993</v>
      </c>
      <c r="N37" s="652">
        <v>43.649999999999991</v>
      </c>
      <c r="O37" s="652">
        <v>62.357142857142847</v>
      </c>
      <c r="P37" s="652">
        <v>0</v>
      </c>
      <c r="Q37" s="652">
        <v>124.71428571428569</v>
      </c>
      <c r="R37" s="652">
        <v>0</v>
      </c>
      <c r="S37" s="652">
        <v>0</v>
      </c>
      <c r="T37" s="652">
        <v>0</v>
      </c>
      <c r="U37" s="652">
        <v>0</v>
      </c>
      <c r="V37" s="652">
        <v>0</v>
      </c>
      <c r="W37" s="652">
        <v>0</v>
      </c>
      <c r="X37" s="652">
        <v>10</v>
      </c>
      <c r="Y37" s="652" t="s">
        <v>112</v>
      </c>
      <c r="Z37" s="654" t="s">
        <v>112</v>
      </c>
    </row>
    <row r="38" spans="1:26" s="606" customFormat="1" ht="25.5">
      <c r="A38" s="605"/>
      <c r="B38" s="796">
        <v>46003</v>
      </c>
      <c r="C38" s="796">
        <v>9130</v>
      </c>
      <c r="D38" s="653" t="s">
        <v>916</v>
      </c>
      <c r="E38" s="652" t="s">
        <v>917</v>
      </c>
      <c r="F38" s="652" t="s">
        <v>918</v>
      </c>
      <c r="G38" s="652" t="s">
        <v>884</v>
      </c>
      <c r="H38" s="652" t="s">
        <v>885</v>
      </c>
      <c r="I38" s="652" t="s">
        <v>917</v>
      </c>
      <c r="J38" s="795">
        <v>41814</v>
      </c>
      <c r="K38" s="795">
        <v>41814</v>
      </c>
      <c r="L38" s="652" t="s">
        <v>886</v>
      </c>
      <c r="M38" s="652">
        <v>1189</v>
      </c>
      <c r="N38" s="652">
        <v>5350.5</v>
      </c>
      <c r="O38" s="652">
        <v>7643.5714285714284</v>
      </c>
      <c r="P38" s="652">
        <v>0</v>
      </c>
      <c r="Q38" s="652">
        <v>15287.142857142859</v>
      </c>
      <c r="R38" s="652">
        <v>0</v>
      </c>
      <c r="S38" s="652">
        <v>0</v>
      </c>
      <c r="T38" s="652">
        <v>0</v>
      </c>
      <c r="U38" s="652">
        <v>0</v>
      </c>
      <c r="V38" s="652">
        <v>0</v>
      </c>
      <c r="W38" s="652">
        <v>0</v>
      </c>
      <c r="X38" s="652">
        <v>500</v>
      </c>
      <c r="Y38" s="652" t="s">
        <v>41</v>
      </c>
      <c r="Z38" s="654" t="s">
        <v>389</v>
      </c>
    </row>
    <row r="39" spans="1:26" s="606" customFormat="1" ht="63.75">
      <c r="A39" s="605"/>
      <c r="B39" s="796">
        <v>46003</v>
      </c>
      <c r="C39" s="796">
        <v>9120</v>
      </c>
      <c r="D39" s="653" t="s">
        <v>919</v>
      </c>
      <c r="E39" s="652" t="s">
        <v>920</v>
      </c>
      <c r="F39" s="652" t="s">
        <v>921</v>
      </c>
      <c r="G39" s="652" t="s">
        <v>884</v>
      </c>
      <c r="H39" s="652" t="s">
        <v>885</v>
      </c>
      <c r="I39" s="652" t="s">
        <v>922</v>
      </c>
      <c r="J39" s="795">
        <v>41936</v>
      </c>
      <c r="K39" s="795">
        <v>41936</v>
      </c>
      <c r="L39" s="652" t="s">
        <v>923</v>
      </c>
      <c r="M39" s="652">
        <v>2974</v>
      </c>
      <c r="N39" s="652">
        <v>13383</v>
      </c>
      <c r="O39" s="652">
        <v>19118.571428571428</v>
      </c>
      <c r="P39" s="652">
        <v>0</v>
      </c>
      <c r="Q39" s="652">
        <v>38237.142857142862</v>
      </c>
      <c r="R39" s="652">
        <v>0</v>
      </c>
      <c r="S39" s="652">
        <v>0</v>
      </c>
      <c r="T39" s="652">
        <v>0</v>
      </c>
      <c r="U39" s="652">
        <v>0</v>
      </c>
      <c r="V39" s="652">
        <v>0</v>
      </c>
      <c r="W39" s="652">
        <v>0</v>
      </c>
      <c r="X39" s="652">
        <v>1600</v>
      </c>
      <c r="Y39" s="652" t="s">
        <v>50</v>
      </c>
      <c r="Z39" s="654" t="s">
        <v>156</v>
      </c>
    </row>
    <row r="40" spans="1:26" s="606" customFormat="1" ht="63.75">
      <c r="A40" s="605"/>
      <c r="B40" s="796">
        <v>46003</v>
      </c>
      <c r="C40" s="796">
        <v>9120</v>
      </c>
      <c r="D40" s="653" t="s">
        <v>924</v>
      </c>
      <c r="E40" s="652" t="s">
        <v>925</v>
      </c>
      <c r="F40" s="652" t="s">
        <v>926</v>
      </c>
      <c r="G40" s="652" t="s">
        <v>884</v>
      </c>
      <c r="H40" s="652" t="s">
        <v>885</v>
      </c>
      <c r="I40" s="652" t="s">
        <v>925</v>
      </c>
      <c r="J40" s="795">
        <v>42039</v>
      </c>
      <c r="K40" s="795">
        <v>42039</v>
      </c>
      <c r="L40" s="652" t="s">
        <v>886</v>
      </c>
      <c r="M40" s="652">
        <v>2126</v>
      </c>
      <c r="N40" s="652">
        <v>9567</v>
      </c>
      <c r="O40" s="652">
        <v>13667.142857142857</v>
      </c>
      <c r="P40" s="652">
        <v>27334.285714285717</v>
      </c>
      <c r="Q40" s="652">
        <v>0</v>
      </c>
      <c r="R40" s="652">
        <v>0</v>
      </c>
      <c r="S40" s="652">
        <v>0</v>
      </c>
      <c r="T40" s="652">
        <v>0</v>
      </c>
      <c r="U40" s="652">
        <v>0</v>
      </c>
      <c r="V40" s="652">
        <v>0</v>
      </c>
      <c r="W40" s="652">
        <v>0</v>
      </c>
      <c r="X40" s="652">
        <v>1600</v>
      </c>
      <c r="Y40" s="652" t="s">
        <v>50</v>
      </c>
      <c r="Z40" s="654" t="s">
        <v>156</v>
      </c>
    </row>
    <row r="41" spans="1:26" s="606" customFormat="1" ht="25.5">
      <c r="A41" s="605"/>
      <c r="B41" s="796">
        <v>46003</v>
      </c>
      <c r="C41" s="796">
        <v>9120</v>
      </c>
      <c r="D41" s="653" t="s">
        <v>927</v>
      </c>
      <c r="E41" s="652"/>
      <c r="F41" s="652" t="s">
        <v>928</v>
      </c>
      <c r="G41" s="652" t="s">
        <v>884</v>
      </c>
      <c r="H41" s="652" t="s">
        <v>885</v>
      </c>
      <c r="I41" s="652" t="s">
        <v>929</v>
      </c>
      <c r="J41" s="795">
        <v>42361</v>
      </c>
      <c r="K41" s="795">
        <v>42377</v>
      </c>
      <c r="L41" s="652" t="s">
        <v>930</v>
      </c>
      <c r="M41" s="652">
        <v>2004</v>
      </c>
      <c r="N41" s="652">
        <v>8266.5</v>
      </c>
      <c r="O41" s="652">
        <v>11809.285714285714</v>
      </c>
      <c r="P41" s="652">
        <v>23618.571428571431</v>
      </c>
      <c r="Q41" s="652">
        <v>0</v>
      </c>
      <c r="R41" s="652">
        <v>0</v>
      </c>
      <c r="S41" s="652">
        <v>0</v>
      </c>
      <c r="T41" s="652">
        <v>0</v>
      </c>
      <c r="U41" s="652">
        <v>0</v>
      </c>
      <c r="V41" s="652">
        <v>0</v>
      </c>
      <c r="W41" s="652">
        <v>0</v>
      </c>
      <c r="X41" s="652">
        <v>400</v>
      </c>
      <c r="Y41" s="652" t="s">
        <v>37</v>
      </c>
      <c r="Z41" s="654" t="s">
        <v>389</v>
      </c>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25337.7</v>
      </c>
      <c r="N58" s="610">
        <f>SUM(N28:N57)</f>
        <v>113268.15</v>
      </c>
      <c r="O58" s="610">
        <f t="shared" ref="O58:W58" si="2">SUM(O28:O57)</f>
        <v>161811.64285714287</v>
      </c>
      <c r="P58" s="610">
        <f t="shared" si="2"/>
        <v>202975.71428571429</v>
      </c>
      <c r="Q58" s="610">
        <f t="shared" si="2"/>
        <v>120647.57142857145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3193</v>
      </c>
      <c r="N59" s="610">
        <f t="shared" si="3"/>
        <v>13617</v>
      </c>
      <c r="O59" s="610">
        <f t="shared" si="3"/>
        <v>19452.857142857141</v>
      </c>
      <c r="P59" s="610">
        <f t="shared" si="3"/>
        <v>23618.571428571431</v>
      </c>
      <c r="Q59" s="610">
        <f t="shared" si="3"/>
        <v>15287.142857142859</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5367</v>
      </c>
      <c r="N60" s="610">
        <f ca="1">SUMIF($Z$28:AD57,"tertiair",N28:N57)</f>
        <v>24151.5</v>
      </c>
      <c r="O60" s="610">
        <f ca="1">SUMIF($Z$28:AE57,"tertiair",O28:O57)</f>
        <v>34502.142857142855</v>
      </c>
      <c r="P60" s="610">
        <f ca="1">SUMIF($Z$28:AF57,"tertiair",P28:P57)</f>
        <v>30767.142857142862</v>
      </c>
      <c r="Q60" s="610">
        <f ca="1">SUMIF($Z$28:AG57,"tertiair",Q28:Q57)</f>
        <v>38237.142857142862</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16777.7</v>
      </c>
      <c r="N61" s="615">
        <f t="shared" si="4"/>
        <v>75499.649999999994</v>
      </c>
      <c r="O61" s="615">
        <f t="shared" si="4"/>
        <v>107856.64285714288</v>
      </c>
      <c r="P61" s="615">
        <f t="shared" si="4"/>
        <v>148590.00000000003</v>
      </c>
      <c r="Q61" s="615">
        <f t="shared" si="4"/>
        <v>67123.285714285725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83578.23529411765</v>
      </c>
      <c r="C101" s="644">
        <f t="shared" si="9"/>
        <v>49678.411764705888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119397.47899159664</v>
      </c>
      <c r="C102" s="647">
        <f t="shared" si="10"/>
        <v>70969.159663865561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95345.76496477281</v>
      </c>
      <c r="C4" s="477">
        <f>huishoudens!C8</f>
        <v>0</v>
      </c>
      <c r="D4" s="477">
        <f>huishoudens!D8</f>
        <v>203349.14569799512</v>
      </c>
      <c r="E4" s="477">
        <f>huishoudens!E8</f>
        <v>4113.9897670217697</v>
      </c>
      <c r="F4" s="477">
        <f>huishoudens!F8</f>
        <v>0</v>
      </c>
      <c r="G4" s="477">
        <f>huishoudens!G8</f>
        <v>0</v>
      </c>
      <c r="H4" s="477">
        <f>huishoudens!H8</f>
        <v>0</v>
      </c>
      <c r="I4" s="477">
        <f>huishoudens!I8</f>
        <v>0</v>
      </c>
      <c r="J4" s="477">
        <f>huishoudens!J8</f>
        <v>4816.5606637662831</v>
      </c>
      <c r="K4" s="477">
        <f>huishoudens!K8</f>
        <v>0</v>
      </c>
      <c r="L4" s="477">
        <f>huishoudens!L8</f>
        <v>0</v>
      </c>
      <c r="M4" s="477">
        <f>huishoudens!M8</f>
        <v>0</v>
      </c>
      <c r="N4" s="477">
        <f>huishoudens!N8</f>
        <v>33311.279684876492</v>
      </c>
      <c r="O4" s="477">
        <f>huishoudens!O8</f>
        <v>1188.1333333333334</v>
      </c>
      <c r="P4" s="478">
        <f>huishoudens!P8</f>
        <v>2097.3333333333335</v>
      </c>
      <c r="Q4" s="479">
        <f>SUM(B4:P4)</f>
        <v>344222.20744509919</v>
      </c>
    </row>
    <row r="5" spans="1:17">
      <c r="A5" s="476" t="s">
        <v>156</v>
      </c>
      <c r="B5" s="477">
        <f ca="1">tertiair!B16</f>
        <v>177767.66930958876</v>
      </c>
      <c r="C5" s="477">
        <f ca="1">tertiair!C16</f>
        <v>34502.142857142855</v>
      </c>
      <c r="D5" s="477">
        <f ca="1">tertiair!D16</f>
        <v>77675.509796136786</v>
      </c>
      <c r="E5" s="477">
        <f>tertiair!E16</f>
        <v>1053.5155381784639</v>
      </c>
      <c r="F5" s="477">
        <f ca="1">tertiair!F16</f>
        <v>25118.567404209265</v>
      </c>
      <c r="G5" s="477">
        <f>tertiair!G16</f>
        <v>0</v>
      </c>
      <c r="H5" s="477">
        <f>tertiair!H16</f>
        <v>0</v>
      </c>
      <c r="I5" s="477">
        <f>tertiair!I16</f>
        <v>0</v>
      </c>
      <c r="J5" s="477">
        <f>tertiair!J16</f>
        <v>0.20106040325634891</v>
      </c>
      <c r="K5" s="477">
        <f>tertiair!K16</f>
        <v>0</v>
      </c>
      <c r="L5" s="477">
        <f ca="1">tertiair!L16</f>
        <v>0</v>
      </c>
      <c r="M5" s="477">
        <f>tertiair!M16</f>
        <v>0</v>
      </c>
      <c r="N5" s="477">
        <f ca="1">tertiair!N16</f>
        <v>0</v>
      </c>
      <c r="O5" s="477">
        <f>tertiair!O16</f>
        <v>14.070000000000002</v>
      </c>
      <c r="P5" s="478">
        <f>tertiair!P16</f>
        <v>133.46666666666667</v>
      </c>
      <c r="Q5" s="476">
        <f t="shared" ref="Q5:Q14" ca="1" si="0">SUM(B5:P5)</f>
        <v>316265.14263232611</v>
      </c>
    </row>
    <row r="6" spans="1:17">
      <c r="A6" s="476" t="s">
        <v>194</v>
      </c>
      <c r="B6" s="477">
        <f>'openbare verlichting'!B8</f>
        <v>2951.721</v>
      </c>
      <c r="C6" s="477"/>
      <c r="D6" s="477"/>
      <c r="E6" s="477"/>
      <c r="F6" s="477"/>
      <c r="G6" s="477"/>
      <c r="H6" s="477"/>
      <c r="I6" s="477"/>
      <c r="J6" s="477"/>
      <c r="K6" s="477"/>
      <c r="L6" s="477"/>
      <c r="M6" s="477"/>
      <c r="N6" s="477"/>
      <c r="O6" s="477"/>
      <c r="P6" s="478"/>
      <c r="Q6" s="476">
        <f t="shared" si="0"/>
        <v>2951.721</v>
      </c>
    </row>
    <row r="7" spans="1:17">
      <c r="A7" s="476" t="s">
        <v>112</v>
      </c>
      <c r="B7" s="477">
        <f>landbouw!B8</f>
        <v>10735.454325723567</v>
      </c>
      <c r="C7" s="477">
        <f>landbouw!C8</f>
        <v>107856.64285714288</v>
      </c>
      <c r="D7" s="477">
        <f>landbouw!D8</f>
        <v>0</v>
      </c>
      <c r="E7" s="477">
        <f>landbouw!E8</f>
        <v>315.54779249518145</v>
      </c>
      <c r="F7" s="477">
        <f>landbouw!F8</f>
        <v>44723.322607461429</v>
      </c>
      <c r="G7" s="477">
        <f>landbouw!G8</f>
        <v>0</v>
      </c>
      <c r="H7" s="477">
        <f>landbouw!H8</f>
        <v>0</v>
      </c>
      <c r="I7" s="477">
        <f>landbouw!I8</f>
        <v>0</v>
      </c>
      <c r="J7" s="477">
        <f>landbouw!J8</f>
        <v>1555.3367852766598</v>
      </c>
      <c r="K7" s="477">
        <f>landbouw!K8</f>
        <v>0</v>
      </c>
      <c r="L7" s="477">
        <f>landbouw!L8</f>
        <v>0</v>
      </c>
      <c r="M7" s="477">
        <f>landbouw!M8</f>
        <v>0</v>
      </c>
      <c r="N7" s="477">
        <f>landbouw!N8</f>
        <v>0</v>
      </c>
      <c r="O7" s="477">
        <f>landbouw!O8</f>
        <v>0</v>
      </c>
      <c r="P7" s="478">
        <f>landbouw!P8</f>
        <v>0</v>
      </c>
      <c r="Q7" s="476">
        <f t="shared" si="0"/>
        <v>165186.30436809972</v>
      </c>
    </row>
    <row r="8" spans="1:17">
      <c r="A8" s="476" t="s">
        <v>635</v>
      </c>
      <c r="B8" s="477">
        <f>industrie!B18</f>
        <v>88798.594629867875</v>
      </c>
      <c r="C8" s="477">
        <f>industrie!C18</f>
        <v>19452.857142857141</v>
      </c>
      <c r="D8" s="477">
        <f>industrie!D18</f>
        <v>27920.619811941931</v>
      </c>
      <c r="E8" s="477">
        <f>industrie!E18</f>
        <v>4593.8399192359848</v>
      </c>
      <c r="F8" s="477">
        <f>industrie!F18</f>
        <v>15028.121024448767</v>
      </c>
      <c r="G8" s="477">
        <f>industrie!G18</f>
        <v>0</v>
      </c>
      <c r="H8" s="477">
        <f>industrie!H18</f>
        <v>0</v>
      </c>
      <c r="I8" s="477">
        <f>industrie!I18</f>
        <v>0</v>
      </c>
      <c r="J8" s="477">
        <f>industrie!J18</f>
        <v>167.09928281388906</v>
      </c>
      <c r="K8" s="477">
        <f>industrie!K18</f>
        <v>0</v>
      </c>
      <c r="L8" s="477">
        <f>industrie!L18</f>
        <v>0</v>
      </c>
      <c r="M8" s="477">
        <f>industrie!M18</f>
        <v>0</v>
      </c>
      <c r="N8" s="477">
        <f>industrie!N18</f>
        <v>0</v>
      </c>
      <c r="O8" s="477">
        <f>industrie!O18</f>
        <v>0</v>
      </c>
      <c r="P8" s="478">
        <f>industrie!P18</f>
        <v>0</v>
      </c>
      <c r="Q8" s="476">
        <f t="shared" si="0"/>
        <v>155961.13181116563</v>
      </c>
    </row>
    <row r="9" spans="1:17" s="482" customFormat="1">
      <c r="A9" s="480" t="s">
        <v>561</v>
      </c>
      <c r="B9" s="481">
        <f>transport!B14</f>
        <v>308.69043490216245</v>
      </c>
      <c r="C9" s="481">
        <f>transport!C14</f>
        <v>0</v>
      </c>
      <c r="D9" s="481">
        <f>transport!D14</f>
        <v>1109.4047777287201</v>
      </c>
      <c r="E9" s="481">
        <f>transport!E14</f>
        <v>1609.5281295077352</v>
      </c>
      <c r="F9" s="481">
        <f>transport!F14</f>
        <v>0</v>
      </c>
      <c r="G9" s="481">
        <f>transport!G14</f>
        <v>874820.66036184505</v>
      </c>
      <c r="H9" s="481">
        <f>transport!H14</f>
        <v>126985.59316249168</v>
      </c>
      <c r="I9" s="481">
        <f>transport!I14</f>
        <v>0</v>
      </c>
      <c r="J9" s="481">
        <f>transport!J14</f>
        <v>0</v>
      </c>
      <c r="K9" s="481">
        <f>transport!K14</f>
        <v>0</v>
      </c>
      <c r="L9" s="481">
        <f>transport!L14</f>
        <v>0</v>
      </c>
      <c r="M9" s="481">
        <f>transport!M14</f>
        <v>54858.522751734679</v>
      </c>
      <c r="N9" s="481">
        <f>transport!N14</f>
        <v>0</v>
      </c>
      <c r="O9" s="481">
        <f>transport!O14</f>
        <v>0</v>
      </c>
      <c r="P9" s="481">
        <f>transport!P14</f>
        <v>0</v>
      </c>
      <c r="Q9" s="480">
        <f>SUM(B9:P9)</f>
        <v>1059692.39961821</v>
      </c>
    </row>
    <row r="10" spans="1:17">
      <c r="A10" s="476" t="s">
        <v>551</v>
      </c>
      <c r="B10" s="477">
        <f>transport!B54</f>
        <v>0</v>
      </c>
      <c r="C10" s="477">
        <f>transport!C54</f>
        <v>0</v>
      </c>
      <c r="D10" s="477">
        <f>transport!D54</f>
        <v>0</v>
      </c>
      <c r="E10" s="477">
        <f>transport!E54</f>
        <v>0</v>
      </c>
      <c r="F10" s="477">
        <f>transport!F54</f>
        <v>0</v>
      </c>
      <c r="G10" s="477">
        <f>transport!G54</f>
        <v>3733.5624433720027</v>
      </c>
      <c r="H10" s="477">
        <f>transport!H54</f>
        <v>0</v>
      </c>
      <c r="I10" s="477">
        <f>transport!I54</f>
        <v>0</v>
      </c>
      <c r="J10" s="477">
        <f>transport!J54</f>
        <v>0</v>
      </c>
      <c r="K10" s="477">
        <f>transport!K54</f>
        <v>0</v>
      </c>
      <c r="L10" s="477">
        <f>transport!L54</f>
        <v>0</v>
      </c>
      <c r="M10" s="477">
        <f>transport!M54</f>
        <v>212.04986468693698</v>
      </c>
      <c r="N10" s="477">
        <f>transport!N54</f>
        <v>0</v>
      </c>
      <c r="O10" s="477">
        <f>transport!O54</f>
        <v>0</v>
      </c>
      <c r="P10" s="478">
        <f>transport!P54</f>
        <v>0</v>
      </c>
      <c r="Q10" s="476">
        <f t="shared" si="0"/>
        <v>3945.6123080589396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7592.8729582333308</v>
      </c>
      <c r="C14" s="484"/>
      <c r="D14" s="484">
        <f>'SEAP template'!E25</f>
        <v>6348.0402530504798</v>
      </c>
      <c r="E14" s="484"/>
      <c r="F14" s="484"/>
      <c r="G14" s="484"/>
      <c r="H14" s="484"/>
      <c r="I14" s="484"/>
      <c r="J14" s="484"/>
      <c r="K14" s="484"/>
      <c r="L14" s="484"/>
      <c r="M14" s="484"/>
      <c r="N14" s="484"/>
      <c r="O14" s="484"/>
      <c r="P14" s="485"/>
      <c r="Q14" s="476">
        <f t="shared" si="0"/>
        <v>13940.913211283811</v>
      </c>
    </row>
    <row r="15" spans="1:17" s="486" customFormat="1">
      <c r="A15" s="1039" t="s">
        <v>555</v>
      </c>
      <c r="B15" s="987">
        <f ca="1">SUM(B4:B14)</f>
        <v>383500.76762308856</v>
      </c>
      <c r="C15" s="987">
        <f t="shared" ref="C15:Q15" ca="1" si="1">SUM(C4:C14)</f>
        <v>161811.64285714287</v>
      </c>
      <c r="D15" s="987">
        <f t="shared" ca="1" si="1"/>
        <v>316402.72033685306</v>
      </c>
      <c r="E15" s="987">
        <f t="shared" si="1"/>
        <v>11686.421146439134</v>
      </c>
      <c r="F15" s="987">
        <f t="shared" ca="1" si="1"/>
        <v>84870.011036119453</v>
      </c>
      <c r="G15" s="987">
        <f t="shared" si="1"/>
        <v>878554.22280521702</v>
      </c>
      <c r="H15" s="987">
        <f t="shared" si="1"/>
        <v>126985.59316249168</v>
      </c>
      <c r="I15" s="987">
        <f t="shared" si="1"/>
        <v>0</v>
      </c>
      <c r="J15" s="987">
        <f t="shared" si="1"/>
        <v>6539.1977922600881</v>
      </c>
      <c r="K15" s="987">
        <f t="shared" si="1"/>
        <v>0</v>
      </c>
      <c r="L15" s="987">
        <f t="shared" ca="1" si="1"/>
        <v>0</v>
      </c>
      <c r="M15" s="987">
        <f t="shared" si="1"/>
        <v>55070.572616421618</v>
      </c>
      <c r="N15" s="987">
        <f t="shared" ca="1" si="1"/>
        <v>33311.279684876492</v>
      </c>
      <c r="O15" s="987">
        <f t="shared" si="1"/>
        <v>1202.2033333333334</v>
      </c>
      <c r="P15" s="987">
        <f t="shared" si="1"/>
        <v>2230.8000000000002</v>
      </c>
      <c r="Q15" s="987">
        <f t="shared" ca="1" si="1"/>
        <v>2062165.4323942433</v>
      </c>
    </row>
    <row r="17" spans="1:17">
      <c r="A17" s="487" t="s">
        <v>556</v>
      </c>
      <c r="B17" s="786">
        <f ca="1">huishoudens!B10</f>
        <v>0.11069738345064536</v>
      </c>
      <c r="C17" s="786">
        <f ca="1">huishoudens!C10</f>
        <v>0.14905164010723015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10554.526704700564</v>
      </c>
      <c r="C22" s="477">
        <f t="shared" ref="C22:C32" ca="1" si="3">C4*$C$17</f>
        <v>0</v>
      </c>
      <c r="D22" s="477">
        <f t="shared" ref="D22:D32" si="4">D4*$D$17</f>
        <v>41076.527430995018</v>
      </c>
      <c r="E22" s="477">
        <f t="shared" ref="E22:E32" si="5">E4*$E$17</f>
        <v>933.87567711394172</v>
      </c>
      <c r="F22" s="477">
        <f t="shared" ref="F22:F32" si="6">F4*$F$17</f>
        <v>0</v>
      </c>
      <c r="G22" s="477">
        <f t="shared" ref="G22:G32" si="7">G4*$G$17</f>
        <v>0</v>
      </c>
      <c r="H22" s="477">
        <f t="shared" ref="H22:H32" si="8">H4*$H$17</f>
        <v>0</v>
      </c>
      <c r="I22" s="477">
        <f t="shared" ref="I22:I32" si="9">I4*$I$17</f>
        <v>0</v>
      </c>
      <c r="J22" s="477">
        <f t="shared" ref="J22:J32" si="10">J4*$J$17</f>
        <v>1705.0624749732642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54269.992287782792</v>
      </c>
    </row>
    <row r="23" spans="1:17">
      <c r="A23" s="476" t="s">
        <v>156</v>
      </c>
      <c r="B23" s="477">
        <f t="shared" ca="1" si="2"/>
        <v>19678.415854691069</v>
      </c>
      <c r="C23" s="477">
        <f t="shared" ca="1" si="3"/>
        <v>5142.6009800710981</v>
      </c>
      <c r="D23" s="477">
        <f t="shared" ca="1" si="4"/>
        <v>15690.452978819632</v>
      </c>
      <c r="E23" s="477">
        <f t="shared" si="5"/>
        <v>239.1480271665113</v>
      </c>
      <c r="F23" s="477">
        <f t="shared" ca="1" si="6"/>
        <v>6706.6574969238745</v>
      </c>
      <c r="G23" s="477">
        <f t="shared" si="7"/>
        <v>0</v>
      </c>
      <c r="H23" s="477">
        <f t="shared" si="8"/>
        <v>0</v>
      </c>
      <c r="I23" s="477">
        <f t="shared" si="9"/>
        <v>0</v>
      </c>
      <c r="J23" s="477">
        <f t="shared" si="10"/>
        <v>7.1175382752747512E-2</v>
      </c>
      <c r="K23" s="477">
        <f t="shared" si="11"/>
        <v>0</v>
      </c>
      <c r="L23" s="477">
        <f t="shared" ca="1" si="12"/>
        <v>0</v>
      </c>
      <c r="M23" s="477">
        <f t="shared" si="13"/>
        <v>0</v>
      </c>
      <c r="N23" s="477">
        <f t="shared" ca="1" si="14"/>
        <v>0</v>
      </c>
      <c r="O23" s="477">
        <f t="shared" si="15"/>
        <v>0</v>
      </c>
      <c r="P23" s="478">
        <f t="shared" si="16"/>
        <v>0</v>
      </c>
      <c r="Q23" s="476">
        <f t="shared" ref="Q23:Q32" ca="1" si="17">SUM(B23:P23)</f>
        <v>47457.346513054938</v>
      </c>
    </row>
    <row r="24" spans="1:17">
      <c r="A24" s="476" t="s">
        <v>194</v>
      </c>
      <c r="B24" s="477">
        <f t="shared" ca="1" si="2"/>
        <v>326.74779137632237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326.74779137632237</v>
      </c>
    </row>
    <row r="25" spans="1:17">
      <c r="A25" s="476" t="s">
        <v>112</v>
      </c>
      <c r="B25" s="477">
        <f t="shared" ca="1" si="2"/>
        <v>1188.3867040115113</v>
      </c>
      <c r="C25" s="477">
        <f t="shared" ca="1" si="3"/>
        <v>16076.209514316917</v>
      </c>
      <c r="D25" s="477">
        <f t="shared" si="4"/>
        <v>0</v>
      </c>
      <c r="E25" s="477">
        <f t="shared" si="5"/>
        <v>71.629348896406199</v>
      </c>
      <c r="F25" s="477">
        <f t="shared" si="6"/>
        <v>11941.127136192203</v>
      </c>
      <c r="G25" s="477">
        <f t="shared" si="7"/>
        <v>0</v>
      </c>
      <c r="H25" s="477">
        <f t="shared" si="8"/>
        <v>0</v>
      </c>
      <c r="I25" s="477">
        <f t="shared" si="9"/>
        <v>0</v>
      </c>
      <c r="J25" s="477">
        <f t="shared" si="10"/>
        <v>550.58922198793755</v>
      </c>
      <c r="K25" s="477">
        <f t="shared" si="11"/>
        <v>0</v>
      </c>
      <c r="L25" s="477">
        <f t="shared" si="12"/>
        <v>0</v>
      </c>
      <c r="M25" s="477">
        <f t="shared" si="13"/>
        <v>0</v>
      </c>
      <c r="N25" s="477">
        <f t="shared" si="14"/>
        <v>0</v>
      </c>
      <c r="O25" s="477">
        <f t="shared" si="15"/>
        <v>0</v>
      </c>
      <c r="P25" s="478">
        <f t="shared" si="16"/>
        <v>0</v>
      </c>
      <c r="Q25" s="476">
        <f t="shared" ca="1" si="17"/>
        <v>29827.941925404979</v>
      </c>
    </row>
    <row r="26" spans="1:17">
      <c r="A26" s="476" t="s">
        <v>635</v>
      </c>
      <c r="B26" s="477">
        <f t="shared" ca="1" si="2"/>
        <v>9829.7720796209032</v>
      </c>
      <c r="C26" s="477">
        <f t="shared" ca="1" si="3"/>
        <v>2899.4802619145039</v>
      </c>
      <c r="D26" s="477">
        <f t="shared" si="4"/>
        <v>5639.9652020122703</v>
      </c>
      <c r="E26" s="477">
        <f t="shared" si="5"/>
        <v>1042.8016616665686</v>
      </c>
      <c r="F26" s="477">
        <f t="shared" si="6"/>
        <v>4012.508313527821</v>
      </c>
      <c r="G26" s="477">
        <f t="shared" si="7"/>
        <v>0</v>
      </c>
      <c r="H26" s="477">
        <f t="shared" si="8"/>
        <v>0</v>
      </c>
      <c r="I26" s="477">
        <f t="shared" si="9"/>
        <v>0</v>
      </c>
      <c r="J26" s="477">
        <f t="shared" si="10"/>
        <v>59.153146116116723</v>
      </c>
      <c r="K26" s="477">
        <f t="shared" si="11"/>
        <v>0</v>
      </c>
      <c r="L26" s="477">
        <f t="shared" si="12"/>
        <v>0</v>
      </c>
      <c r="M26" s="477">
        <f t="shared" si="13"/>
        <v>0</v>
      </c>
      <c r="N26" s="477">
        <f t="shared" si="14"/>
        <v>0</v>
      </c>
      <c r="O26" s="477">
        <f t="shared" si="15"/>
        <v>0</v>
      </c>
      <c r="P26" s="478">
        <f t="shared" si="16"/>
        <v>0</v>
      </c>
      <c r="Q26" s="476">
        <f t="shared" ca="1" si="17"/>
        <v>23483.680664858188</v>
      </c>
    </row>
    <row r="27" spans="1:17" s="482" customFormat="1">
      <c r="A27" s="480" t="s">
        <v>561</v>
      </c>
      <c r="B27" s="780">
        <f t="shared" ca="1" si="2"/>
        <v>34.171223439911159</v>
      </c>
      <c r="C27" s="481">
        <f t="shared" ca="1" si="3"/>
        <v>0</v>
      </c>
      <c r="D27" s="481">
        <f t="shared" si="4"/>
        <v>224.09976510120148</v>
      </c>
      <c r="E27" s="481">
        <f t="shared" si="5"/>
        <v>365.36288539825591</v>
      </c>
      <c r="F27" s="481">
        <f t="shared" si="6"/>
        <v>0</v>
      </c>
      <c r="G27" s="481">
        <f t="shared" si="7"/>
        <v>233577.11631661264</v>
      </c>
      <c r="H27" s="481">
        <f t="shared" si="8"/>
        <v>31619.41269746043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265820.16288801242</v>
      </c>
    </row>
    <row r="28" spans="1:17">
      <c r="A28" s="476" t="s">
        <v>551</v>
      </c>
      <c r="B28" s="477">
        <f t="shared" ca="1" si="2"/>
        <v>0</v>
      </c>
      <c r="C28" s="477">
        <f t="shared" ca="1" si="3"/>
        <v>0</v>
      </c>
      <c r="D28" s="477">
        <f t="shared" si="4"/>
        <v>0</v>
      </c>
      <c r="E28" s="477">
        <f t="shared" si="5"/>
        <v>0</v>
      </c>
      <c r="F28" s="477">
        <f t="shared" si="6"/>
        <v>0</v>
      </c>
      <c r="G28" s="477">
        <f t="shared" si="7"/>
        <v>996.86117238032477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996.86117238032477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840.511169349591</v>
      </c>
      <c r="C32" s="477">
        <f t="shared" ca="1" si="3"/>
        <v>0</v>
      </c>
      <c r="D32" s="477">
        <f t="shared" si="4"/>
        <v>1282.3041311161969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2122.8153004657879</v>
      </c>
    </row>
    <row r="33" spans="1:17" s="486" customFormat="1">
      <c r="A33" s="1039" t="s">
        <v>555</v>
      </c>
      <c r="B33" s="987">
        <f ca="1">SUM(B22:B32)</f>
        <v>42452.531527189873</v>
      </c>
      <c r="C33" s="987">
        <f t="shared" ref="C33:Q33" ca="1" si="18">SUM(C22:C32)</f>
        <v>24118.290756302522</v>
      </c>
      <c r="D33" s="987">
        <f t="shared" ca="1" si="18"/>
        <v>63913.34950804431</v>
      </c>
      <c r="E33" s="987">
        <f t="shared" si="18"/>
        <v>2652.8176002416835</v>
      </c>
      <c r="F33" s="987">
        <f t="shared" ca="1" si="18"/>
        <v>22660.292946643898</v>
      </c>
      <c r="G33" s="987">
        <f t="shared" si="18"/>
        <v>234573.97748899297</v>
      </c>
      <c r="H33" s="987">
        <f t="shared" si="18"/>
        <v>31619.41269746043</v>
      </c>
      <c r="I33" s="987">
        <f t="shared" si="18"/>
        <v>0</v>
      </c>
      <c r="J33" s="987">
        <f t="shared" si="18"/>
        <v>2314.876018460071</v>
      </c>
      <c r="K33" s="987">
        <f t="shared" si="18"/>
        <v>0</v>
      </c>
      <c r="L33" s="987">
        <f t="shared" ca="1" si="18"/>
        <v>0</v>
      </c>
      <c r="M33" s="987">
        <f t="shared" si="18"/>
        <v>0</v>
      </c>
      <c r="N33" s="987">
        <f t="shared" ca="1" si="18"/>
        <v>0</v>
      </c>
      <c r="O33" s="987">
        <f t="shared" si="18"/>
        <v>0</v>
      </c>
      <c r="P33" s="987">
        <f t="shared" si="18"/>
        <v>0</v>
      </c>
      <c r="Q33" s="987">
        <f t="shared" ca="1" si="18"/>
        <v>424305.54854333581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108428.1094847791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46104.381451530622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42226.649999999994</v>
      </c>
      <c r="C8" s="1056">
        <f>'SEAP template'!C76</f>
        <v>71041.499999999985</v>
      </c>
      <c r="D8" s="1056">
        <f>'SEAP template'!D76</f>
        <v>83578.23529411765</v>
      </c>
      <c r="E8" s="1056">
        <f>'SEAP template'!E76</f>
        <v>0</v>
      </c>
      <c r="F8" s="1056">
        <f>'SEAP template'!F76</f>
        <v>0</v>
      </c>
      <c r="G8" s="1056">
        <f>'SEAP template'!G76</f>
        <v>0</v>
      </c>
      <c r="H8" s="1056">
        <f>'SEAP template'!H76</f>
        <v>0</v>
      </c>
      <c r="I8" s="1056">
        <f>'SEAP template'!I76</f>
        <v>0</v>
      </c>
      <c r="J8" s="1056">
        <f>'SEAP template'!J76</f>
        <v>49678.411764705888</v>
      </c>
      <c r="K8" s="1056">
        <f>'SEAP template'!K76</f>
        <v>0</v>
      </c>
      <c r="L8" s="1056">
        <f>'SEAP template'!L76</f>
        <v>0</v>
      </c>
      <c r="M8" s="1056">
        <f>'SEAP template'!M76</f>
        <v>0</v>
      </c>
      <c r="N8" s="1056">
        <f>'SEAP template'!N76</f>
        <v>0</v>
      </c>
      <c r="O8" s="1056">
        <f>'SEAP template'!O76</f>
        <v>0</v>
      </c>
      <c r="P8" s="1057">
        <f>'SEAP template'!Q76</f>
        <v>16882.803529411765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196759.1409363097</v>
      </c>
      <c r="C10" s="1060">
        <f>SUM(C4:C9)</f>
        <v>71041.499999999985</v>
      </c>
      <c r="D10" s="1060">
        <f t="shared" ref="D10:H10" si="0">SUM(D8:D9)</f>
        <v>83578.23529411765</v>
      </c>
      <c r="E10" s="1060">
        <f t="shared" si="0"/>
        <v>0</v>
      </c>
      <c r="F10" s="1060">
        <f t="shared" si="0"/>
        <v>0</v>
      </c>
      <c r="G10" s="1060">
        <f t="shared" si="0"/>
        <v>0</v>
      </c>
      <c r="H10" s="1060">
        <f t="shared" si="0"/>
        <v>0</v>
      </c>
      <c r="I10" s="1060">
        <f>SUM(I8:I9)</f>
        <v>0</v>
      </c>
      <c r="J10" s="1060">
        <f>SUM(J8:J9)</f>
        <v>49678.411764705888</v>
      </c>
      <c r="K10" s="1060">
        <f t="shared" ref="K10:L10" si="1">SUM(K8:K9)</f>
        <v>0</v>
      </c>
      <c r="L10" s="1060">
        <f t="shared" si="1"/>
        <v>0</v>
      </c>
      <c r="M10" s="1060">
        <f>SUM(M8:M9)</f>
        <v>0</v>
      </c>
      <c r="N10" s="1060">
        <f>SUM(N8:N9)</f>
        <v>0</v>
      </c>
      <c r="O10" s="1060">
        <f>SUM(O8:O9)</f>
        <v>0</v>
      </c>
      <c r="P10" s="1060">
        <f>SUM(P8:P9)</f>
        <v>16882.803529411765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0.11069738345064536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60323.785714285732</v>
      </c>
      <c r="C17" s="1062">
        <f>'SEAP template'!C87</f>
        <v>101487.85714285716</v>
      </c>
      <c r="D17" s="1057">
        <f>'SEAP template'!D87</f>
        <v>119397.47899159664</v>
      </c>
      <c r="E17" s="1057">
        <f>'SEAP template'!E87</f>
        <v>0</v>
      </c>
      <c r="F17" s="1057">
        <f>'SEAP template'!F87</f>
        <v>0</v>
      </c>
      <c r="G17" s="1057">
        <f>'SEAP template'!G87</f>
        <v>0</v>
      </c>
      <c r="H17" s="1057">
        <f>'SEAP template'!H87</f>
        <v>0</v>
      </c>
      <c r="I17" s="1057">
        <f>'SEAP template'!I87</f>
        <v>0</v>
      </c>
      <c r="J17" s="1057">
        <f>'SEAP template'!J87</f>
        <v>70969.159663865561</v>
      </c>
      <c r="K17" s="1057">
        <f>'SEAP template'!K87</f>
        <v>0</v>
      </c>
      <c r="L17" s="1057">
        <f>'SEAP template'!L87</f>
        <v>0</v>
      </c>
      <c r="M17" s="1057">
        <f>'SEAP template'!M87</f>
        <v>0</v>
      </c>
      <c r="N17" s="1057">
        <f>'SEAP template'!N87</f>
        <v>0</v>
      </c>
      <c r="O17" s="1057">
        <f>'SEAP template'!O87</f>
        <v>0</v>
      </c>
      <c r="P17" s="1057">
        <f>'SEAP template'!Q87</f>
        <v>24118.290756302522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60323.785714285732</v>
      </c>
      <c r="C20" s="1060">
        <f>SUM(C17:C19)</f>
        <v>101487.85714285716</v>
      </c>
      <c r="D20" s="1060">
        <f t="shared" ref="D20:H20" si="2">SUM(D17:D19)</f>
        <v>119397.47899159664</v>
      </c>
      <c r="E20" s="1060">
        <f t="shared" si="2"/>
        <v>0</v>
      </c>
      <c r="F20" s="1060">
        <f t="shared" si="2"/>
        <v>0</v>
      </c>
      <c r="G20" s="1060">
        <f t="shared" si="2"/>
        <v>0</v>
      </c>
      <c r="H20" s="1060">
        <f t="shared" si="2"/>
        <v>0</v>
      </c>
      <c r="I20" s="1060">
        <f>SUM(I17:I19)</f>
        <v>0</v>
      </c>
      <c r="J20" s="1060">
        <f>SUM(J17:J19)</f>
        <v>70969.159663865561</v>
      </c>
      <c r="K20" s="1060">
        <f t="shared" ref="K20:L20" si="3">SUM(K17:K19)</f>
        <v>0</v>
      </c>
      <c r="L20" s="1060">
        <f t="shared" si="3"/>
        <v>0</v>
      </c>
      <c r="M20" s="1060">
        <f>SUM(M17:M19)</f>
        <v>0</v>
      </c>
      <c r="N20" s="1060">
        <f>SUM(N17:N19)</f>
        <v>0</v>
      </c>
      <c r="O20" s="1060">
        <f>SUM(O17:O19)</f>
        <v>0</v>
      </c>
      <c r="P20" s="1060">
        <f>SUM(P17:P19)</f>
        <v>24118.290756302522</v>
      </c>
    </row>
    <row r="22" spans="1:16">
      <c r="A22" s="487" t="s">
        <v>862</v>
      </c>
      <c r="B22" s="786" t="s">
        <v>856</v>
      </c>
      <c r="C22" s="786">
        <f ca="1">'EF ele_warmte'!B22</f>
        <v>0.14905164010723015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0.11069738345064536</v>
      </c>
      <c r="C17" s="524">
        <f ca="1">'EF ele_warmte'!B22</f>
        <v>0.14905164010723015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2019-08-12T08:34:59Z</dcterms:modified>
</cp:coreProperties>
</file>