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c r="G10"/>
  <c r="P22" i="14"/>
  <c r="O22"/>
  <c r="G77"/>
  <c r="G9" i="61" s="1"/>
  <c r="H20"/>
  <c r="O10"/>
  <c r="G20"/>
  <c r="K20"/>
  <c r="Q11" i="48"/>
  <c r="O25"/>
  <c r="B98" i="18"/>
  <c r="I102" s="1"/>
  <c r="H17" s="1"/>
  <c r="L78" i="14"/>
  <c r="L8" i="61"/>
  <c r="L10" s="1"/>
  <c r="K78" i="14"/>
  <c r="K8" i="61"/>
  <c r="K10" s="1"/>
  <c r="L90" i="14"/>
  <c r="L18" i="61"/>
  <c r="L20" s="1"/>
  <c r="E88" i="14"/>
  <c r="O30" i="48"/>
  <c r="N20" i="61"/>
  <c r="K90" i="14"/>
  <c r="K22"/>
  <c r="I9" i="18"/>
  <c r="I77" i="14" s="1"/>
  <c r="I9" i="61" s="1"/>
  <c r="B10" i="18"/>
  <c r="M77" i="14"/>
  <c r="M9" i="61" s="1"/>
  <c r="H9" i="18"/>
  <c r="O9" s="1"/>
  <c r="L13" i="15"/>
  <c r="B13"/>
  <c r="H90" i="14"/>
  <c r="N13" i="15"/>
  <c r="F77" i="14"/>
  <c r="F9" i="61" s="1"/>
  <c r="I101" i="18"/>
  <c r="H8" s="1"/>
  <c r="E101"/>
  <c r="E8" s="1"/>
  <c r="G101"/>
  <c r="I8" s="1"/>
  <c r="F101"/>
  <c r="H101"/>
  <c r="D101"/>
  <c r="C101"/>
  <c r="B101"/>
  <c r="C8" s="1"/>
  <c r="E102"/>
  <c r="E17" s="1"/>
  <c r="D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C102" i="18"/>
  <c r="B102"/>
  <c r="C17" s="1"/>
  <c r="D10" i="61"/>
  <c r="H102" i="18"/>
  <c r="J17" s="1"/>
  <c r="H78" i="14"/>
  <c r="H9" i="61"/>
  <c r="H10" s="1"/>
  <c r="O90" i="14"/>
  <c r="O18" i="61"/>
  <c r="O20" s="1"/>
  <c r="G102" i="18"/>
  <c r="F102"/>
  <c r="B88" i="14"/>
  <c r="B18" i="61" s="1"/>
  <c r="B77" i="14"/>
  <c r="B9" i="61" s="1"/>
  <c r="Q77" i="14"/>
  <c r="P9" i="61" s="1"/>
  <c r="H20" i="18"/>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32"/>
  <c r="D24"/>
  <c r="L29"/>
  <c r="L32"/>
  <c r="L27"/>
  <c r="L30"/>
  <c r="L28"/>
  <c r="L24"/>
  <c r="L31"/>
  <c r="L22"/>
  <c r="P5"/>
  <c r="P23" s="1"/>
  <c r="Q10" i="14"/>
  <c r="K32" i="48"/>
  <c r="K24"/>
  <c r="K27"/>
  <c r="K31"/>
  <c r="K26"/>
  <c r="K25"/>
  <c r="K29"/>
  <c r="K28"/>
  <c r="K30"/>
  <c r="K22"/>
  <c r="B7"/>
  <c r="C24" i="14"/>
  <c r="C26" s="1"/>
  <c r="J30" i="48"/>
  <c r="J32"/>
  <c r="J24"/>
  <c r="J29"/>
  <c r="J27"/>
  <c r="J31"/>
  <c r="J28"/>
  <c r="P4"/>
  <c r="Q11" i="14"/>
  <c r="O4" i="48"/>
  <c r="P11" i="14"/>
  <c r="I25" i="48"/>
  <c r="I31"/>
  <c r="I24"/>
  <c r="I28"/>
  <c r="I30"/>
  <c r="I29"/>
  <c r="I22"/>
  <c r="I32"/>
  <c r="I26"/>
  <c r="I27"/>
  <c r="D4"/>
  <c r="D22" s="1"/>
  <c r="E11" i="14"/>
  <c r="H29" i="48"/>
  <c r="H32"/>
  <c r="H28"/>
  <c r="H25"/>
  <c r="H30"/>
  <c r="H24"/>
  <c r="H26"/>
  <c r="H22"/>
  <c r="H23"/>
  <c r="D11" i="14"/>
  <c r="C4" i="48"/>
  <c r="G23"/>
  <c r="G32"/>
  <c r="G30"/>
  <c r="G24"/>
  <c r="G26"/>
  <c r="G22"/>
  <c r="G25"/>
  <c r="G29"/>
  <c r="C11" i="14"/>
  <c r="B4" i="48"/>
  <c r="F24"/>
  <c r="F31"/>
  <c r="F27"/>
  <c r="F30"/>
  <c r="F32"/>
  <c r="F29"/>
  <c r="F28"/>
  <c r="N30"/>
  <c r="N32"/>
  <c r="N24"/>
  <c r="N31"/>
  <c r="N29"/>
  <c r="N27"/>
  <c r="N28"/>
  <c r="C19" i="14"/>
  <c r="B10" i="48"/>
  <c r="E29"/>
  <c r="E31"/>
  <c r="E24"/>
  <c r="E30"/>
  <c r="E28"/>
  <c r="E32"/>
  <c r="M29"/>
  <c r="M25"/>
  <c r="M22"/>
  <c r="M26"/>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P8" i="48"/>
  <c r="P26" s="1"/>
  <c r="Q13" i="14"/>
  <c r="Q16"/>
  <c r="Q27" s="1"/>
  <c r="K33" i="48"/>
  <c r="K23"/>
  <c r="K15"/>
  <c r="G13"/>
  <c r="G31" s="1"/>
  <c r="H18" i="14"/>
  <c r="D9" i="48"/>
  <c r="D27" s="1"/>
  <c r="E20" i="14"/>
  <c r="E22" s="1"/>
  <c r="O5" i="48"/>
  <c r="O23" s="1"/>
  <c r="P10" i="14"/>
  <c r="P22" i="48"/>
  <c r="P15"/>
  <c r="B9"/>
  <c r="C20" i="14"/>
  <c r="C22" s="1"/>
  <c r="J7" i="48"/>
  <c r="J25" s="1"/>
  <c r="K24" i="14"/>
  <c r="K26" s="1"/>
  <c r="F4" i="48"/>
  <c r="F22" s="1"/>
  <c r="G11" i="14"/>
  <c r="J10"/>
  <c r="J16" s="1"/>
  <c r="J27" s="1"/>
  <c r="J63" s="1"/>
  <c r="I5" i="48"/>
  <c r="O22"/>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G10" i="48" l="1"/>
  <c r="H19" i="14"/>
  <c r="K11"/>
  <c r="J4" i="48"/>
  <c r="N4"/>
  <c r="N22" s="1"/>
  <c r="O11" i="14"/>
  <c r="Q63"/>
  <c r="I23" i="48"/>
  <c r="I33" s="1"/>
  <c r="I15"/>
  <c r="M10"/>
  <c r="M28" s="1"/>
  <c r="N19" i="14"/>
  <c r="N22" s="1"/>
  <c r="N27" s="1"/>
  <c r="E7" i="48"/>
  <c r="E25" s="1"/>
  <c r="F24" i="14"/>
  <c r="F26" s="1"/>
  <c r="E4" i="48"/>
  <c r="F11" i="14"/>
  <c r="O8" i="48"/>
  <c r="P13" i="14"/>
  <c r="P16" s="1"/>
  <c r="P27" s="1"/>
  <c r="P46"/>
  <c r="P61" s="1"/>
  <c r="P33" i="48"/>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E5"/>
  <c r="E23" s="1"/>
  <c r="F10" i="14"/>
  <c r="H22"/>
  <c r="H27" s="1"/>
  <c r="R19"/>
  <c r="J22" i="48"/>
  <c r="P63" i="14"/>
  <c r="K10"/>
  <c r="J5" i="48"/>
  <c r="J23" s="1"/>
  <c r="O26"/>
  <c r="O33" s="1"/>
  <c r="O15"/>
  <c r="E22"/>
  <c r="Q4"/>
  <c r="G9"/>
  <c r="H20" i="14"/>
  <c r="Q7" i="48"/>
  <c r="N52" i="14"/>
  <c r="N61" s="1"/>
  <c r="J20" i="15"/>
  <c r="K40" i="14" s="1"/>
  <c r="R11"/>
  <c r="M15" i="48"/>
  <c r="M27"/>
  <c r="M33" s="1"/>
  <c r="R22" i="14"/>
  <c r="H15" i="48"/>
  <c r="H27"/>
  <c r="H33" s="1"/>
  <c r="N63" i="14"/>
  <c r="R20"/>
  <c r="R24"/>
  <c r="R26" s="1"/>
  <c r="N18" i="16"/>
  <c r="E20" i="15"/>
  <c r="F40" i="14" s="1"/>
  <c r="F18" i="16"/>
  <c r="J18"/>
  <c r="E18"/>
  <c r="G18" i="22"/>
  <c r="H50" i="14" s="1"/>
  <c r="H52" s="1"/>
  <c r="H61" s="1"/>
  <c r="H63" s="1"/>
  <c r="H18" i="22"/>
  <c r="I50" i="14" s="1"/>
  <c r="I52" s="1"/>
  <c r="I61" s="1"/>
  <c r="I63" s="1"/>
  <c r="G27" i="48" l="1"/>
  <c r="G33" s="1"/>
  <c r="G15"/>
  <c r="K13" i="14"/>
  <c r="J8" i="48"/>
  <c r="E8"/>
  <c r="F13" i="14"/>
  <c r="Q9" i="48"/>
  <c r="K16" i="14"/>
  <c r="K27" s="1"/>
  <c r="K63" s="1"/>
  <c r="F16"/>
  <c r="F27" s="1"/>
  <c r="K46"/>
  <c r="K61" s="1"/>
  <c r="N8" i="48"/>
  <c r="N26" s="1"/>
  <c r="O13" i="14"/>
  <c r="F8" i="48"/>
  <c r="G13" i="14"/>
  <c r="R13" s="1"/>
  <c r="E22" i="16"/>
  <c r="F43" i="14" s="1"/>
  <c r="F46" s="1"/>
  <c r="F61" s="1"/>
  <c r="F22" i="16"/>
  <c r="G43" i="14" s="1"/>
  <c r="N22" i="16"/>
  <c r="O43" i="14" s="1"/>
  <c r="J22" i="16"/>
  <c r="K43" i="14"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<sst xmlns="http://schemas.openxmlformats.org/spreadsheetml/2006/main" count="2383" uniqueCount="881">
  <si>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</si>
  <si>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</si>
  <si>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</si>
  <si>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</si>
  <si>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</si>
  <si>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</si>
  <si>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</si>
  <si>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</si>
  <si>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</si>
  <si>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</si>
  <si>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</si>
  <si>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</si>
  <si>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</si>
  <si>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</si>
  <si>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</si>
  <si>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</si>
  <si>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</si>
  <si>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</si>
  <si>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</si>
  <si>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</si>
  <si>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</si>
  <si>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</si>
  <si>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</si>
  <si>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</si>
  <si>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</si>
  <si>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</si>
  <si>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</si>
  <si>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</si>
  <si>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</si>
  <si>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</si>
  <si>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</si>
  <si>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</si>
  <si>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</si>
  <si>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</si>
  <si>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</si>
  <si>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</si>
  <si>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</si>
  <si>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</si>
  <si>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</si>
  <si>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</si>
  <si>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</si>
  <si>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</si>
  <si>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</si>
  <si>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</si>
  <si>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</si>
  <si>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</si>
  <si>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</si>
  <si>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</si>
  <si>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</si>
  <si>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</si>
  <si>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</si>
  <si>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</si>
  <si>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</si>
  <si>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</si>
  <si>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</si>
  <si>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</si>
  <si>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</si>
  <si>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</si>
  <si>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</si>
  <si>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</si>
  <si>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</si>
  <si>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</si>
  <si>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</si>
  <si>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</si>
  <si>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</si>
  <si>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</si>
  <si>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</si>
  <si>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</si>
  <si>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</si>
  <si>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</si>
  <si>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</si>
  <si>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</si>
  <si>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</si>
  <si>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</si>
  <si>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</si>
  <si>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</si>
  <si>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</si>
  <si>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</si>
  <si>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</si>
  <si>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</si>
  <si>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</si>
  <si>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</si>
  <si>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</si>
  <si>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</si>
  <si>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</si>
  <si>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</si>
  <si>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</si>
  <si>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</si>
  <si>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</si>
  <si>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</si>
  <si>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</si>
  <si>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</si>
  <si>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</si>
  <si>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</si>
  <si>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</si>
  <si>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</si>
  <si>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</si>
  <si>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</si>
  <si>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</si>
  <si>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</si>
  <si>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</si>
  <si>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</si>
  <si>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</si>
  <si>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</si>
  <si>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</si>
  <si>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</si>
  <si>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</si>
  <si>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</si>
  <si>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</si>
  <si>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</si>
  <si>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</si>
  <si>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</si>
  <si>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</si>
  <si>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</si>
  <si>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</si>
  <si>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</si>
  <si>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</si>
  <si>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</si>
  <si>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</si>
  <si>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</si>
  <si>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</si>
  <si>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</si>
  <si>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</si>
  <si>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</si>
  <si>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</si>
  <si>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</si>
  <si>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</si>
  <si>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</si>
  <si>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</si>
  <si>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</si>
  <si>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</si>
  <si>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</si>
  <si>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</si>
  <si>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</si>
  <si>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</si>
  <si>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</si>
  <si>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</si>
  <si>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</si>
  <si>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</si>
  <si>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</si>
  <si>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</si>
  <si>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</si>
  <si>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</si>
  <si>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</si>
  <si>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</si>
  <si>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</si>
  <si>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</si>
  <si>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</si>
  <si>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</si>
  <si>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</si>
  <si>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</si>
  <si>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</si>
  <si>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</si>
  <si>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</si>
  <si>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</si>
  <si>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</si>
  <si>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</si>
  <si>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</si>
  <si>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</si>
  <si>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</si>
  <si>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</si>
  <si>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</si>
  <si>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</si>
  <si>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</si>
  <si>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</si>
  <si>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</si>
  <si>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</si>
  <si>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</si>
  <si>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</si>
  <si>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</si>
  <si>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</si>
  <si>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</si>
  <si>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</si>
  <si>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</si>
  <si>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</si>
  <si>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</si>
  <si>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</si>
  <si>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</si>
  <si>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</si>
  <si>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</si>
  <si>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</si>
  <si>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</si>
  <si>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</si>
  <si>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</si>
  <si>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</si>
  <si>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</si>
  <si>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</si>
  <si>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</si>
  <si>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</si>
  <si>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</si>
  <si>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</si>
  <si>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</si>
  <si>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</si>
  <si>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</si>
  <si>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</si>
  <si>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</si>
  <si>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</si>
  <si>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</si>
  <si>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</si>
  <si>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</si>
  <si>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</si>
  <si>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</si>
  <si>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</si>
  <si>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</si>
  <si>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</si>
  <si>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</si>
  <si>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</si>
  <si>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</si>
  <si>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</si>
  <si>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</si>
  <si>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</si>
  <si>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</si>
  <si>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</si>
  <si>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</si>
  <si>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</si>
  <si>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</si>
  <si>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</si>
  <si>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</si>
  <si>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</si>
  <si>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</si>
  <si>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</si>
  <si>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</si>
  <si>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</si>
  <si>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</si>
  <si>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</si>
  <si>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</si>
  <si>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</si>
  <si>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</si>
  <si>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</si>
  <si>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</si>
  <si>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</si>
  <si>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</si>
  <si>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</si>
  <si>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</si>
  <si>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</si>
  <si>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</si>
  <si>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</si>
  <si>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</si>
  <si>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</si>
  <si>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</si>
  <si>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</si>
  <si>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</si>
  <si>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</si>
  <si>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</si>
  <si>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</si>
  <si>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</si>
  <si>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</si>
  <si>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</si>
  <si>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</si>
  <si>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</si>
  <si>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</si>
  <si>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</si>
  <si>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</si>
  <si>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</si>
  <si>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</si>
  <si>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</si>
  <si>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</si>
  <si>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</si>
  <si>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</si>
  <si>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</si>
  <si>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</si>
  <si>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</si>
  <si>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</si>
  <si>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</si>
  <si>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</si>
  <si>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</si>
  <si>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</si>
  <si>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</si>
  <si>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</si>
  <si>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</si>
  <si>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</si>
  <si>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</si>
  <si>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</si>
  <si>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</si>
  <si>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</si>
  <si>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</si>
  <si>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</si>
  <si>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</si>
  <si>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</si>
  <si>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</si>
  <si>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</si>
  <si>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</si>
  <si>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</si>
  <si>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</si>
  <si>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</si>
  <si>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</si>
  <si>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</si>
  <si>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</si>
  <si>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</si>
  <si>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</si>
  <si>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</si>
  <si>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</si>
  <si>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</si>
  <si>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</si>
  <si>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</si>
  <si>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</si>
  <si>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</si>
  <si>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</si>
  <si>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</si>
  <si>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</si>
  <si>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</si>
  <si>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</si>
  <si>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</si>
  <si>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</si>
  <si>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</si>
  <si>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</si>
  <si>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</si>
  <si>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</si>
  <si>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</si>
  <si>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</si>
  <si>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</si>
  <si>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</si>
  <si>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</si>
  <si>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</si>
  <si>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</si>
  <si>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</si>
  <si>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</si>
  <si>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</si>
  <si>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</si>
  <si>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</si>
  <si>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</si>
  <si>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</si>
  <si>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</si>
  <si>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</si>
  <si>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</si>
  <si>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</si>
  <si>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</si>
  <si>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</si>
  <si>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</si>
  <si>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</si>
  <si>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</si>
  <si>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</si>
  <si>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</si>
  <si>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</si>
  <si>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</si>
  <si>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</si>
  <si>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</si>
  <si>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</si>
  <si>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</si>
  <si>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</si>
  <si>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</si>
  <si>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</si>
  <si>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</si>
  <si>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</si>
  <si>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</si>
  <si>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</si>
  <si>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</si>
  <si>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</si>
  <si>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</si>
  <si>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</si>
  <si>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</si>
  <si>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</si>
  <si>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</si>
  <si>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</si>
  <si>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</si>
  <si>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</si>
  <si>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</si>
  <si>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</si>
  <si>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</si>
  <si>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</si>
  <si>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</si>
  <si>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</si>
  <si>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</si>
  <si>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</si>
  <si>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</si>
  <si>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</si>
  <si>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</si>
  <si>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</si>
  <si>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</si>
  <si>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</si>
  <si>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</si>
  <si>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</si>
  <si>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</si>
  <si>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</si>
  <si>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</si>
  <si>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</si>
  <si>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</si>
  <si>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</si>
  <si>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</si>
  <si>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</si>
  <si>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</si>
  <si>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</si>
  <si>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</si>
  <si>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</si>
  <si>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</si>
  <si>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</si>
  <si>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</si>
  <si>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</si>
  <si>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</si>
  <si>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</si>
  <si>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</si>
  <si>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</si>
  <si>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</si>
  <si>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</si>
  <si>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</si>
  <si>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</si>
  <si>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</si>
  <si>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</si>
  <si>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</si>
  <si>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</si>
  <si>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</si>
  <si>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</si>
  <si>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</si>
  <si>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</si>
  <si>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</si>
  <si>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</si>
  <si>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</si>
  <si>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</si>
  <si>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</si>
  <si>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</si>
  <si>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</si>
  <si>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</si>
  <si>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</si>
  <si>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</si>
  <si>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</si>
  <si>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</si>
  <si>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</si>
  <si>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</si>
  <si>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</si>
  <si>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</si>
  <si>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</si>
  <si>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</si>
  <si>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</si>
  <si>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</si>
  <si>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</si>
  <si>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</si>
  <si>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</si>
  <si>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</si>
  <si>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</si>
  <si>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</si>
  <si>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</si>
  <si>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</si>
  <si>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</si>
  <si>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</si>
  <si>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</si>
  <si>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</si>
  <si>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</si>
  <si>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</si>
  <si>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</si>
  <si>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</si>
  <si>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</si>
  <si>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</si>
  <si>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</si>
  <si>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</si>
  <si>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</si>
  <si>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</si>
  <si>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</si>
  <si>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</si>
  <si>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</si>
  <si>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</si>
  <si>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</si>
  <si>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</si>
  <si>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</si>
  <si>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</si>
  <si>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</si>
  <si>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</si>
  <si>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</si>
  <si>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</si>
  <si>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</si>
  <si>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</si>
  <si>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</si>
  <si>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</si>
  <si>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</si>
  <si>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</si>
  <si>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</si>
  <si>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</si>
  <si>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</si>
  <si>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</si>
  <si>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</si>
  <si>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</si>
  <si>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</si>
  <si>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</si>
  <si>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</si>
  <si>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</si>
  <si>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</si>
  <si>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</si>
  <si>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</si>
  <si>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</si>
  <si>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</si>
  <si>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</si>
  <si>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</si>
  <si>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</si>
  <si>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</si>
  <si>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</si>
  <si>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</si>
  <si>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</si>
  <si>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</si>
  <si>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</si>
  <si>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</si>
  <si>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</si>
  <si>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</si>
  <si>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</si>
  <si>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</si>
  <si>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</si>
  <si>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</si>
  <si>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</si>
  <si>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</si>
  <si>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</si>
  <si>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</si>
  <si>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</si>
  <si>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</si>
  <si>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</si>
  <si>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</si>
  <si>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</si>
  <si>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</si>
  <si>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</si>
  <si>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</si>
  <si>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</si>
  <si>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</si>
  <si>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</si>
  <si>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</si>
  <si>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</si>
  <si>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</si>
  <si>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</si>
  <si>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</si>
  <si>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</si>
  <si>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</si>
  <si>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</si>
  <si>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</si>
  <si>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</si>
  <si>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</si>
  <si>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</si>
  <si>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</si>
  <si>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</si>
  <si>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</si>
  <si>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</si>
  <si>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</si>
  <si>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</si>
  <si>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</si>
  <si>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</si>
  <si>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</si>
  <si>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</si>
  <si>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</si>
  <si>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</si>
  <si>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</si>
  <si>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</si>
  <si>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</si>
  <si>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</si>
  <si>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</si>
  <si>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</si>
  <si>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</si>
  <si>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</si>
  <si>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</si>
  <si>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</si>
  <si>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</si>
  <si>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</si>
  <si>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</si>
  <si>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</si>
  <si>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</si>
  <si>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</si>
  <si>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</si>
  <si>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</si>
  <si>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</si>
  <si>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</si>
  <si>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</si>
  <si>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</si>
  <si>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</si>
  <si>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</si>
  <si>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</si>
  <si>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</si>
  <si>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</si>
  <si>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</si>
  <si>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</si>
  <si>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</si>
  <si>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</si>
  <si>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</si>
  <si>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</si>
  <si>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</si>
  <si>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</si>
  <si>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</si>
  <si>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</si>
  <si>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</si>
  <si>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</si>
  <si>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</si>
  <si>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</si>
  <si>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</si>
  <si>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</si>
  <si>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</si>
  <si>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</si>
  <si>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</si>
  <si>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</si>
  <si>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</si>
  <si>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</si>
  <si>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</si>
  <si>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</si>
  <si>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</si>
  <si>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</si>
  <si>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</si>
  <si>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</si>
  <si>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</si>
  <si>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</si>
  <si>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</si>
  <si>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</si>
  <si>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</si>
  <si>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</si>
  <si>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</si>
  <si>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</si>
  <si>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</si>
  <si>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</si>
  <si>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</si>
  <si>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</si>
  <si>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</si>
  <si>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</si>
  <si>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</si>
  <si>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</si>
  <si>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</si>
  <si>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</si>
  <si>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</si>
  <si>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</si>
  <si>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</si>
  <si>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</si>
  <si>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</si>
  <si>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</si>
  <si>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</si>
  <si>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</si>
  <si>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</si>
  <si>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</si>
  <si>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</si>
  <si>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</si>
  <si>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</si>
  <si>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</si>
  <si>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</si>
  <si>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</si>
  <si>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</si>
  <si>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</si>
  <si>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</si>
  <si>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</si>
  <si>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</si>
  <si>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</si>
  <si>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</si>
  <si>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</si>
  <si>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</si>
  <si>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</si>
  <si>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</si>
  <si>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</si>
  <si>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</si>
  <si>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</si>
  <si>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</si>
  <si>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</si>
  <si>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</si>
  <si>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</si>
  <si>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</si>
  <si>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</si>
  <si>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</si>
  <si>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</si>
  <si>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</si>
  <si>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</si>
  <si>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</si>
  <si>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</si>
  <si>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</si>
  <si>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</si>
  <si>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</si>
  <si>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</si>
  <si>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</si>
  <si>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</si>
  <si>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</si>
  <si>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</si>
  <si>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</si>
  <si>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</si>
  <si>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</si>
  <si>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</si>
  <si>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</si>
  <si>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</si>
  <si>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</si>
  <si>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</si>
  <si>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</si>
  <si>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</si>
  <si>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</si>
  <si>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</si>
  <si>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</si>
  <si>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</si>
  <si>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</si>
  <si>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</si>
  <si>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</si>
  <si>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</si>
  <si>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</si>
  <si>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</si>
  <si>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</si>
  <si>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</si>
  <si>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</si>
  <si>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</si>
  <si>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</si>
  <si>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</si>
  <si>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</si>
  <si>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</si>
  <si>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</si>
  <si>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</si>
  <si>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</si>
  <si>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</si>
  <si>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</si>
  <si>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</si>
  <si>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</si>
  <si>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</si>
  <si>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</si>
  <si>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</si>
  <si>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</si>
  <si>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</si>
  <si>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</si>
  <si>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</si>
  <si>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</si>
  <si>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</si>
  <si>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</si>
  <si>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</si>
  <si>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</si>
  <si>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</si>
  <si>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</si>
  <si>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</si>
  <si>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</si>
  <si>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</si>
  <si>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</si>
  <si>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</si>
  <si>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</si>
  <si>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</si>
  <si>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</si>
  <si>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</si>
  <si>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</si>
  <si>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</si>
  <si>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</si>
  <si>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</si>
  <si>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</si>
  <si>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</si>
  <si>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</si>
  <si>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</si>
  <si>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</si>
  <si>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</si>
  <si>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</si>
  <si>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</si>
  <si>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</si>
  <si>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</si>
  <si>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</si>
  <si>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</si>
  <si>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</si>
  <si>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</si>
  <si>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</si>
  <si>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</si>
  <si>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</si>
  <si>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</si>
  <si>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</si>
  <si>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</si>
  <si>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</si>
  <si>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</si>
  <si>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</si>
  <si>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</si>
  <si>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</si>
  <si>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</si>
  <si>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</si>
  <si>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</si>
  <si>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</si>
  <si>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</si>
  <si>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</si>
  <si>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</si>
  <si>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</si>
  <si>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</si>
  <si>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</si>
  <si>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</si>
  <si>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</si>
  <si>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</si>
  <si>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</si>
  <si>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</si>
  <si>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</si>
  <si>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</si>
  <si>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</si>
  <si>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</si>
  <si>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</si>
  <si>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</si>
  <si>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</si>
  <si>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</si>
  <si>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</si>
  <si>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</si>
  <si>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</si>
  <si>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</si>
  <si>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</si>
  <si>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</si>
  <si>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</si>
  <si>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</si>
  <si>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</si>
  <si>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</si>
  <si>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</si>
  <si>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</si>
  <si>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</si>
  <si>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</si>
  <si>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</si>
  <si>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</si>
  <si>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</si>
  <si>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</si>
  <si>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</si>
  <si>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</si>
  <si>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</si>
  <si>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</si>
  <si>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</si>
  <si>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</si>
  <si>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</si>
  <si>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</si>
  <si>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</si>
  <si>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</si>
  <si>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</si>
  <si>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</si>
  <si>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</si>
  <si>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</si>
  <si>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</si>
  <si>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</si>
  <si>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</si>
  <si>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</si>
  <si>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</si>
  <si>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</si>
  <si>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</si>
  <si>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</si>
  <si>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</si>
  <si>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</si>
  <si>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</si>
  <si>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</si>
  <si>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</si>
  <si>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</si>
  <si>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</si>
  <si>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</si>
  <si>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</si>
  <si>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</si>
  <si>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</si>
  <si>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</si>
  <si>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</si>
  <si>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</si>
  <si>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</si>
  <si>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</si>
  <si>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</si>
  <si>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</si>
  <si>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</si>
  <si>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</si>
  <si>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</si>
  <si>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</si>
  <si>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</si>
  <si>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</si>
  <si>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</si>
  <si>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</si>
  <si>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</si>
  <si>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</si>
  <si>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</si>
  <si>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</si>
  <si>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</si>
  <si>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</si>
  <si>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</si>
  <si>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</si>
  <si>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</si>
  <si>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</si>
  <si>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</si>
  <si>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</si>
  <si>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</si>
  <si>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</si>
  <si>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</si>
  <si>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</si>
  <si>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</si>
  <si>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</si>
  <si>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</si>
  <si>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</si>
  <si>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</si>
  <si>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</si>
  <si>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</si>
  <si>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</si>
  <si>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</si>
  <si>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</si>
  <si>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</si>
  <si>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</si>
  <si>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</si>
  <si>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</si>
  <si>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</si>
  <si>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</si>
  <si>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</si>
  <si>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</si>
  <si>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</si>
  <si>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</si>
  <si>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</si>
  <si>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</si>
  <si>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</si>
  <si>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</si>
  <si>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45064</t>
  </si>
  <si>
    <t>MAARKEDAL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</si>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</sst>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68414.326761506672</c:v>
                </c:pt>
                <c:pt idx="1">
                  <c:v>9586.0661461830168</c:v>
                </c:pt>
                <c:pt idx="2">
                  <c:v>416.13099999999997</c:v>
                </c:pt>
                <c:pt idx="3">
                  <c:v>8882.08862043115</c:v>
                </c:pt>
                <c:pt idx="4">
                  <c:v>1786.0924638473125</c:v>
                </c:pt>
                <c:pt idx="5">
                  <c:v>51619.661308808041</c:v>
                </c:pt>
                <c:pt idx="6">
                  <c:v>776.23166308953819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68414.326761506672</c:v>
                </c:pt>
                <c:pt idx="1">
                  <c:v>9586.0661461830168</c:v>
                </c:pt>
                <c:pt idx="2">
                  <c:v>416.13099999999997</c:v>
                </c:pt>
                <c:pt idx="3">
                  <c:v>8882.08862043115</c:v>
                </c:pt>
                <c:pt idx="4">
                  <c:v>1786.0924638473125</c:v>
                </c:pt>
                <c:pt idx="5">
                  <c:v>51619.661308808041</c:v>
                </c:pt>
                <c:pt idx="6">
                  <c:v>776.23166308953819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14353.82859096896</c:v>
                </c:pt>
                <c:pt idx="2">
                  <c:v>1908.4405157593912</c:v>
                </c:pt>
                <c:pt idx="3">
                  <c:v>85.187170528490114</c:v>
                </c:pt>
                <c:pt idx="4">
                  <c:v>2284.2599054578604</c:v>
                </c:pt>
                <c:pt idx="5">
                  <c:v>338.60353663215307</c:v>
                </c:pt>
                <c:pt idx="6">
                  <c:v>12923.139099816683</c:v>
                </c:pt>
                <c:pt idx="7">
                  <c:v>196.11536696742465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14353.82859096896</c:v>
                </c:pt>
                <c:pt idx="2">
                  <c:v>1908.4405157593912</c:v>
                </c:pt>
                <c:pt idx="3">
                  <c:v>85.187170528490114</c:v>
                </c:pt>
                <c:pt idx="4">
                  <c:v>2284.2599054578604</c:v>
                </c:pt>
                <c:pt idx="5">
                  <c:v>338.60353663215307</c:v>
                </c:pt>
                <c:pt idx="6">
                  <c:v>12923.139099816683</c:v>
                </c:pt>
                <c:pt idx="7">
                  <c:v>196.11536696742465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45064</v>
      </c>
      <c r="B6" s="415"/>
      <c r="C6" s="416"/>
    </row>
    <row r="7" spans="1:7" s="413" customFormat="1" ht="15.75" customHeight="1">
      <c r="A7" s="417" t="str">
        <f>txtMunicipality</f>
        <v>MAARKEDAL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5317.4513454836497</v>
      </c>
      <c r="D10" s="1013">
        <f ca="1">tertiair!C16</f>
        <v>0</v>
      </c>
      <c r="E10" s="1013">
        <f ca="1">tertiair!D16</f>
        <v>3315.7811991799595</v>
      </c>
      <c r="F10" s="1013">
        <f>tertiair!E16</f>
        <v>56.455232393995075</v>
      </c>
      <c r="G10" s="1013">
        <f ca="1">tertiair!F16</f>
        <v>833.22971914255902</v>
      </c>
      <c r="H10" s="1013">
        <f>tertiair!G16</f>
        <v>0</v>
      </c>
      <c r="I10" s="1013">
        <f>tertiair!H16</f>
        <v>0</v>
      </c>
      <c r="J10" s="1013">
        <f>tertiair!I16</f>
        <v>0</v>
      </c>
      <c r="K10" s="1013">
        <f>tertiair!J16</f>
        <v>1.1443126539488218E-2</v>
      </c>
      <c r="L10" s="1013">
        <f>tertiair!K16</f>
        <v>0</v>
      </c>
      <c r="M10" s="1013">
        <f ca="1">tertiair!L16</f>
        <v>0</v>
      </c>
      <c r="N10" s="1013">
        <f>tertiair!M16</f>
        <v>0</v>
      </c>
      <c r="O10" s="1013">
        <f ca="1">tertiair!N16</f>
        <v>458.63820685631373</v>
      </c>
      <c r="P10" s="1013">
        <f>tertiair!O16</f>
        <v>1.5633333333333335</v>
      </c>
      <c r="Q10" s="1014">
        <f>tertiair!P16</f>
        <v>19.066666666666666</v>
      </c>
      <c r="R10" s="700">
        <f ca="1">SUM(C10:Q10)</f>
        <v>10002.197146183018</v>
      </c>
      <c r="S10" s="67"/>
    </row>
    <row r="11" spans="1:19" s="473" customFormat="1">
      <c r="A11" s="809" t="s">
        <v>225</v>
      </c>
      <c r="B11" s="814"/>
      <c r="C11" s="1013">
        <f>huishoudens!B8</f>
        <v>11415.224477393986</v>
      </c>
      <c r="D11" s="1013">
        <f>huishoudens!C8</f>
        <v>0</v>
      </c>
      <c r="E11" s="1013">
        <f>huishoudens!D8</f>
        <v>7049.8068337404329</v>
      </c>
      <c r="F11" s="1013">
        <f>huishoudens!E8</f>
        <v>2858.5871954413374</v>
      </c>
      <c r="G11" s="1013">
        <f>huishoudens!F8</f>
        <v>32217.972725338961</v>
      </c>
      <c r="H11" s="1013">
        <f>huishoudens!G8</f>
        <v>0</v>
      </c>
      <c r="I11" s="1013">
        <f>huishoudens!H8</f>
        <v>0</v>
      </c>
      <c r="J11" s="1013">
        <f>huishoudens!I8</f>
        <v>0</v>
      </c>
      <c r="K11" s="1013">
        <f>huishoudens!J8</f>
        <v>3790.4851490108022</v>
      </c>
      <c r="L11" s="1013">
        <f>huishoudens!K8</f>
        <v>0</v>
      </c>
      <c r="M11" s="1013">
        <f>huishoudens!L8</f>
        <v>0</v>
      </c>
      <c r="N11" s="1013">
        <f>huishoudens!M8</f>
        <v>0</v>
      </c>
      <c r="O11" s="1013">
        <f>huishoudens!N8</f>
        <v>10384.233713914487</v>
      </c>
      <c r="P11" s="1013">
        <f>huishoudens!O8</f>
        <v>164.15</v>
      </c>
      <c r="Q11" s="1014">
        <f>huishoudens!P8</f>
        <v>533.86666666666667</v>
      </c>
      <c r="R11" s="700">
        <f>SUM(C11:Q11)</f>
        <v>68414.326761506672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955.84384338162704</v>
      </c>
      <c r="D13" s="1013">
        <f>industrie!C18</f>
        <v>0</v>
      </c>
      <c r="E13" s="1013">
        <f>industrie!D18</f>
        <v>192.48946303382894</v>
      </c>
      <c r="F13" s="1013">
        <f>industrie!E18</f>
        <v>97.388491098473494</v>
      </c>
      <c r="G13" s="1013">
        <f>industrie!F18</f>
        <v>303.2490331840109</v>
      </c>
      <c r="H13" s="1013">
        <f>industrie!G18</f>
        <v>0</v>
      </c>
      <c r="I13" s="1013">
        <f>industrie!H18</f>
        <v>0</v>
      </c>
      <c r="J13" s="1013">
        <f>industrie!I18</f>
        <v>0</v>
      </c>
      <c r="K13" s="1013">
        <f>industrie!J18</f>
        <v>2.7483347199153925</v>
      </c>
      <c r="L13" s="1013">
        <f>industrie!K18</f>
        <v>0</v>
      </c>
      <c r="M13" s="1013">
        <f>industrie!L18</f>
        <v>0</v>
      </c>
      <c r="N13" s="1013">
        <f>industrie!M18</f>
        <v>0</v>
      </c>
      <c r="O13" s="1013">
        <f>industrie!N18</f>
        <v>234.37329842945687</v>
      </c>
      <c r="P13" s="1013">
        <f>industrie!O18</f>
        <v>0</v>
      </c>
      <c r="Q13" s="1014">
        <f>industrie!P18</f>
        <v>0</v>
      </c>
      <c r="R13" s="700">
        <f>SUM(C13:Q13)</f>
        <v>1786.0924638473125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17688.519666259261</v>
      </c>
      <c r="D16" s="732">
        <f t="shared" ref="D16:R16" ca="1" si="0">SUM(D9:D15)</f>
        <v>0</v>
      </c>
      <c r="E16" s="732">
        <f t="shared" ca="1" si="0"/>
        <v>10558.077495954221</v>
      </c>
      <c r="F16" s="732">
        <f t="shared" si="0"/>
        <v>3012.430918933806</v>
      </c>
      <c r="G16" s="732">
        <f t="shared" ca="1" si="0"/>
        <v>33354.451477665527</v>
      </c>
      <c r="H16" s="732">
        <f t="shared" si="0"/>
        <v>0</v>
      </c>
      <c r="I16" s="732">
        <f t="shared" si="0"/>
        <v>0</v>
      </c>
      <c r="J16" s="732">
        <f t="shared" si="0"/>
        <v>0</v>
      </c>
      <c r="K16" s="732">
        <f t="shared" si="0"/>
        <v>3793.2449268572573</v>
      </c>
      <c r="L16" s="732">
        <f t="shared" si="0"/>
        <v>0</v>
      </c>
      <c r="M16" s="732">
        <f t="shared" ca="1" si="0"/>
        <v>0</v>
      </c>
      <c r="N16" s="732">
        <f t="shared" si="0"/>
        <v>0</v>
      </c>
      <c r="O16" s="732">
        <f t="shared" ca="1" si="0"/>
        <v>11077.245219200258</v>
      </c>
      <c r="P16" s="732">
        <f t="shared" si="0"/>
        <v>165.71333333333334</v>
      </c>
      <c r="Q16" s="732">
        <f t="shared" si="0"/>
        <v>552.93333333333339</v>
      </c>
      <c r="R16" s="732">
        <f t="shared" ca="1" si="0"/>
        <v>80202.616371537006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734.51448302406232</v>
      </c>
      <c r="I19" s="1013">
        <f>transport!H54</f>
        <v>0</v>
      </c>
      <c r="J19" s="1013">
        <f>transport!I54</f>
        <v>0</v>
      </c>
      <c r="K19" s="1013">
        <f>transport!J54</f>
        <v>0</v>
      </c>
      <c r="L19" s="1013">
        <f>transport!K54</f>
        <v>0</v>
      </c>
      <c r="M19" s="1013">
        <f>transport!L54</f>
        <v>0</v>
      </c>
      <c r="N19" s="1013">
        <f>transport!M54</f>
        <v>41.717180065475873</v>
      </c>
      <c r="O19" s="1013">
        <f>transport!N54</f>
        <v>0</v>
      </c>
      <c r="P19" s="1013">
        <f>transport!O54</f>
        <v>0</v>
      </c>
      <c r="Q19" s="1014">
        <f>transport!P54</f>
        <v>0</v>
      </c>
      <c r="R19" s="700">
        <f>SUM(C19:Q19)</f>
        <v>776.23166308953819</v>
      </c>
      <c r="S19" s="67"/>
    </row>
    <row r="20" spans="1:19" s="473" customFormat="1">
      <c r="A20" s="809" t="s">
        <v>307</v>
      </c>
      <c r="B20" s="814"/>
      <c r="C20" s="1013">
        <f>transport!B14</f>
        <v>20.954483899808807</v>
      </c>
      <c r="D20" s="1013">
        <f>transport!C14</f>
        <v>0</v>
      </c>
      <c r="E20" s="1013">
        <f>transport!D14</f>
        <v>75.683866513604485</v>
      </c>
      <c r="F20" s="1013">
        <f>transport!E14</f>
        <v>100.43484334353964</v>
      </c>
      <c r="G20" s="1013">
        <f>transport!F14</f>
        <v>0</v>
      </c>
      <c r="H20" s="1013">
        <f>transport!G14</f>
        <v>40298.281519738215</v>
      </c>
      <c r="I20" s="1013">
        <f>transport!H14</f>
        <v>8518.5600045927622</v>
      </c>
      <c r="J20" s="1013">
        <f>transport!I14</f>
        <v>0</v>
      </c>
      <c r="K20" s="1013">
        <f>transport!J14</f>
        <v>0</v>
      </c>
      <c r="L20" s="1013">
        <f>transport!K14</f>
        <v>0</v>
      </c>
      <c r="M20" s="1013">
        <f>transport!L14</f>
        <v>0</v>
      </c>
      <c r="N20" s="1013">
        <f>transport!M14</f>
        <v>2605.746590720114</v>
      </c>
      <c r="O20" s="1013">
        <f>transport!N14</f>
        <v>0</v>
      </c>
      <c r="P20" s="1013">
        <f>transport!O14</f>
        <v>0</v>
      </c>
      <c r="Q20" s="1014">
        <f>transport!P14</f>
        <v>0</v>
      </c>
      <c r="R20" s="700">
        <f>SUM(C20:Q20)</f>
        <v>51619.661308808041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20.954483899808807</v>
      </c>
      <c r="D22" s="812">
        <f t="shared" ref="D22:R22" si="1">SUM(D18:D21)</f>
        <v>0</v>
      </c>
      <c r="E22" s="812">
        <f t="shared" si="1"/>
        <v>75.683866513604485</v>
      </c>
      <c r="F22" s="812">
        <f t="shared" si="1"/>
        <v>100.43484334353964</v>
      </c>
      <c r="G22" s="812">
        <f t="shared" si="1"/>
        <v>0</v>
      </c>
      <c r="H22" s="812">
        <f t="shared" si="1"/>
        <v>41032.796002762276</v>
      </c>
      <c r="I22" s="812">
        <f t="shared" si="1"/>
        <v>8518.5600045927622</v>
      </c>
      <c r="J22" s="812">
        <f t="shared" si="1"/>
        <v>0</v>
      </c>
      <c r="K22" s="812">
        <f t="shared" si="1"/>
        <v>0</v>
      </c>
      <c r="L22" s="812">
        <f t="shared" si="1"/>
        <v>0</v>
      </c>
      <c r="M22" s="812">
        <f t="shared" si="1"/>
        <v>0</v>
      </c>
      <c r="N22" s="812">
        <f t="shared" si="1"/>
        <v>2647.46377078559</v>
      </c>
      <c r="O22" s="812">
        <f t="shared" si="1"/>
        <v>0</v>
      </c>
      <c r="P22" s="812">
        <f t="shared" si="1"/>
        <v>0</v>
      </c>
      <c r="Q22" s="812">
        <f t="shared" si="1"/>
        <v>0</v>
      </c>
      <c r="R22" s="812">
        <f t="shared" si="1"/>
        <v>52395.892971897578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1654.2424995766239</v>
      </c>
      <c r="D24" s="1013">
        <f>+landbouw!C8</f>
        <v>0</v>
      </c>
      <c r="E24" s="1013">
        <f>+landbouw!D8</f>
        <v>48.073805564429442</v>
      </c>
      <c r="F24" s="1013">
        <f>+landbouw!E8</f>
        <v>48.623239702333947</v>
      </c>
      <c r="G24" s="1013">
        <f>+landbouw!F8</f>
        <v>6891.4848626634412</v>
      </c>
      <c r="H24" s="1013">
        <f>+landbouw!G8</f>
        <v>0</v>
      </c>
      <c r="I24" s="1013">
        <f>+landbouw!H8</f>
        <v>0</v>
      </c>
      <c r="J24" s="1013">
        <f>+landbouw!I8</f>
        <v>0</v>
      </c>
      <c r="K24" s="1013">
        <f>+landbouw!J8</f>
        <v>239.66421292432071</v>
      </c>
      <c r="L24" s="1013">
        <f>+landbouw!K8</f>
        <v>0</v>
      </c>
      <c r="M24" s="1013">
        <f>+landbouw!L8</f>
        <v>0</v>
      </c>
      <c r="N24" s="1013">
        <f>+landbouw!M8</f>
        <v>0</v>
      </c>
      <c r="O24" s="1013">
        <f>+landbouw!N8</f>
        <v>0</v>
      </c>
      <c r="P24" s="1013">
        <f>+landbouw!O8</f>
        <v>0</v>
      </c>
      <c r="Q24" s="1014">
        <f>+landbouw!P8</f>
        <v>0</v>
      </c>
      <c r="R24" s="700">
        <f>SUM(C24:Q24)</f>
        <v>8882.08862043115</v>
      </c>
      <c r="S24" s="67"/>
    </row>
    <row r="25" spans="1:19" s="473" customFormat="1" ht="15" thickBot="1">
      <c r="A25" s="831" t="s">
        <v>836</v>
      </c>
      <c r="B25" s="1016"/>
      <c r="C25" s="1017">
        <f>IF(Onbekend_ele_kWh="---",0,Onbekend_ele_kWh)/1000+IF(REST_rest_ele_kWh="---",0,REST_rest_ele_kWh)/1000</f>
        <v>538.4268011726549</v>
      </c>
      <c r="D25" s="1017"/>
      <c r="E25" s="1017">
        <f>IF(onbekend_gas_kWh="---",0,onbekend_gas_kWh)/1000+IF(REST_rest_gas_kWh="---",0,REST_rest_gas_kWh)/1000</f>
        <v>358.77841851893498</v>
      </c>
      <c r="F25" s="1017"/>
      <c r="G25" s="1017"/>
      <c r="H25" s="1017"/>
      <c r="I25" s="1017"/>
      <c r="J25" s="1017"/>
      <c r="K25" s="1017"/>
      <c r="L25" s="1017"/>
      <c r="M25" s="1017"/>
      <c r="N25" s="1017"/>
      <c r="O25" s="1017"/>
      <c r="P25" s="1017"/>
      <c r="Q25" s="1018"/>
      <c r="R25" s="700">
        <f>SUM(C25:Q25)</f>
        <v>897.20521969158995</v>
      </c>
      <c r="S25" s="67"/>
    </row>
    <row r="26" spans="1:19" s="473" customFormat="1" ht="15.75" thickBot="1">
      <c r="A26" s="705" t="s">
        <v>837</v>
      </c>
      <c r="B26" s="817"/>
      <c r="C26" s="812">
        <f>SUM(C24:C25)</f>
        <v>2192.6693007492786</v>
      </c>
      <c r="D26" s="812">
        <f t="shared" ref="D26:R26" si="2">SUM(D24:D25)</f>
        <v>0</v>
      </c>
      <c r="E26" s="812">
        <f t="shared" si="2"/>
        <v>406.85222408336443</v>
      </c>
      <c r="F26" s="812">
        <f t="shared" si="2"/>
        <v>48.623239702333947</v>
      </c>
      <c r="G26" s="812">
        <f t="shared" si="2"/>
        <v>6891.4848626634412</v>
      </c>
      <c r="H26" s="812">
        <f t="shared" si="2"/>
        <v>0</v>
      </c>
      <c r="I26" s="812">
        <f t="shared" si="2"/>
        <v>0</v>
      </c>
      <c r="J26" s="812">
        <f t="shared" si="2"/>
        <v>0</v>
      </c>
      <c r="K26" s="812">
        <f t="shared" si="2"/>
        <v>239.66421292432071</v>
      </c>
      <c r="L26" s="812">
        <f t="shared" si="2"/>
        <v>0</v>
      </c>
      <c r="M26" s="812">
        <f t="shared" si="2"/>
        <v>0</v>
      </c>
      <c r="N26" s="812">
        <f t="shared" si="2"/>
        <v>0</v>
      </c>
      <c r="O26" s="812">
        <f t="shared" si="2"/>
        <v>0</v>
      </c>
      <c r="P26" s="812">
        <f t="shared" si="2"/>
        <v>0</v>
      </c>
      <c r="Q26" s="812">
        <f t="shared" si="2"/>
        <v>0</v>
      </c>
      <c r="R26" s="812">
        <f t="shared" si="2"/>
        <v>9779.2938401227402</v>
      </c>
      <c r="S26" s="67"/>
    </row>
    <row r="27" spans="1:19" s="473" customFormat="1" ht="17.25" thickTop="1" thickBot="1">
      <c r="A27" s="706" t="s">
        <v>116</v>
      </c>
      <c r="B27" s="805"/>
      <c r="C27" s="707">
        <f ca="1">C22+C16+C26</f>
        <v>19902.143450908348</v>
      </c>
      <c r="D27" s="707">
        <f t="shared" ref="D27:R27" ca="1" si="3">D22+D16+D26</f>
        <v>0</v>
      </c>
      <c r="E27" s="707">
        <f t="shared" ca="1" si="3"/>
        <v>11040.61358655119</v>
      </c>
      <c r="F27" s="707">
        <f t="shared" si="3"/>
        <v>3161.4890019796799</v>
      </c>
      <c r="G27" s="707">
        <f t="shared" ca="1" si="3"/>
        <v>40245.936340328968</v>
      </c>
      <c r="H27" s="707">
        <f t="shared" si="3"/>
        <v>41032.796002762276</v>
      </c>
      <c r="I27" s="707">
        <f t="shared" si="3"/>
        <v>8518.5600045927622</v>
      </c>
      <c r="J27" s="707">
        <f t="shared" si="3"/>
        <v>0</v>
      </c>
      <c r="K27" s="707">
        <f t="shared" si="3"/>
        <v>4032.9091397815778</v>
      </c>
      <c r="L27" s="707">
        <f t="shared" si="3"/>
        <v>0</v>
      </c>
      <c r="M27" s="707">
        <f t="shared" ca="1" si="3"/>
        <v>0</v>
      </c>
      <c r="N27" s="707">
        <f t="shared" si="3"/>
        <v>2647.46377078559</v>
      </c>
      <c r="O27" s="707">
        <f t="shared" ca="1" si="3"/>
        <v>11077.245219200258</v>
      </c>
      <c r="P27" s="707">
        <f t="shared" si="3"/>
        <v>165.71333333333334</v>
      </c>
      <c r="Q27" s="707">
        <f t="shared" si="3"/>
        <v>552.93333333333339</v>
      </c>
      <c r="R27" s="707">
        <f t="shared" ca="1" si="3"/>
        <v>142377.80318355732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1088.5481604222343</v>
      </c>
      <c r="D40" s="1013">
        <f ca="1">tertiair!C20</f>
        <v>0</v>
      </c>
      <c r="E40" s="1013">
        <f ca="1">tertiair!D20</f>
        <v>669.78780223435183</v>
      </c>
      <c r="F40" s="1013">
        <f>tertiair!E20</f>
        <v>12.815337753436882</v>
      </c>
      <c r="G40" s="1013">
        <f ca="1">tertiair!F20</f>
        <v>222.47233501106328</v>
      </c>
      <c r="H40" s="1013">
        <f>tertiair!G20</f>
        <v>0</v>
      </c>
      <c r="I40" s="1013">
        <f>tertiair!H20</f>
        <v>0</v>
      </c>
      <c r="J40" s="1013">
        <f>tertiair!I20</f>
        <v>0</v>
      </c>
      <c r="K40" s="1013">
        <f>tertiair!J20</f>
        <v>4.0508667949788286E-3</v>
      </c>
      <c r="L40" s="1013">
        <f>tertiair!K20</f>
        <v>0</v>
      </c>
      <c r="M40" s="1013">
        <f ca="1">tertiair!L20</f>
        <v>0</v>
      </c>
      <c r="N40" s="1013">
        <f>tertiair!M20</f>
        <v>0</v>
      </c>
      <c r="O40" s="1013">
        <f ca="1">tertiair!N20</f>
        <v>0</v>
      </c>
      <c r="P40" s="1013">
        <f>tertiair!O20</f>
        <v>0</v>
      </c>
      <c r="Q40" s="774">
        <f>tertiair!P20</f>
        <v>0</v>
      </c>
      <c r="R40" s="850">
        <f t="shared" ca="1" si="4"/>
        <v>1993.6276862878813</v>
      </c>
    </row>
    <row r="41" spans="1:18">
      <c r="A41" s="822" t="s">
        <v>225</v>
      </c>
      <c r="B41" s="829"/>
      <c r="C41" s="1013">
        <f ca="1">huishoudens!B12</f>
        <v>2336.8378567728814</v>
      </c>
      <c r="D41" s="1013">
        <f ca="1">huishoudens!C12</f>
        <v>0</v>
      </c>
      <c r="E41" s="1013">
        <f>huishoudens!D12</f>
        <v>1424.0609804155674</v>
      </c>
      <c r="F41" s="1013">
        <f>huishoudens!E12</f>
        <v>648.89929336518355</v>
      </c>
      <c r="G41" s="1013">
        <f>huishoudens!F12</f>
        <v>8602.1987176655039</v>
      </c>
      <c r="H41" s="1013">
        <f>huishoudens!G12</f>
        <v>0</v>
      </c>
      <c r="I41" s="1013">
        <f>huishoudens!H12</f>
        <v>0</v>
      </c>
      <c r="J41" s="1013">
        <f>huishoudens!I12</f>
        <v>0</v>
      </c>
      <c r="K41" s="1013">
        <f>huishoudens!J12</f>
        <v>1341.8317427498239</v>
      </c>
      <c r="L41" s="1013">
        <f>huishoudens!K12</f>
        <v>0</v>
      </c>
      <c r="M41" s="1013">
        <f>huishoudens!L12</f>
        <v>0</v>
      </c>
      <c r="N41" s="1013">
        <f>huishoudens!M12</f>
        <v>0</v>
      </c>
      <c r="O41" s="1013">
        <f>huishoudens!N12</f>
        <v>0</v>
      </c>
      <c r="P41" s="1013">
        <f>huishoudens!O12</f>
        <v>0</v>
      </c>
      <c r="Q41" s="774">
        <f>huishoudens!P12</f>
        <v>0</v>
      </c>
      <c r="R41" s="850">
        <f t="shared" ca="1" si="4"/>
        <v>14353.82859096896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195.67307526898514</v>
      </c>
      <c r="D43" s="1013">
        <f ca="1">industrie!C22</f>
        <v>0</v>
      </c>
      <c r="E43" s="1013">
        <f>industrie!D22</f>
        <v>38.882871532833448</v>
      </c>
      <c r="F43" s="1013">
        <f>industrie!E22</f>
        <v>22.107187479353485</v>
      </c>
      <c r="G43" s="1013">
        <f>industrie!F22</f>
        <v>80.96749186013092</v>
      </c>
      <c r="H43" s="1013">
        <f>industrie!G22</f>
        <v>0</v>
      </c>
      <c r="I43" s="1013">
        <f>industrie!H22</f>
        <v>0</v>
      </c>
      <c r="J43" s="1013">
        <f>industrie!I22</f>
        <v>0</v>
      </c>
      <c r="K43" s="1013">
        <f>industrie!J22</f>
        <v>0.97291049085004888</v>
      </c>
      <c r="L43" s="1013">
        <f>industrie!K22</f>
        <v>0</v>
      </c>
      <c r="M43" s="1013">
        <f>industrie!L22</f>
        <v>0</v>
      </c>
      <c r="N43" s="1013">
        <f>industrie!M22</f>
        <v>0</v>
      </c>
      <c r="O43" s="1013">
        <f>industrie!N22</f>
        <v>0</v>
      </c>
      <c r="P43" s="1013">
        <f>industrie!O22</f>
        <v>0</v>
      </c>
      <c r="Q43" s="774">
        <f>industrie!P22</f>
        <v>0</v>
      </c>
      <c r="R43" s="849">
        <f t="shared" ca="1" si="4"/>
        <v>338.60353663215307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3621.0590924641006</v>
      </c>
      <c r="D46" s="732">
        <f t="shared" ref="D46:Q46" ca="1" si="5">SUM(D39:D45)</f>
        <v>0</v>
      </c>
      <c r="E46" s="732">
        <f t="shared" ca="1" si="5"/>
        <v>2132.7316541827531</v>
      </c>
      <c r="F46" s="732">
        <f t="shared" si="5"/>
        <v>683.8218185979739</v>
      </c>
      <c r="G46" s="732">
        <f t="shared" ca="1" si="5"/>
        <v>8905.6385445366977</v>
      </c>
      <c r="H46" s="732">
        <f t="shared" si="5"/>
        <v>0</v>
      </c>
      <c r="I46" s="732">
        <f t="shared" si="5"/>
        <v>0</v>
      </c>
      <c r="J46" s="732">
        <f t="shared" si="5"/>
        <v>0</v>
      </c>
      <c r="K46" s="732">
        <f t="shared" si="5"/>
        <v>1342.8087041074691</v>
      </c>
      <c r="L46" s="732">
        <f t="shared" si="5"/>
        <v>0</v>
      </c>
      <c r="M46" s="732">
        <f t="shared" ca="1" si="5"/>
        <v>0</v>
      </c>
      <c r="N46" s="732">
        <f t="shared" si="5"/>
        <v>0</v>
      </c>
      <c r="O46" s="732">
        <f t="shared" ca="1" si="5"/>
        <v>0</v>
      </c>
      <c r="P46" s="732">
        <f t="shared" si="5"/>
        <v>0</v>
      </c>
      <c r="Q46" s="732">
        <f t="shared" si="5"/>
        <v>0</v>
      </c>
      <c r="R46" s="732">
        <f ca="1">SUM(R39:R45)</f>
        <v>16686.059813888995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196.11536696742465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196.11536696742465</v>
      </c>
    </row>
    <row r="50" spans="1:18">
      <c r="A50" s="825" t="s">
        <v>307</v>
      </c>
      <c r="B50" s="835"/>
      <c r="C50" s="703">
        <f ca="1">transport!B18</f>
        <v>4.2896424282485883</v>
      </c>
      <c r="D50" s="703">
        <f>transport!C18</f>
        <v>0</v>
      </c>
      <c r="E50" s="703">
        <f>transport!D18</f>
        <v>15.288141035748106</v>
      </c>
      <c r="F50" s="703">
        <f>transport!E18</f>
        <v>22.798709438983501</v>
      </c>
      <c r="G50" s="703">
        <f>transport!F18</f>
        <v>0</v>
      </c>
      <c r="H50" s="703">
        <f>transport!G18</f>
        <v>10759.641165770105</v>
      </c>
      <c r="I50" s="703">
        <f>transport!H18</f>
        <v>2121.1214411435976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12923.139099816683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4.2896424282485883</v>
      </c>
      <c r="D52" s="732">
        <f t="shared" ref="D52:Q52" ca="1" si="6">SUM(D48:D51)</f>
        <v>0</v>
      </c>
      <c r="E52" s="732">
        <f t="shared" si="6"/>
        <v>15.288141035748106</v>
      </c>
      <c r="F52" s="732">
        <f t="shared" si="6"/>
        <v>22.798709438983501</v>
      </c>
      <c r="G52" s="732">
        <f t="shared" si="6"/>
        <v>0</v>
      </c>
      <c r="H52" s="732">
        <f t="shared" si="6"/>
        <v>10955.756532737529</v>
      </c>
      <c r="I52" s="732">
        <f t="shared" si="6"/>
        <v>2121.1214411435976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13119.254466784107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338.64393161506734</v>
      </c>
      <c r="D54" s="703">
        <f ca="1">+landbouw!C12</f>
        <v>0</v>
      </c>
      <c r="E54" s="703">
        <f>+landbouw!D12</f>
        <v>9.7109087240147485</v>
      </c>
      <c r="F54" s="703">
        <f>+landbouw!E12</f>
        <v>11.037475412429806</v>
      </c>
      <c r="G54" s="703">
        <f>+landbouw!F12</f>
        <v>1840.0264583311389</v>
      </c>
      <c r="H54" s="703">
        <f>+landbouw!G12</f>
        <v>0</v>
      </c>
      <c r="I54" s="703">
        <f>+landbouw!H12</f>
        <v>0</v>
      </c>
      <c r="J54" s="703">
        <f>+landbouw!I12</f>
        <v>0</v>
      </c>
      <c r="K54" s="703">
        <f>+landbouw!J12</f>
        <v>84.841131375209528</v>
      </c>
      <c r="L54" s="703">
        <f>+landbouw!K12</f>
        <v>0</v>
      </c>
      <c r="M54" s="703">
        <f>+landbouw!L12</f>
        <v>0</v>
      </c>
      <c r="N54" s="703">
        <f>+landbouw!M12</f>
        <v>0</v>
      </c>
      <c r="O54" s="703">
        <f>+landbouw!N12</f>
        <v>0</v>
      </c>
      <c r="P54" s="703">
        <f>+landbouw!O12</f>
        <v>0</v>
      </c>
      <c r="Q54" s="704">
        <f>+landbouw!P12</f>
        <v>0</v>
      </c>
      <c r="R54" s="731">
        <f ca="1">SUM(C54:Q54)</f>
        <v>2284.2599054578604</v>
      </c>
    </row>
    <row r="55" spans="1:18" ht="15" thickBot="1">
      <c r="A55" s="825" t="s">
        <v>836</v>
      </c>
      <c r="B55" s="835"/>
      <c r="C55" s="703">
        <f ca="1">C25*'EF ele_warmte'!B12</f>
        <v>110.22263596945288</v>
      </c>
      <c r="D55" s="703"/>
      <c r="E55" s="703">
        <f>E25*EF_CO2_aardgas</f>
        <v>72.473240540824875</v>
      </c>
      <c r="F55" s="703"/>
      <c r="G55" s="703"/>
      <c r="H55" s="703"/>
      <c r="I55" s="703"/>
      <c r="J55" s="703"/>
      <c r="K55" s="703"/>
      <c r="L55" s="703"/>
      <c r="M55" s="703"/>
      <c r="N55" s="703"/>
      <c r="O55" s="703"/>
      <c r="P55" s="703"/>
      <c r="Q55" s="704"/>
      <c r="R55" s="731">
        <f ca="1">SUM(C55:Q55)</f>
        <v>182.69587651027774</v>
      </c>
    </row>
    <row r="56" spans="1:18" ht="15.75" thickBot="1">
      <c r="A56" s="823" t="s">
        <v>837</v>
      </c>
      <c r="B56" s="836"/>
      <c r="C56" s="732">
        <f ca="1">SUM(C54:C55)</f>
        <v>448.86656758452023</v>
      </c>
      <c r="D56" s="732">
        <f t="shared" ref="D56:Q56" ca="1" si="7">SUM(D54:D55)</f>
        <v>0</v>
      </c>
      <c r="E56" s="732">
        <f t="shared" si="7"/>
        <v>82.184149264839618</v>
      </c>
      <c r="F56" s="732">
        <f t="shared" si="7"/>
        <v>11.037475412429806</v>
      </c>
      <c r="G56" s="732">
        <f t="shared" si="7"/>
        <v>1840.0264583311389</v>
      </c>
      <c r="H56" s="732">
        <f t="shared" si="7"/>
        <v>0</v>
      </c>
      <c r="I56" s="732">
        <f t="shared" si="7"/>
        <v>0</v>
      </c>
      <c r="J56" s="732">
        <f t="shared" si="7"/>
        <v>0</v>
      </c>
      <c r="K56" s="732">
        <f t="shared" si="7"/>
        <v>84.841131375209528</v>
      </c>
      <c r="L56" s="732">
        <f t="shared" si="7"/>
        <v>0</v>
      </c>
      <c r="M56" s="732">
        <f t="shared" si="7"/>
        <v>0</v>
      </c>
      <c r="N56" s="732">
        <f t="shared" si="7"/>
        <v>0</v>
      </c>
      <c r="O56" s="732">
        <f t="shared" si="7"/>
        <v>0</v>
      </c>
      <c r="P56" s="732">
        <f t="shared" si="7"/>
        <v>0</v>
      </c>
      <c r="Q56" s="733">
        <f t="shared" si="7"/>
        <v>0</v>
      </c>
      <c r="R56" s="734">
        <f ca="1">SUM(R54:R55)</f>
        <v>2466.9557819681381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4074.2153024768695</v>
      </c>
      <c r="D61" s="740">
        <f t="shared" ref="D61:Q61" ca="1" si="8">D46+D52+D56</f>
        <v>0</v>
      </c>
      <c r="E61" s="740">
        <f t="shared" ca="1" si="8"/>
        <v>2230.2039444833408</v>
      </c>
      <c r="F61" s="740">
        <f t="shared" si="8"/>
        <v>717.65800344938714</v>
      </c>
      <c r="G61" s="740">
        <f t="shared" ca="1" si="8"/>
        <v>10745.665002867836</v>
      </c>
      <c r="H61" s="740">
        <f t="shared" si="8"/>
        <v>10955.756532737529</v>
      </c>
      <c r="I61" s="740">
        <f t="shared" si="8"/>
        <v>2121.1214411435976</v>
      </c>
      <c r="J61" s="740">
        <f t="shared" si="8"/>
        <v>0</v>
      </c>
      <c r="K61" s="740">
        <f t="shared" si="8"/>
        <v>1427.6498354826786</v>
      </c>
      <c r="L61" s="740">
        <f t="shared" si="8"/>
        <v>0</v>
      </c>
      <c r="M61" s="740">
        <f t="shared" ca="1" si="8"/>
        <v>0</v>
      </c>
      <c r="N61" s="740">
        <f t="shared" si="8"/>
        <v>0</v>
      </c>
      <c r="O61" s="740">
        <f t="shared" ca="1" si="8"/>
        <v>0</v>
      </c>
      <c r="P61" s="740">
        <f t="shared" si="8"/>
        <v>0</v>
      </c>
      <c r="Q61" s="740">
        <f t="shared" si="8"/>
        <v>0</v>
      </c>
      <c r="R61" s="740">
        <f ca="1">R46+R52+R56</f>
        <v>32272.270062641241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0.20471238751376397</v>
      </c>
      <c r="D63" s="781">
        <f t="shared" ca="1" si="9"/>
        <v>0</v>
      </c>
      <c r="E63" s="1024">
        <f t="shared" ca="1" si="9"/>
        <v>0.20200000000000004</v>
      </c>
      <c r="F63" s="781">
        <f t="shared" si="9"/>
        <v>0.22699999999999995</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1466.7800912845041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1466.7800912845041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11415.224477393986</v>
      </c>
      <c r="C4" s="477">
        <f>huishoudens!C8</f>
        <v>0</v>
      </c>
      <c r="D4" s="477">
        <f>huishoudens!D8</f>
        <v>7049.8068337404329</v>
      </c>
      <c r="E4" s="477">
        <f>huishoudens!E8</f>
        <v>2858.5871954413374</v>
      </c>
      <c r="F4" s="477">
        <f>huishoudens!F8</f>
        <v>32217.972725338961</v>
      </c>
      <c r="G4" s="477">
        <f>huishoudens!G8</f>
        <v>0</v>
      </c>
      <c r="H4" s="477">
        <f>huishoudens!H8</f>
        <v>0</v>
      </c>
      <c r="I4" s="477">
        <f>huishoudens!I8</f>
        <v>0</v>
      </c>
      <c r="J4" s="477">
        <f>huishoudens!J8</f>
        <v>3790.4851490108022</v>
      </c>
      <c r="K4" s="477">
        <f>huishoudens!K8</f>
        <v>0</v>
      </c>
      <c r="L4" s="477">
        <f>huishoudens!L8</f>
        <v>0</v>
      </c>
      <c r="M4" s="477">
        <f>huishoudens!M8</f>
        <v>0</v>
      </c>
      <c r="N4" s="477">
        <f>huishoudens!N8</f>
        <v>10384.233713914487</v>
      </c>
      <c r="O4" s="477">
        <f>huishoudens!O8</f>
        <v>164.15</v>
      </c>
      <c r="P4" s="478">
        <f>huishoudens!P8</f>
        <v>533.86666666666667</v>
      </c>
      <c r="Q4" s="479">
        <f>SUM(B4:P4)</f>
        <v>68414.326761506672</v>
      </c>
    </row>
    <row r="5" spans="1:17">
      <c r="A5" s="476" t="s">
        <v>156</v>
      </c>
      <c r="B5" s="477">
        <f ca="1">tertiair!B16</f>
        <v>4901.3203454836494</v>
      </c>
      <c r="C5" s="477">
        <f ca="1">tertiair!C16</f>
        <v>0</v>
      </c>
      <c r="D5" s="477">
        <f ca="1">tertiair!D16</f>
        <v>3315.7811991799595</v>
      </c>
      <c r="E5" s="477">
        <f>tertiair!E16</f>
        <v>56.455232393995075</v>
      </c>
      <c r="F5" s="477">
        <f ca="1">tertiair!F16</f>
        <v>833.22971914255902</v>
      </c>
      <c r="G5" s="477">
        <f>tertiair!G16</f>
        <v>0</v>
      </c>
      <c r="H5" s="477">
        <f>tertiair!H16</f>
        <v>0</v>
      </c>
      <c r="I5" s="477">
        <f>tertiair!I16</f>
        <v>0</v>
      </c>
      <c r="J5" s="477">
        <f>tertiair!J16</f>
        <v>1.1443126539488218E-2</v>
      </c>
      <c r="K5" s="477">
        <f>tertiair!K16</f>
        <v>0</v>
      </c>
      <c r="L5" s="477">
        <f ca="1">tertiair!L16</f>
        <v>0</v>
      </c>
      <c r="M5" s="477">
        <f>tertiair!M16</f>
        <v>0</v>
      </c>
      <c r="N5" s="477">
        <f ca="1">tertiair!N16</f>
        <v>458.63820685631373</v>
      </c>
      <c r="O5" s="477">
        <f>tertiair!O16</f>
        <v>1.5633333333333335</v>
      </c>
      <c r="P5" s="478">
        <f>tertiair!P16</f>
        <v>19.066666666666666</v>
      </c>
      <c r="Q5" s="476">
        <f t="shared" ref="Q5:Q14" ca="1" si="0">SUM(B5:P5)</f>
        <v>9586.0661461830168</v>
      </c>
    </row>
    <row r="6" spans="1:17">
      <c r="A6" s="476" t="s">
        <v>194</v>
      </c>
      <c r="B6" s="477">
        <f>'openbare verlichting'!B8</f>
        <v>416.13099999999997</v>
      </c>
      <c r="C6" s="477"/>
      <c r="D6" s="477"/>
      <c r="E6" s="477"/>
      <c r="F6" s="477"/>
      <c r="G6" s="477"/>
      <c r="H6" s="477"/>
      <c r="I6" s="477"/>
      <c r="J6" s="477"/>
      <c r="K6" s="477"/>
      <c r="L6" s="477"/>
      <c r="M6" s="477"/>
      <c r="N6" s="477"/>
      <c r="O6" s="477"/>
      <c r="P6" s="478"/>
      <c r="Q6" s="476">
        <f t="shared" si="0"/>
        <v>416.13099999999997</v>
      </c>
    </row>
    <row r="7" spans="1:17">
      <c r="A7" s="476" t="s">
        <v>112</v>
      </c>
      <c r="B7" s="477">
        <f>landbouw!B8</f>
        <v>1654.2424995766239</v>
      </c>
      <c r="C7" s="477">
        <f>landbouw!C8</f>
        <v>0</v>
      </c>
      <c r="D7" s="477">
        <f>landbouw!D8</f>
        <v>48.073805564429442</v>
      </c>
      <c r="E7" s="477">
        <f>landbouw!E8</f>
        <v>48.623239702333947</v>
      </c>
      <c r="F7" s="477">
        <f>landbouw!F8</f>
        <v>6891.4848626634412</v>
      </c>
      <c r="G7" s="477">
        <f>landbouw!G8</f>
        <v>0</v>
      </c>
      <c r="H7" s="477">
        <f>landbouw!H8</f>
        <v>0</v>
      </c>
      <c r="I7" s="477">
        <f>landbouw!I8</f>
        <v>0</v>
      </c>
      <c r="J7" s="477">
        <f>landbouw!J8</f>
        <v>239.66421292432071</v>
      </c>
      <c r="K7" s="477">
        <f>landbouw!K8</f>
        <v>0</v>
      </c>
      <c r="L7" s="477">
        <f>landbouw!L8</f>
        <v>0</v>
      </c>
      <c r="M7" s="477">
        <f>landbouw!M8</f>
        <v>0</v>
      </c>
      <c r="N7" s="477">
        <f>landbouw!N8</f>
        <v>0</v>
      </c>
      <c r="O7" s="477">
        <f>landbouw!O8</f>
        <v>0</v>
      </c>
      <c r="P7" s="478">
        <f>landbouw!P8</f>
        <v>0</v>
      </c>
      <c r="Q7" s="476">
        <f t="shared" si="0"/>
        <v>8882.08862043115</v>
      </c>
    </row>
    <row r="8" spans="1:17">
      <c r="A8" s="476" t="s">
        <v>635</v>
      </c>
      <c r="B8" s="477">
        <f>industrie!B18</f>
        <v>955.84384338162704</v>
      </c>
      <c r="C8" s="477">
        <f>industrie!C18</f>
        <v>0</v>
      </c>
      <c r="D8" s="477">
        <f>industrie!D18</f>
        <v>192.48946303382894</v>
      </c>
      <c r="E8" s="477">
        <f>industrie!E18</f>
        <v>97.388491098473494</v>
      </c>
      <c r="F8" s="477">
        <f>industrie!F18</f>
        <v>303.2490331840109</v>
      </c>
      <c r="G8" s="477">
        <f>industrie!G18</f>
        <v>0</v>
      </c>
      <c r="H8" s="477">
        <f>industrie!H18</f>
        <v>0</v>
      </c>
      <c r="I8" s="477">
        <f>industrie!I18</f>
        <v>0</v>
      </c>
      <c r="J8" s="477">
        <f>industrie!J18</f>
        <v>2.7483347199153925</v>
      </c>
      <c r="K8" s="477">
        <f>industrie!K18</f>
        <v>0</v>
      </c>
      <c r="L8" s="477">
        <f>industrie!L18</f>
        <v>0</v>
      </c>
      <c r="M8" s="477">
        <f>industrie!M18</f>
        <v>0</v>
      </c>
      <c r="N8" s="477">
        <f>industrie!N18</f>
        <v>234.37329842945687</v>
      </c>
      <c r="O8" s="477">
        <f>industrie!O18</f>
        <v>0</v>
      </c>
      <c r="P8" s="478">
        <f>industrie!P18</f>
        <v>0</v>
      </c>
      <c r="Q8" s="476">
        <f t="shared" si="0"/>
        <v>1786.0924638473125</v>
      </c>
    </row>
    <row r="9" spans="1:17" s="482" customFormat="1">
      <c r="A9" s="480" t="s">
        <v>561</v>
      </c>
      <c r="B9" s="481">
        <f>transport!B14</f>
        <v>20.954483899808807</v>
      </c>
      <c r="C9" s="481">
        <f>transport!C14</f>
        <v>0</v>
      </c>
      <c r="D9" s="481">
        <f>transport!D14</f>
        <v>75.683866513604485</v>
      </c>
      <c r="E9" s="481">
        <f>transport!E14</f>
        <v>100.43484334353964</v>
      </c>
      <c r="F9" s="481">
        <f>transport!F14</f>
        <v>0</v>
      </c>
      <c r="G9" s="481">
        <f>transport!G14</f>
        <v>40298.281519738215</v>
      </c>
      <c r="H9" s="481">
        <f>transport!H14</f>
        <v>8518.5600045927622</v>
      </c>
      <c r="I9" s="481">
        <f>transport!I14</f>
        <v>0</v>
      </c>
      <c r="J9" s="481">
        <f>transport!J14</f>
        <v>0</v>
      </c>
      <c r="K9" s="481">
        <f>transport!K14</f>
        <v>0</v>
      </c>
      <c r="L9" s="481">
        <f>transport!L14</f>
        <v>0</v>
      </c>
      <c r="M9" s="481">
        <f>transport!M14</f>
        <v>2605.746590720114</v>
      </c>
      <c r="N9" s="481">
        <f>transport!N14</f>
        <v>0</v>
      </c>
      <c r="O9" s="481">
        <f>transport!O14</f>
        <v>0</v>
      </c>
      <c r="P9" s="481">
        <f>transport!P14</f>
        <v>0</v>
      </c>
      <c r="Q9" s="480">
        <f>SUM(B9:P9)</f>
        <v>51619.661308808041</v>
      </c>
    </row>
    <row r="10" spans="1:17">
      <c r="A10" s="476" t="s">
        <v>551</v>
      </c>
      <c r="B10" s="477">
        <f>transport!B54</f>
        <v>0</v>
      </c>
      <c r="C10" s="477">
        <f>transport!C54</f>
        <v>0</v>
      </c>
      <c r="D10" s="477">
        <f>transport!D54</f>
        <v>0</v>
      </c>
      <c r="E10" s="477">
        <f>transport!E54</f>
        <v>0</v>
      </c>
      <c r="F10" s="477">
        <f>transport!F54</f>
        <v>0</v>
      </c>
      <c r="G10" s="477">
        <f>transport!G54</f>
        <v>734.51448302406232</v>
      </c>
      <c r="H10" s="477">
        <f>transport!H54</f>
        <v>0</v>
      </c>
      <c r="I10" s="477">
        <f>transport!I54</f>
        <v>0</v>
      </c>
      <c r="J10" s="477">
        <f>transport!J54</f>
        <v>0</v>
      </c>
      <c r="K10" s="477">
        <f>transport!K54</f>
        <v>0</v>
      </c>
      <c r="L10" s="477">
        <f>transport!L54</f>
        <v>0</v>
      </c>
      <c r="M10" s="477">
        <f>transport!M54</f>
        <v>41.717180065475873</v>
      </c>
      <c r="N10" s="477">
        <f>transport!N54</f>
        <v>0</v>
      </c>
      <c r="O10" s="477">
        <f>transport!O54</f>
        <v>0</v>
      </c>
      <c r="P10" s="478">
        <f>transport!P54</f>
        <v>0</v>
      </c>
      <c r="Q10" s="476">
        <f t="shared" si="0"/>
        <v>776.23166308953819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538.4268011726549</v>
      </c>
      <c r="C14" s="484"/>
      <c r="D14" s="484">
        <f>'SEAP template'!E25</f>
        <v>358.77841851893498</v>
      </c>
      <c r="E14" s="484"/>
      <c r="F14" s="484"/>
      <c r="G14" s="484"/>
      <c r="H14" s="484"/>
      <c r="I14" s="484"/>
      <c r="J14" s="484"/>
      <c r="K14" s="484"/>
      <c r="L14" s="484"/>
      <c r="M14" s="484"/>
      <c r="N14" s="484"/>
      <c r="O14" s="484"/>
      <c r="P14" s="485"/>
      <c r="Q14" s="476">
        <f t="shared" si="0"/>
        <v>897.20521969158995</v>
      </c>
    </row>
    <row r="15" spans="1:17" s="486" customFormat="1">
      <c r="A15" s="1039" t="s">
        <v>555</v>
      </c>
      <c r="B15" s="987">
        <f ca="1">SUM(B4:B14)</f>
        <v>19902.143450908348</v>
      </c>
      <c r="C15" s="987">
        <f t="shared" ref="C15:Q15" ca="1" si="1">SUM(C4:C14)</f>
        <v>0</v>
      </c>
      <c r="D15" s="987">
        <f t="shared" ca="1" si="1"/>
        <v>11040.61358655119</v>
      </c>
      <c r="E15" s="987">
        <f t="shared" si="1"/>
        <v>3161.4890019796799</v>
      </c>
      <c r="F15" s="987">
        <f t="shared" ca="1" si="1"/>
        <v>40245.936340328968</v>
      </c>
      <c r="G15" s="987">
        <f t="shared" si="1"/>
        <v>41032.796002762276</v>
      </c>
      <c r="H15" s="987">
        <f t="shared" si="1"/>
        <v>8518.5600045927622</v>
      </c>
      <c r="I15" s="987">
        <f t="shared" si="1"/>
        <v>0</v>
      </c>
      <c r="J15" s="987">
        <f t="shared" si="1"/>
        <v>4032.9091397815778</v>
      </c>
      <c r="K15" s="987">
        <f t="shared" si="1"/>
        <v>0</v>
      </c>
      <c r="L15" s="987">
        <f t="shared" ca="1" si="1"/>
        <v>0</v>
      </c>
      <c r="M15" s="987">
        <f t="shared" si="1"/>
        <v>2647.46377078559</v>
      </c>
      <c r="N15" s="987">
        <f t="shared" ca="1" si="1"/>
        <v>11077.245219200258</v>
      </c>
      <c r="O15" s="987">
        <f t="shared" si="1"/>
        <v>165.71333333333334</v>
      </c>
      <c r="P15" s="987">
        <f t="shared" si="1"/>
        <v>552.93333333333339</v>
      </c>
      <c r="Q15" s="987">
        <f t="shared" ca="1" si="1"/>
        <v>142377.80318355732</v>
      </c>
    </row>
    <row r="17" spans="1:17">
      <c r="A17" s="487" t="s">
        <v>556</v>
      </c>
      <c r="B17" s="786">
        <f ca="1">huishoudens!B10</f>
        <v>0.20471238751376397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2336.8378567728814</v>
      </c>
      <c r="C22" s="477">
        <f t="shared" ref="C22:C32" ca="1" si="3">C4*$C$17</f>
        <v>0</v>
      </c>
      <c r="D22" s="477">
        <f t="shared" ref="D22:D32" si="4">D4*$D$17</f>
        <v>1424.0609804155674</v>
      </c>
      <c r="E22" s="477">
        <f t="shared" ref="E22:E32" si="5">E4*$E$17</f>
        <v>648.89929336518355</v>
      </c>
      <c r="F22" s="477">
        <f t="shared" ref="F22:F32" si="6">F4*$F$17</f>
        <v>8602.1987176655039</v>
      </c>
      <c r="G22" s="477">
        <f t="shared" ref="G22:G32" si="7">G4*$G$17</f>
        <v>0</v>
      </c>
      <c r="H22" s="477">
        <f t="shared" ref="H22:H32" si="8">H4*$H$17</f>
        <v>0</v>
      </c>
      <c r="I22" s="477">
        <f t="shared" ref="I22:I32" si="9">I4*$I$17</f>
        <v>0</v>
      </c>
      <c r="J22" s="477">
        <f t="shared" ref="J22:J32" si="10">J4*$J$17</f>
        <v>1341.8317427498239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14353.82859096896</v>
      </c>
    </row>
    <row r="23" spans="1:17">
      <c r="A23" s="476" t="s">
        <v>156</v>
      </c>
      <c r="B23" s="477">
        <f t="shared" ca="1" si="2"/>
        <v>1003.3609898937443</v>
      </c>
      <c r="C23" s="477">
        <f t="shared" ca="1" si="3"/>
        <v>0</v>
      </c>
      <c r="D23" s="477">
        <f t="shared" ca="1" si="4"/>
        <v>669.78780223435183</v>
      </c>
      <c r="E23" s="477">
        <f t="shared" si="5"/>
        <v>12.815337753436882</v>
      </c>
      <c r="F23" s="477">
        <f t="shared" ca="1" si="6"/>
        <v>222.47233501106328</v>
      </c>
      <c r="G23" s="477">
        <f t="shared" si="7"/>
        <v>0</v>
      </c>
      <c r="H23" s="477">
        <f t="shared" si="8"/>
        <v>0</v>
      </c>
      <c r="I23" s="477">
        <f t="shared" si="9"/>
        <v>0</v>
      </c>
      <c r="J23" s="477">
        <f t="shared" si="10"/>
        <v>4.0508667949788286E-3</v>
      </c>
      <c r="K23" s="477">
        <f t="shared" si="11"/>
        <v>0</v>
      </c>
      <c r="L23" s="477">
        <f t="shared" ca="1" si="12"/>
        <v>0</v>
      </c>
      <c r="M23" s="477">
        <f t="shared" si="13"/>
        <v>0</v>
      </c>
      <c r="N23" s="477">
        <f t="shared" ca="1" si="14"/>
        <v>0</v>
      </c>
      <c r="O23" s="477">
        <f t="shared" si="15"/>
        <v>0</v>
      </c>
      <c r="P23" s="478">
        <f t="shared" si="16"/>
        <v>0</v>
      </c>
      <c r="Q23" s="476">
        <f t="shared" ref="Q23:Q32" ca="1" si="17">SUM(B23:P23)</f>
        <v>1908.4405157593912</v>
      </c>
    </row>
    <row r="24" spans="1:17">
      <c r="A24" s="476" t="s">
        <v>194</v>
      </c>
      <c r="B24" s="477">
        <f t="shared" ca="1" si="2"/>
        <v>85.187170528490114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85.187170528490114</v>
      </c>
    </row>
    <row r="25" spans="1:17">
      <c r="A25" s="476" t="s">
        <v>112</v>
      </c>
      <c r="B25" s="477">
        <f t="shared" ca="1" si="2"/>
        <v>338.64393161506734</v>
      </c>
      <c r="C25" s="477">
        <f t="shared" ca="1" si="3"/>
        <v>0</v>
      </c>
      <c r="D25" s="477">
        <f t="shared" si="4"/>
        <v>9.7109087240147485</v>
      </c>
      <c r="E25" s="477">
        <f t="shared" si="5"/>
        <v>11.037475412429806</v>
      </c>
      <c r="F25" s="477">
        <f t="shared" si="6"/>
        <v>1840.0264583311389</v>
      </c>
      <c r="G25" s="477">
        <f t="shared" si="7"/>
        <v>0</v>
      </c>
      <c r="H25" s="477">
        <f t="shared" si="8"/>
        <v>0</v>
      </c>
      <c r="I25" s="477">
        <f t="shared" si="9"/>
        <v>0</v>
      </c>
      <c r="J25" s="477">
        <f t="shared" si="10"/>
        <v>84.841131375209528</v>
      </c>
      <c r="K25" s="477">
        <f t="shared" si="11"/>
        <v>0</v>
      </c>
      <c r="L25" s="477">
        <f t="shared" si="12"/>
        <v>0</v>
      </c>
      <c r="M25" s="477">
        <f t="shared" si="13"/>
        <v>0</v>
      </c>
      <c r="N25" s="477">
        <f t="shared" si="14"/>
        <v>0</v>
      </c>
      <c r="O25" s="477">
        <f t="shared" si="15"/>
        <v>0</v>
      </c>
      <c r="P25" s="478">
        <f t="shared" si="16"/>
        <v>0</v>
      </c>
      <c r="Q25" s="476">
        <f t="shared" ca="1" si="17"/>
        <v>2284.2599054578604</v>
      </c>
    </row>
    <row r="26" spans="1:17">
      <c r="A26" s="476" t="s">
        <v>635</v>
      </c>
      <c r="B26" s="477">
        <f t="shared" ca="1" si="2"/>
        <v>195.67307526898514</v>
      </c>
      <c r="C26" s="477">
        <f t="shared" ca="1" si="3"/>
        <v>0</v>
      </c>
      <c r="D26" s="477">
        <f t="shared" si="4"/>
        <v>38.882871532833448</v>
      </c>
      <c r="E26" s="477">
        <f t="shared" si="5"/>
        <v>22.107187479353485</v>
      </c>
      <c r="F26" s="477">
        <f t="shared" si="6"/>
        <v>80.96749186013092</v>
      </c>
      <c r="G26" s="477">
        <f t="shared" si="7"/>
        <v>0</v>
      </c>
      <c r="H26" s="477">
        <f t="shared" si="8"/>
        <v>0</v>
      </c>
      <c r="I26" s="477">
        <f t="shared" si="9"/>
        <v>0</v>
      </c>
      <c r="J26" s="477">
        <f t="shared" si="10"/>
        <v>0.97291049085004888</v>
      </c>
      <c r="K26" s="477">
        <f t="shared" si="11"/>
        <v>0</v>
      </c>
      <c r="L26" s="477">
        <f t="shared" si="12"/>
        <v>0</v>
      </c>
      <c r="M26" s="477">
        <f t="shared" si="13"/>
        <v>0</v>
      </c>
      <c r="N26" s="477">
        <f t="shared" si="14"/>
        <v>0</v>
      </c>
      <c r="O26" s="477">
        <f t="shared" si="15"/>
        <v>0</v>
      </c>
      <c r="P26" s="478">
        <f t="shared" si="16"/>
        <v>0</v>
      </c>
      <c r="Q26" s="476">
        <f t="shared" ca="1" si="17"/>
        <v>338.60353663215307</v>
      </c>
    </row>
    <row r="27" spans="1:17" s="482" customFormat="1">
      <c r="A27" s="480" t="s">
        <v>561</v>
      </c>
      <c r="B27" s="780">
        <f t="shared" ca="1" si="2"/>
        <v>4.2896424282485883</v>
      </c>
      <c r="C27" s="481">
        <f t="shared" ca="1" si="3"/>
        <v>0</v>
      </c>
      <c r="D27" s="481">
        <f t="shared" si="4"/>
        <v>15.288141035748106</v>
      </c>
      <c r="E27" s="481">
        <f t="shared" si="5"/>
        <v>22.798709438983501</v>
      </c>
      <c r="F27" s="481">
        <f t="shared" si="6"/>
        <v>0</v>
      </c>
      <c r="G27" s="481">
        <f t="shared" si="7"/>
        <v>10759.641165770105</v>
      </c>
      <c r="H27" s="481">
        <f t="shared" si="8"/>
        <v>2121.1214411435976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12923.139099816683</v>
      </c>
    </row>
    <row r="28" spans="1:17">
      <c r="A28" s="476" t="s">
        <v>551</v>
      </c>
      <c r="B28" s="477">
        <f t="shared" ca="1" si="2"/>
        <v>0</v>
      </c>
      <c r="C28" s="477">
        <f t="shared" ca="1" si="3"/>
        <v>0</v>
      </c>
      <c r="D28" s="477">
        <f t="shared" si="4"/>
        <v>0</v>
      </c>
      <c r="E28" s="477">
        <f t="shared" si="5"/>
        <v>0</v>
      </c>
      <c r="F28" s="477">
        <f t="shared" si="6"/>
        <v>0</v>
      </c>
      <c r="G28" s="477">
        <f t="shared" si="7"/>
        <v>196.11536696742465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196.11536696742465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110.22263596945288</v>
      </c>
      <c r="C32" s="477">
        <f t="shared" ca="1" si="3"/>
        <v>0</v>
      </c>
      <c r="D32" s="477">
        <f t="shared" si="4"/>
        <v>72.473240540824875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182.69587651027774</v>
      </c>
    </row>
    <row r="33" spans="1:17" s="486" customFormat="1">
      <c r="A33" s="1039" t="s">
        <v>555</v>
      </c>
      <c r="B33" s="987">
        <f ca="1">SUM(B22:B32)</f>
        <v>4074.2153024768695</v>
      </c>
      <c r="C33" s="987">
        <f t="shared" ref="C33:Q33" ca="1" si="18">SUM(C22:C32)</f>
        <v>0</v>
      </c>
      <c r="D33" s="987">
        <f t="shared" ca="1" si="18"/>
        <v>2230.2039444833408</v>
      </c>
      <c r="E33" s="987">
        <f t="shared" si="18"/>
        <v>717.65800344938714</v>
      </c>
      <c r="F33" s="987">
        <f t="shared" ca="1" si="18"/>
        <v>10745.665002867836</v>
      </c>
      <c r="G33" s="987">
        <f t="shared" si="18"/>
        <v>10955.756532737529</v>
      </c>
      <c r="H33" s="987">
        <f t="shared" si="18"/>
        <v>2121.1214411435976</v>
      </c>
      <c r="I33" s="987">
        <f t="shared" si="18"/>
        <v>0</v>
      </c>
      <c r="J33" s="987">
        <f t="shared" si="18"/>
        <v>1427.6498354826786</v>
      </c>
      <c r="K33" s="987">
        <f t="shared" si="18"/>
        <v>0</v>
      </c>
      <c r="L33" s="987">
        <f t="shared" ca="1" si="18"/>
        <v>0</v>
      </c>
      <c r="M33" s="987">
        <f t="shared" si="18"/>
        <v>0</v>
      </c>
      <c r="N33" s="987">
        <f t="shared" ca="1" si="18"/>
        <v>0</v>
      </c>
      <c r="O33" s="987">
        <f t="shared" si="18"/>
        <v>0</v>
      </c>
      <c r="P33" s="987">
        <f t="shared" si="18"/>
        <v>0</v>
      </c>
      <c r="Q33" s="987">
        <f t="shared" ca="1" si="18"/>
        <v>32272.270062641241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1466.7800912845041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1466.7800912845041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0.20471238751376397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0.20471238751376397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0.20471238751376397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0.20471238751376397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2393</v>
      </c>
      <c r="C9" s="342">
        <v>2521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3349.55</v>
      </c>
    </row>
    <row r="15" spans="1:6">
      <c r="A15" s="348" t="s">
        <v>184</v>
      </c>
      <c r="B15" s="334">
        <v>44</v>
      </c>
    </row>
    <row r="16" spans="1:6">
      <c r="A16" s="348" t="s">
        <v>6</v>
      </c>
      <c r="B16" s="334">
        <v>1180</v>
      </c>
    </row>
    <row r="17" spans="1:6">
      <c r="A17" s="348" t="s">
        <v>7</v>
      </c>
      <c r="B17" s="334">
        <v>1349</v>
      </c>
    </row>
    <row r="18" spans="1:6">
      <c r="A18" s="348" t="s">
        <v>8</v>
      </c>
      <c r="B18" s="334">
        <v>1714</v>
      </c>
    </row>
    <row r="19" spans="1:6">
      <c r="A19" s="348" t="s">
        <v>9</v>
      </c>
      <c r="B19" s="334">
        <v>1592</v>
      </c>
    </row>
    <row r="20" spans="1:6">
      <c r="A20" s="348" t="s">
        <v>10</v>
      </c>
      <c r="B20" s="334">
        <v>1069</v>
      </c>
    </row>
    <row r="21" spans="1:6">
      <c r="A21" s="348" t="s">
        <v>11</v>
      </c>
      <c r="B21" s="334">
        <v>1176</v>
      </c>
    </row>
    <row r="22" spans="1:6">
      <c r="A22" s="348" t="s">
        <v>12</v>
      </c>
      <c r="B22" s="334">
        <v>5190</v>
      </c>
    </row>
    <row r="23" spans="1:6">
      <c r="A23" s="348" t="s">
        <v>13</v>
      </c>
      <c r="B23" s="334">
        <v>96</v>
      </c>
    </row>
    <row r="24" spans="1:6">
      <c r="A24" s="348" t="s">
        <v>14</v>
      </c>
      <c r="B24" s="334">
        <v>7</v>
      </c>
    </row>
    <row r="25" spans="1:6">
      <c r="A25" s="348" t="s">
        <v>15</v>
      </c>
      <c r="B25" s="334">
        <v>534</v>
      </c>
    </row>
    <row r="26" spans="1:6">
      <c r="A26" s="348" t="s">
        <v>16</v>
      </c>
      <c r="B26" s="334">
        <v>124</v>
      </c>
    </row>
    <row r="27" spans="1:6">
      <c r="A27" s="348" t="s">
        <v>17</v>
      </c>
      <c r="B27" s="334">
        <v>737</v>
      </c>
    </row>
    <row r="28" spans="1:6" s="356" customFormat="1">
      <c r="A28" s="355" t="s">
        <v>18</v>
      </c>
      <c r="B28" s="355">
        <v>73099</v>
      </c>
    </row>
    <row r="29" spans="1:6">
      <c r="A29" s="355" t="s">
        <v>744</v>
      </c>
      <c r="B29" s="355">
        <v>168</v>
      </c>
      <c r="C29" s="356"/>
      <c r="D29" s="356"/>
      <c r="E29" s="356"/>
      <c r="F29" s="356"/>
    </row>
    <row r="30" spans="1:6">
      <c r="A30" s="341" t="s">
        <v>745</v>
      </c>
      <c r="B30" s="341">
        <v>76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470</v>
      </c>
      <c r="D39" s="334">
        <v>7815750.3700004797</v>
      </c>
      <c r="E39" s="334">
        <v>2161</v>
      </c>
      <c r="F39" s="334">
        <v>10030274.0632015</v>
      </c>
    </row>
    <row r="40" spans="1:6">
      <c r="A40" s="348" t="s">
        <v>30</v>
      </c>
      <c r="B40" s="348" t="s">
        <v>29</v>
      </c>
      <c r="C40" s="334">
        <v>0</v>
      </c>
      <c r="D40" s="334">
        <v>0</v>
      </c>
      <c r="E40" s="334">
        <v>0</v>
      </c>
      <c r="F40" s="334">
        <v>0</v>
      </c>
    </row>
    <row r="41" spans="1:6">
      <c r="A41" s="348" t="s">
        <v>32</v>
      </c>
      <c r="B41" s="348" t="s">
        <v>33</v>
      </c>
      <c r="C41" s="334">
        <v>0</v>
      </c>
      <c r="D41" s="334">
        <v>0</v>
      </c>
      <c r="E41" s="334">
        <v>34</v>
      </c>
      <c r="F41" s="334">
        <v>188148.50312346499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213402.95236566401</v>
      </c>
      <c r="E48" s="334">
        <v>56</v>
      </c>
      <c r="F48" s="334">
        <v>767695.340258162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97</v>
      </c>
      <c r="F51" s="334">
        <v>1413164.4537235701</v>
      </c>
    </row>
    <row r="52" spans="1:6">
      <c r="A52" s="348" t="s">
        <v>42</v>
      </c>
      <c r="B52" s="348" t="s">
        <v>29</v>
      </c>
      <c r="C52" s="334">
        <v>3</v>
      </c>
      <c r="D52" s="334">
        <v>53296.901956130198</v>
      </c>
      <c r="E52" s="334">
        <v>20</v>
      </c>
      <c r="F52" s="334">
        <v>241078.04585305401</v>
      </c>
    </row>
    <row r="53" spans="1:6">
      <c r="A53" s="348" t="s">
        <v>44</v>
      </c>
      <c r="B53" s="348" t="s">
        <v>45</v>
      </c>
      <c r="C53" s="334">
        <v>18</v>
      </c>
      <c r="D53" s="334">
        <v>358778.41851893498</v>
      </c>
      <c r="E53" s="334">
        <v>97</v>
      </c>
      <c r="F53" s="334">
        <v>538426.80117265496</v>
      </c>
    </row>
    <row r="54" spans="1:6">
      <c r="A54" s="348" t="s">
        <v>46</v>
      </c>
      <c r="B54" s="348" t="s">
        <v>47</v>
      </c>
      <c r="C54" s="334">
        <v>0</v>
      </c>
      <c r="D54" s="334">
        <v>0</v>
      </c>
      <c r="E54" s="334">
        <v>1</v>
      </c>
      <c r="F54" s="334">
        <v>416131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17</v>
      </c>
      <c r="F57" s="334">
        <v>194697.97077919499</v>
      </c>
    </row>
    <row r="58" spans="1:6">
      <c r="A58" s="348" t="s">
        <v>49</v>
      </c>
      <c r="B58" s="348" t="s">
        <v>51</v>
      </c>
      <c r="C58" s="334">
        <v>0</v>
      </c>
      <c r="D58" s="334">
        <v>0</v>
      </c>
      <c r="E58" s="334">
        <v>8</v>
      </c>
      <c r="F58" s="334">
        <v>210980.81197641799</v>
      </c>
    </row>
    <row r="59" spans="1:6">
      <c r="A59" s="348" t="s">
        <v>49</v>
      </c>
      <c r="B59" s="348" t="s">
        <v>52</v>
      </c>
      <c r="C59" s="334">
        <v>0</v>
      </c>
      <c r="D59" s="334">
        <v>0</v>
      </c>
      <c r="E59" s="334">
        <v>19</v>
      </c>
      <c r="F59" s="334">
        <v>361879.36731138401</v>
      </c>
    </row>
    <row r="60" spans="1:6">
      <c r="A60" s="348" t="s">
        <v>49</v>
      </c>
      <c r="B60" s="348" t="s">
        <v>53</v>
      </c>
      <c r="C60" s="334">
        <v>4</v>
      </c>
      <c r="D60" s="334">
        <v>84660.630408443205</v>
      </c>
      <c r="E60" s="334">
        <v>16</v>
      </c>
      <c r="F60" s="334">
        <v>369716.03487321502</v>
      </c>
    </row>
    <row r="61" spans="1:6">
      <c r="A61" s="348" t="s">
        <v>49</v>
      </c>
      <c r="B61" s="348" t="s">
        <v>54</v>
      </c>
      <c r="C61" s="334">
        <v>9</v>
      </c>
      <c r="D61" s="334">
        <v>700899.324484632</v>
      </c>
      <c r="E61" s="334">
        <v>71</v>
      </c>
      <c r="F61" s="334">
        <v>732276.56426414801</v>
      </c>
    </row>
    <row r="62" spans="1:6">
      <c r="A62" s="348" t="s">
        <v>49</v>
      </c>
      <c r="B62" s="348" t="s">
        <v>55</v>
      </c>
      <c r="C62" s="334">
        <v>3</v>
      </c>
      <c r="D62" s="334">
        <v>157222.431735672</v>
      </c>
      <c r="E62" s="334">
        <v>4</v>
      </c>
      <c r="F62" s="334">
        <v>51417.923702369997</v>
      </c>
    </row>
    <row r="63" spans="1:6">
      <c r="A63" s="348" t="s">
        <v>49</v>
      </c>
      <c r="B63" s="348" t="s">
        <v>29</v>
      </c>
      <c r="C63" s="334">
        <v>51</v>
      </c>
      <c r="D63" s="334">
        <v>2733249.9849676602</v>
      </c>
      <c r="E63" s="334">
        <v>168</v>
      </c>
      <c r="F63" s="334">
        <v>2980351.6725769201</v>
      </c>
    </row>
    <row r="64" spans="1:6">
      <c r="A64" s="348" t="s">
        <v>56</v>
      </c>
      <c r="B64" s="348" t="s">
        <v>57</v>
      </c>
      <c r="C64" s="334">
        <v>0</v>
      </c>
      <c r="D64" s="334">
        <v>0</v>
      </c>
      <c r="E64" s="334">
        <v>0</v>
      </c>
      <c r="F64" s="334">
        <v>0</v>
      </c>
    </row>
    <row r="65" spans="1:6">
      <c r="A65" s="348" t="s">
        <v>56</v>
      </c>
      <c r="B65" s="348" t="s">
        <v>29</v>
      </c>
      <c r="C65" s="334">
        <v>1</v>
      </c>
      <c r="D65" s="334">
        <v>7455.3481969422</v>
      </c>
      <c r="E65" s="334">
        <v>3</v>
      </c>
      <c r="F65" s="334">
        <v>8866.0908653614006</v>
      </c>
    </row>
    <row r="66" spans="1:6">
      <c r="A66" s="348" t="s">
        <v>56</v>
      </c>
      <c r="B66" s="348" t="s">
        <v>58</v>
      </c>
      <c r="C66" s="334">
        <v>0</v>
      </c>
      <c r="D66" s="334">
        <v>0</v>
      </c>
      <c r="E66" s="334">
        <v>4</v>
      </c>
      <c r="F66" s="334">
        <v>17025.532685399099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39286563</v>
      </c>
      <c r="E73" s="475">
        <v>41817441.580268651</v>
      </c>
    </row>
    <row r="74" spans="1:6">
      <c r="A74" s="348" t="s">
        <v>64</v>
      </c>
      <c r="B74" s="348" t="s">
        <v>657</v>
      </c>
      <c r="C74" s="1295" t="s">
        <v>659</v>
      </c>
      <c r="D74" s="475">
        <v>4670299.5</v>
      </c>
      <c r="E74" s="475">
        <v>4772044.2390246438</v>
      </c>
    </row>
    <row r="75" spans="1:6">
      <c r="A75" s="348" t="s">
        <v>65</v>
      </c>
      <c r="B75" s="348" t="s">
        <v>656</v>
      </c>
      <c r="C75" s="1295" t="s">
        <v>660</v>
      </c>
      <c r="D75" s="475">
        <v>13978072</v>
      </c>
      <c r="E75" s="475">
        <v>14786424.255088825</v>
      </c>
    </row>
    <row r="76" spans="1:6">
      <c r="A76" s="348" t="s">
        <v>65</v>
      </c>
      <c r="B76" s="348" t="s">
        <v>657</v>
      </c>
      <c r="C76" s="1295" t="s">
        <v>661</v>
      </c>
      <c r="D76" s="475">
        <v>840659.5</v>
      </c>
      <c r="E76" s="475">
        <v>860394.91557735344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210527</v>
      </c>
      <c r="C83" s="475">
        <v>209718.37229449878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1384.9504141924861</v>
      </c>
    </row>
    <row r="92" spans="1:6">
      <c r="A92" s="341" t="s">
        <v>69</v>
      </c>
      <c r="B92" s="342">
        <v>81.829677092018173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19902.143450908348</v>
      </c>
      <c r="C3" s="43" t="s">
        <v>170</v>
      </c>
      <c r="D3" s="43"/>
      <c r="E3" s="154"/>
      <c r="F3" s="43"/>
      <c r="G3" s="43"/>
      <c r="H3" s="43"/>
      <c r="I3" s="43"/>
      <c r="J3" s="43"/>
      <c r="K3" s="96"/>
    </row>
    <row r="4" spans="1:11">
      <c r="A4" s="383" t="s">
        <v>171</v>
      </c>
      <c r="B4" s="49">
        <f>IF(ISERROR('SEAP template'!B78+'SEAP template'!C78),0,'SEAP template'!B78+'SEAP template'!C78)</f>
        <v>1466.7800912845041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0.20471238751376397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416.13099999999997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416.13099999999997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0.20471238751376397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85.187170528490114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10030.274063201499</v>
      </c>
      <c r="C5" s="17">
        <f>IF(ISERROR('Eigen informatie GS &amp; warmtenet'!B57),0,'Eigen informatie GS &amp; warmtenet'!B57)</f>
        <v>0</v>
      </c>
      <c r="D5" s="30">
        <f>(SUM(HH_hh_gas_kWh,HH_rest_gas_kWh)/1000)*0.902</f>
        <v>7049.8068337404329</v>
      </c>
      <c r="E5" s="17">
        <f>B46*B57</f>
        <v>2858.5871954413374</v>
      </c>
      <c r="F5" s="17">
        <f>B51*B62</f>
        <v>32217.972725338961</v>
      </c>
      <c r="G5" s="18"/>
      <c r="H5" s="17"/>
      <c r="I5" s="17"/>
      <c r="J5" s="17">
        <f>B50*B61+C50*C61</f>
        <v>3790.4851490108022</v>
      </c>
      <c r="K5" s="17"/>
      <c r="L5" s="17"/>
      <c r="M5" s="17"/>
      <c r="N5" s="17">
        <f>B48*B59+C48*C59</f>
        <v>10384.233713914487</v>
      </c>
      <c r="O5" s="17">
        <f>B69*B70*B71</f>
        <v>164.15</v>
      </c>
      <c r="P5" s="17">
        <f>B77*B78*B79/1000-B77*B78*B79/1000/B80</f>
        <v>533.86666666666667</v>
      </c>
    </row>
    <row r="6" spans="1:16">
      <c r="A6" s="16" t="s">
        <v>621</v>
      </c>
      <c r="B6" s="788">
        <f>kWh_PV_kleiner_dan_10kW</f>
        <v>1384.9504141924861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11415.224477393986</v>
      </c>
      <c r="C8" s="21">
        <f>C5</f>
        <v>0</v>
      </c>
      <c r="D8" s="21">
        <f>D5</f>
        <v>7049.8068337404329</v>
      </c>
      <c r="E8" s="21">
        <f>E5</f>
        <v>2858.5871954413374</v>
      </c>
      <c r="F8" s="21">
        <f>F5</f>
        <v>32217.972725338961</v>
      </c>
      <c r="G8" s="21"/>
      <c r="H8" s="21"/>
      <c r="I8" s="21"/>
      <c r="J8" s="21">
        <f>J5</f>
        <v>3790.4851490108022</v>
      </c>
      <c r="K8" s="21"/>
      <c r="L8" s="21">
        <f>L5</f>
        <v>0</v>
      </c>
      <c r="M8" s="21">
        <f>M5</f>
        <v>0</v>
      </c>
      <c r="N8" s="21">
        <f>N5</f>
        <v>10384.233713914487</v>
      </c>
      <c r="O8" s="21">
        <f>O5</f>
        <v>164.15</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0.20471238751376397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2336.8378567728814</v>
      </c>
      <c r="C12" s="23">
        <f ca="1">C10*C8</f>
        <v>0</v>
      </c>
      <c r="D12" s="23">
        <f>D8*D10</f>
        <v>1424.0609804155674</v>
      </c>
      <c r="E12" s="23">
        <f>E10*E8</f>
        <v>648.89929336518355</v>
      </c>
      <c r="F12" s="23">
        <f>F10*F8</f>
        <v>8602.1987176655039</v>
      </c>
      <c r="G12" s="23"/>
      <c r="H12" s="23"/>
      <c r="I12" s="23"/>
      <c r="J12" s="23">
        <f>J10*J8</f>
        <v>1341.8317427498239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2393</v>
      </c>
      <c r="C28" s="36"/>
      <c r="D28" s="228"/>
    </row>
    <row r="29" spans="1:7" s="15" customFormat="1">
      <c r="A29" s="230" t="s">
        <v>794</v>
      </c>
      <c r="B29" s="37">
        <f>SUM(HH_hh_gas_aantal,HH_rest_gas_aantal)</f>
        <v>470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470</v>
      </c>
      <c r="C32" s="167">
        <f>IF(ISERROR(B32/SUM($B$32,$B$34,$B$35,$B$36,$B$38,$B$39)*100),0,B32/SUM($B$32,$B$34,$B$35,$B$36,$B$38,$B$39)*100)</f>
        <v>19.873150105708245</v>
      </c>
      <c r="D32" s="233"/>
      <c r="G32" s="15"/>
    </row>
    <row r="33" spans="1:7">
      <c r="A33" s="171" t="s">
        <v>72</v>
      </c>
      <c r="B33" s="34" t="s">
        <v>111</v>
      </c>
      <c r="C33" s="167"/>
      <c r="D33" s="233"/>
      <c r="G33" s="15"/>
    </row>
    <row r="34" spans="1:7">
      <c r="A34" s="171" t="s">
        <v>73</v>
      </c>
      <c r="B34" s="33">
        <f>IF((($B$28-$B$32-$B$39-$B$77-$B$38)*C20/100)&lt;0,0,($B$28-$B$32-$B$39-$B$77-$B$38)*C20/100)</f>
        <v>135.00819672131146</v>
      </c>
      <c r="C34" s="167">
        <f>IF(ISERROR(B34/SUM($B$32,$B$34,$B$35,$B$36,$B$38,$B$39)*100),0,B34/SUM($B$32,$B$34,$B$35,$B$36,$B$38,$B$39)*100)</f>
        <v>5.708591827539597</v>
      </c>
      <c r="D34" s="233"/>
      <c r="G34" s="15"/>
    </row>
    <row r="35" spans="1:7">
      <c r="A35" s="171" t="s">
        <v>74</v>
      </c>
      <c r="B35" s="33">
        <f>IF((($B$28-$B$32-$B$39-$B$77-$B$38)*C21/100)&lt;0,0,($B$28-$B$32-$B$39-$B$77-$B$38)*C21/100)</f>
        <v>264.08196721311475</v>
      </c>
      <c r="C35" s="167">
        <f>IF(ISERROR(B35/SUM($B$32,$B$34,$B$35,$B$36,$B$38,$B$39)*100),0,B35/SUM($B$32,$B$34,$B$35,$B$36,$B$38,$B$39)*100)</f>
        <v>11.166256541780751</v>
      </c>
      <c r="D35" s="233"/>
      <c r="G35" s="15"/>
    </row>
    <row r="36" spans="1:7">
      <c r="A36" s="171" t="s">
        <v>75</v>
      </c>
      <c r="B36" s="33">
        <f>IF((($B$28-$B$32-$B$39-$B$77-$B$38)*C22/100)&lt;0,0,($B$28-$B$32-$B$39-$B$77-$B$38)*C22/100)</f>
        <v>143.90983606557378</v>
      </c>
      <c r="C36" s="167">
        <f>IF(ISERROR(B36/SUM($B$32,$B$34,$B$35,$B$36,$B$38,$B$39)*100),0,B36/SUM($B$32,$B$34,$B$35,$B$36,$B$38,$B$39)*100)</f>
        <v>6.0849824974872639</v>
      </c>
      <c r="D36" s="233"/>
      <c r="G36" s="15"/>
    </row>
    <row r="37" spans="1:7">
      <c r="A37" s="171" t="s">
        <v>76</v>
      </c>
      <c r="B37" s="34" t="s">
        <v>111</v>
      </c>
      <c r="C37" s="167"/>
      <c r="D37" s="173"/>
      <c r="G37" s="15"/>
    </row>
    <row r="38" spans="1:7">
      <c r="A38" s="171" t="s">
        <v>77</v>
      </c>
      <c r="B38" s="33">
        <f>IF((B24-(B29-B18)*0.1)&lt;0,0,B24-(B29-B18)*0.1)</f>
        <v>107.5</v>
      </c>
      <c r="C38" s="167">
        <f>IF(ISERROR(B38/SUM($B$32,$B$34,$B$35,$B$36,$B$38,$B$39)*100),0,B38/SUM($B$32,$B$34,$B$35,$B$36,$B$38,$B$39)*100)</f>
        <v>4.5454545454545459</v>
      </c>
      <c r="D38" s="234"/>
      <c r="G38" s="15"/>
    </row>
    <row r="39" spans="1:7">
      <c r="A39" s="171" t="s">
        <v>78</v>
      </c>
      <c r="B39" s="33">
        <f>IF((B25-(B29-B18))&lt;0,0,B25-(B29-B18)*0.9)</f>
        <v>1244.5</v>
      </c>
      <c r="C39" s="167">
        <f>IF(ISERROR(B39/SUM($B$32,$B$34,$B$35,$B$36,$B$38,$B$39)*100),0,B39/SUM($B$32,$B$34,$B$35,$B$36,$B$38,$B$39)*100)</f>
        <v>52.621564482029605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470</v>
      </c>
      <c r="C44" s="34" t="s">
        <v>111</v>
      </c>
      <c r="D44" s="174"/>
    </row>
    <row r="45" spans="1:7">
      <c r="A45" s="171" t="s">
        <v>72</v>
      </c>
      <c r="B45" s="33" t="str">
        <f t="shared" si="0"/>
        <v>-</v>
      </c>
      <c r="C45" s="34" t="s">
        <v>111</v>
      </c>
      <c r="D45" s="174"/>
    </row>
    <row r="46" spans="1:7">
      <c r="A46" s="171" t="s">
        <v>73</v>
      </c>
      <c r="B46" s="33">
        <f t="shared" si="0"/>
        <v>135.00819672131146</v>
      </c>
      <c r="C46" s="34" t="s">
        <v>111</v>
      </c>
      <c r="D46" s="174"/>
    </row>
    <row r="47" spans="1:7">
      <c r="A47" s="171" t="s">
        <v>74</v>
      </c>
      <c r="B47" s="33">
        <f t="shared" si="0"/>
        <v>264.08196721311475</v>
      </c>
      <c r="C47" s="34" t="s">
        <v>111</v>
      </c>
      <c r="D47" s="174"/>
    </row>
    <row r="48" spans="1:7">
      <c r="A48" s="171" t="s">
        <v>75</v>
      </c>
      <c r="B48" s="33">
        <f t="shared" si="0"/>
        <v>143.90983606557378</v>
      </c>
      <c r="C48" s="33">
        <f>B48*10</f>
        <v>1439.0983606557379</v>
      </c>
      <c r="D48" s="234"/>
    </row>
    <row r="49" spans="1:6">
      <c r="A49" s="171" t="s">
        <v>76</v>
      </c>
      <c r="B49" s="33" t="str">
        <f t="shared" si="0"/>
        <v>-</v>
      </c>
      <c r="C49" s="34" t="s">
        <v>111</v>
      </c>
      <c r="D49" s="234"/>
    </row>
    <row r="50" spans="1:6">
      <c r="A50" s="171" t="s">
        <v>77</v>
      </c>
      <c r="B50" s="33">
        <f t="shared" si="0"/>
        <v>107.5</v>
      </c>
      <c r="C50" s="33">
        <f>B50*2</f>
        <v>215</v>
      </c>
      <c r="D50" s="234"/>
    </row>
    <row r="51" spans="1:6">
      <c r="A51" s="171" t="s">
        <v>78</v>
      </c>
      <c r="B51" s="33">
        <f t="shared" si="0"/>
        <v>1244.5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4901.3203454836494</v>
      </c>
      <c r="C5" s="17">
        <f>IF(ISERROR('Eigen informatie GS &amp; warmtenet'!B58),0,'Eigen informatie GS &amp; warmtenet'!B58)</f>
        <v>0</v>
      </c>
      <c r="D5" s="30">
        <f>SUM(D6:D12)</f>
        <v>3315.7811991799595</v>
      </c>
      <c r="E5" s="17">
        <f>SUM(E6:E12)</f>
        <v>56.455232393995075</v>
      </c>
      <c r="F5" s="17">
        <f>SUM(F6:F12)</f>
        <v>833.22971914255902</v>
      </c>
      <c r="G5" s="18"/>
      <c r="H5" s="17"/>
      <c r="I5" s="17"/>
      <c r="J5" s="17">
        <f>SUM(J6:J12)</f>
        <v>1.1443126539488218E-2</v>
      </c>
      <c r="K5" s="17"/>
      <c r="L5" s="17"/>
      <c r="M5" s="17"/>
      <c r="N5" s="17">
        <f>SUM(N6:N12)</f>
        <v>458.63820685631373</v>
      </c>
      <c r="O5" s="17">
        <f>B38*B39*B40</f>
        <v>1.5633333333333335</v>
      </c>
      <c r="P5" s="17">
        <f>B46*B47*B48/1000-B46*B47*B48/1000/B49</f>
        <v>19.066666666666666</v>
      </c>
      <c r="R5" s="32"/>
    </row>
    <row r="6" spans="1:18">
      <c r="A6" s="32" t="s">
        <v>54</v>
      </c>
      <c r="B6" s="37">
        <f>B26</f>
        <v>732.27656426414796</v>
      </c>
      <c r="C6" s="33"/>
      <c r="D6" s="37">
        <f>IF(ISERROR(TER_kantoor_gas_kWh/1000),0,TER_kantoor_gas_kWh/1000)*0.902</f>
        <v>632.21119068513804</v>
      </c>
      <c r="E6" s="33">
        <f>$C$26*'E Balans VL '!I12/100/3.6*1000000</f>
        <v>4.5896659534379793E-3</v>
      </c>
      <c r="F6" s="33">
        <f>$C$26*('E Balans VL '!L12+'E Balans VL '!N12)/100/3.6*1000000</f>
        <v>110.04070585018094</v>
      </c>
      <c r="G6" s="34"/>
      <c r="H6" s="33"/>
      <c r="I6" s="33"/>
      <c r="J6" s="33">
        <f>$C$26*('E Balans VL '!D12+'E Balans VL '!E12)/100/3.6*1000000</f>
        <v>0</v>
      </c>
      <c r="K6" s="33"/>
      <c r="L6" s="33"/>
      <c r="M6" s="33"/>
      <c r="N6" s="33">
        <f>$C$26*'E Balans VL '!Y12/100/3.6*1000000</f>
        <v>0.70031396180287087</v>
      </c>
      <c r="O6" s="33"/>
      <c r="P6" s="33"/>
      <c r="R6" s="32"/>
    </row>
    <row r="7" spans="1:18">
      <c r="A7" s="32" t="s">
        <v>53</v>
      </c>
      <c r="B7" s="37">
        <f t="shared" ref="B7:B12" si="0">B27</f>
        <v>369.71603487321499</v>
      </c>
      <c r="C7" s="33"/>
      <c r="D7" s="37">
        <f>IF(ISERROR(TER_horeca_gas_kWh/1000),0,TER_horeca_gas_kWh/1000)*0.902</f>
        <v>76.363888628415779</v>
      </c>
      <c r="E7" s="33">
        <f>$C$27*'E Balans VL '!I9/100/3.6*1000000</f>
        <v>5.2942720364490956</v>
      </c>
      <c r="F7" s="33">
        <f>$C$27*('E Balans VL '!L9+'E Balans VL '!N9)/100/3.6*1000000</f>
        <v>46.818243719552143</v>
      </c>
      <c r="G7" s="34"/>
      <c r="H7" s="33"/>
      <c r="I7" s="33"/>
      <c r="J7" s="33">
        <f>$C$27*('E Balans VL '!D9+'E Balans VL '!E9)/100/3.6*1000000</f>
        <v>0</v>
      </c>
      <c r="K7" s="33"/>
      <c r="L7" s="33"/>
      <c r="M7" s="33"/>
      <c r="N7" s="33">
        <f>$C$27*'E Balans VL '!Y9/100/3.6*1000000</f>
        <v>0.10628520848720571</v>
      </c>
      <c r="O7" s="33"/>
      <c r="P7" s="33"/>
      <c r="R7" s="32"/>
    </row>
    <row r="8" spans="1:18">
      <c r="A8" s="6" t="s">
        <v>52</v>
      </c>
      <c r="B8" s="37">
        <f t="shared" si="0"/>
        <v>361.87936731138399</v>
      </c>
      <c r="C8" s="33"/>
      <c r="D8" s="37">
        <f>IF(ISERROR(TER_handel_gas_kWh/1000),0,TER_handel_gas_kWh/1000)*0.902</f>
        <v>0</v>
      </c>
      <c r="E8" s="33">
        <f>$C$28*'E Balans VL '!I13/100/3.6*1000000</f>
        <v>13.125320027419585</v>
      </c>
      <c r="F8" s="33">
        <f>$C$28*('E Balans VL '!L13+'E Balans VL '!N13)/100/3.6*1000000</f>
        <v>69.701630405733056</v>
      </c>
      <c r="G8" s="34"/>
      <c r="H8" s="33"/>
      <c r="I8" s="33"/>
      <c r="J8" s="33">
        <f>$C$28*('E Balans VL '!D13+'E Balans VL '!E13)/100/3.6*1000000</f>
        <v>0</v>
      </c>
      <c r="K8" s="33"/>
      <c r="L8" s="33"/>
      <c r="M8" s="33"/>
      <c r="N8" s="33">
        <f>$C$28*'E Balans VL '!Y13/100/3.6*1000000</f>
        <v>0.50128618845518957</v>
      </c>
      <c r="O8" s="33"/>
      <c r="P8" s="33"/>
      <c r="R8" s="32"/>
    </row>
    <row r="9" spans="1:18">
      <c r="A9" s="32" t="s">
        <v>51</v>
      </c>
      <c r="B9" s="37">
        <f t="shared" si="0"/>
        <v>210.98081197641798</v>
      </c>
      <c r="C9" s="33"/>
      <c r="D9" s="37">
        <f>IF(ISERROR(TER_gezond_gas_kWh/1000),0,TER_gezond_gas_kWh/1000)*0.902</f>
        <v>0</v>
      </c>
      <c r="E9" s="33">
        <f>$C$29*'E Balans VL '!I10/100/3.6*1000000</f>
        <v>1.3209481888915629E-2</v>
      </c>
      <c r="F9" s="33">
        <f>$C$29*('E Balans VL '!L10+'E Balans VL '!N10)/100/3.6*1000000</f>
        <v>31.341841994492761</v>
      </c>
      <c r="G9" s="34"/>
      <c r="H9" s="33"/>
      <c r="I9" s="33"/>
      <c r="J9" s="33">
        <f>$C$29*('E Balans VL '!D10+'E Balans VL '!E10)/100/3.6*1000000</f>
        <v>0</v>
      </c>
      <c r="K9" s="33"/>
      <c r="L9" s="33"/>
      <c r="M9" s="33"/>
      <c r="N9" s="33">
        <f>$C$29*'E Balans VL '!Y10/100/3.6*1000000</f>
        <v>3.2634715575593916</v>
      </c>
      <c r="O9" s="33"/>
      <c r="P9" s="33"/>
      <c r="R9" s="32"/>
    </row>
    <row r="10" spans="1:18">
      <c r="A10" s="32" t="s">
        <v>50</v>
      </c>
      <c r="B10" s="37">
        <f t="shared" si="0"/>
        <v>194.697970779195</v>
      </c>
      <c r="C10" s="33"/>
      <c r="D10" s="37">
        <f>IF(ISERROR(TER_ander_gas_kWh/1000),0,TER_ander_gas_kWh/1000)*0.902</f>
        <v>0</v>
      </c>
      <c r="E10" s="33">
        <f>$C$30*'E Balans VL '!I14/100/3.6*1000000</f>
        <v>0.23207302383890696</v>
      </c>
      <c r="F10" s="33">
        <f>$C$30*('E Balans VL '!L14+'E Balans VL '!N14)/100/3.6*1000000</f>
        <v>50.941644747780856</v>
      </c>
      <c r="G10" s="34"/>
      <c r="H10" s="33"/>
      <c r="I10" s="33"/>
      <c r="J10" s="33">
        <f>$C$30*('E Balans VL '!D14+'E Balans VL '!E14)/100/3.6*1000000</f>
        <v>4.2261297506441765E-3</v>
      </c>
      <c r="K10" s="33"/>
      <c r="L10" s="33"/>
      <c r="M10" s="33"/>
      <c r="N10" s="33">
        <f>$C$30*'E Balans VL '!Y14/100/3.6*1000000</f>
        <v>165.3327525934082</v>
      </c>
      <c r="O10" s="33"/>
      <c r="P10" s="33"/>
      <c r="R10" s="32"/>
    </row>
    <row r="11" spans="1:18">
      <c r="A11" s="32" t="s">
        <v>55</v>
      </c>
      <c r="B11" s="37">
        <f t="shared" si="0"/>
        <v>51.417923702369997</v>
      </c>
      <c r="C11" s="33"/>
      <c r="D11" s="37">
        <f>IF(ISERROR(TER_onderwijs_gas_kWh/1000),0,TER_onderwijs_gas_kWh/1000)*0.902</f>
        <v>141.81463342557615</v>
      </c>
      <c r="E11" s="33">
        <f>$C$31*'E Balans VL '!I11/100/3.6*1000000</f>
        <v>0.77581365222765031</v>
      </c>
      <c r="F11" s="33">
        <f>$C$31*('E Balans VL '!L11+'E Balans VL '!N11)/100/3.6*1000000</f>
        <v>9.0092416584235089</v>
      </c>
      <c r="G11" s="34"/>
      <c r="H11" s="33"/>
      <c r="I11" s="33"/>
      <c r="J11" s="33">
        <f>$C$31*('E Balans VL '!D11+'E Balans VL '!E11)/100/3.6*1000000</f>
        <v>0</v>
      </c>
      <c r="K11" s="33"/>
      <c r="L11" s="33"/>
      <c r="M11" s="33"/>
      <c r="N11" s="33">
        <f>$C$31*'E Balans VL '!Y11/100/3.6*1000000</f>
        <v>0.14469394623788873</v>
      </c>
      <c r="O11" s="33"/>
      <c r="P11" s="33"/>
      <c r="R11" s="32"/>
    </row>
    <row r="12" spans="1:18">
      <c r="A12" s="32" t="s">
        <v>260</v>
      </c>
      <c r="B12" s="37">
        <f t="shared" si="0"/>
        <v>2980.35167257692</v>
      </c>
      <c r="C12" s="33"/>
      <c r="D12" s="37">
        <f>IF(ISERROR(TER_rest_gas_kWh/1000),0,TER_rest_gas_kWh/1000)*0.902</f>
        <v>2465.3914864408293</v>
      </c>
      <c r="E12" s="33">
        <f>$C$32*'E Balans VL '!I8/100/3.6*1000000</f>
        <v>37.009954506217483</v>
      </c>
      <c r="F12" s="33">
        <f>$C$32*('E Balans VL '!L8+'E Balans VL '!N8)/100/3.6*1000000</f>
        <v>515.37641076639579</v>
      </c>
      <c r="G12" s="34"/>
      <c r="H12" s="33"/>
      <c r="I12" s="33"/>
      <c r="J12" s="33">
        <f>$C$32*('E Balans VL '!D8+'E Balans VL '!E8)/100/3.6*1000000</f>
        <v>7.2169967888440411E-3</v>
      </c>
      <c r="K12" s="33"/>
      <c r="L12" s="33"/>
      <c r="M12" s="33"/>
      <c r="N12" s="33">
        <f>$C$32*'E Balans VL '!Y8/100/3.6*1000000</f>
        <v>288.58940340036298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4901.3203454836494</v>
      </c>
      <c r="C16" s="21">
        <f t="shared" ca="1" si="1"/>
        <v>0</v>
      </c>
      <c r="D16" s="21">
        <f t="shared" ca="1" si="1"/>
        <v>3315.7811991799595</v>
      </c>
      <c r="E16" s="21">
        <f t="shared" si="1"/>
        <v>56.455232393995075</v>
      </c>
      <c r="F16" s="21">
        <f t="shared" ca="1" si="1"/>
        <v>833.22971914255902</v>
      </c>
      <c r="G16" s="21">
        <f t="shared" si="1"/>
        <v>0</v>
      </c>
      <c r="H16" s="21">
        <f t="shared" si="1"/>
        <v>0</v>
      </c>
      <c r="I16" s="21">
        <f t="shared" si="1"/>
        <v>0</v>
      </c>
      <c r="J16" s="21">
        <f t="shared" si="1"/>
        <v>1.1443126539488218E-2</v>
      </c>
      <c r="K16" s="21">
        <f t="shared" si="1"/>
        <v>0</v>
      </c>
      <c r="L16" s="21">
        <f t="shared" ca="1" si="1"/>
        <v>0</v>
      </c>
      <c r="M16" s="21">
        <f t="shared" si="1"/>
        <v>0</v>
      </c>
      <c r="N16" s="21">
        <f t="shared" ca="1" si="1"/>
        <v>458.63820685631373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0.20471238751376397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1003.3609898937443</v>
      </c>
      <c r="C20" s="23">
        <f t="shared" ref="C20:P20" ca="1" si="2">C16*C18</f>
        <v>0</v>
      </c>
      <c r="D20" s="23">
        <f t="shared" ca="1" si="2"/>
        <v>669.78780223435183</v>
      </c>
      <c r="E20" s="23">
        <f t="shared" si="2"/>
        <v>12.815337753436882</v>
      </c>
      <c r="F20" s="23">
        <f t="shared" ca="1" si="2"/>
        <v>222.47233501106328</v>
      </c>
      <c r="G20" s="23">
        <f t="shared" si="2"/>
        <v>0</v>
      </c>
      <c r="H20" s="23">
        <f t="shared" si="2"/>
        <v>0</v>
      </c>
      <c r="I20" s="23">
        <f t="shared" si="2"/>
        <v>0</v>
      </c>
      <c r="J20" s="23">
        <f t="shared" si="2"/>
        <v>4.0508667949788286E-3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732.27656426414796</v>
      </c>
      <c r="C26" s="39">
        <f>IF(ISERROR(B26*3.6/1000000/'E Balans VL '!Z12*100),0,B26*3.6/1000000/'E Balans VL '!Z12*100)</f>
        <v>1.5479166548765612E-2</v>
      </c>
      <c r="D26" s="237" t="s">
        <v>754</v>
      </c>
      <c r="F26" s="6"/>
    </row>
    <row r="27" spans="1:18">
      <c r="A27" s="231" t="s">
        <v>53</v>
      </c>
      <c r="B27" s="33">
        <f>IF(ISERROR(TER_horeca_ele_kWh/1000),0,TER_horeca_ele_kWh/1000)</f>
        <v>369.71603487321499</v>
      </c>
      <c r="C27" s="39">
        <f>IF(ISERROR(B27*3.6/1000000/'E Balans VL '!Z9*100),0,B27*3.6/1000000/'E Balans VL '!Z9*100)</f>
        <v>2.9144577228854385E-2</v>
      </c>
      <c r="D27" s="237" t="s">
        <v>754</v>
      </c>
      <c r="F27" s="6"/>
    </row>
    <row r="28" spans="1:18">
      <c r="A28" s="171" t="s">
        <v>52</v>
      </c>
      <c r="B28" s="33">
        <f>IF(ISERROR(TER_handel_ele_kWh/1000),0,TER_handel_ele_kWh/1000)</f>
        <v>361.87936731138399</v>
      </c>
      <c r="C28" s="39">
        <f>IF(ISERROR(B28*3.6/1000000/'E Balans VL '!Z13*100),0,B28*3.6/1000000/'E Balans VL '!Z13*100)</f>
        <v>1.0503201395863861E-2</v>
      </c>
      <c r="D28" s="237" t="s">
        <v>754</v>
      </c>
      <c r="F28" s="6"/>
    </row>
    <row r="29" spans="1:18">
      <c r="A29" s="231" t="s">
        <v>51</v>
      </c>
      <c r="B29" s="33">
        <f>IF(ISERROR(TER_gezond_ele_kWh/1000),0,TER_gezond_ele_kWh/1000)</f>
        <v>210.98081197641798</v>
      </c>
      <c r="C29" s="39">
        <f>IF(ISERROR(B29*3.6/1000000/'E Balans VL '!Z10*100),0,B29*3.6/1000000/'E Balans VL '!Z10*100)</f>
        <v>2.221974389749614E-2</v>
      </c>
      <c r="D29" s="237" t="s">
        <v>754</v>
      </c>
      <c r="F29" s="6"/>
    </row>
    <row r="30" spans="1:18">
      <c r="A30" s="231" t="s">
        <v>50</v>
      </c>
      <c r="B30" s="33">
        <f>IF(ISERROR(TER_ander_ele_kWh/1000),0,TER_ander_ele_kWh/1000)</f>
        <v>194.697970779195</v>
      </c>
      <c r="C30" s="39">
        <f>IF(ISERROR(B30*3.6/1000000/'E Balans VL '!Z14*100),0,B30*3.6/1000000/'E Balans VL '!Z14*100)</f>
        <v>1.4360964612862319E-2</v>
      </c>
      <c r="D30" s="237" t="s">
        <v>754</v>
      </c>
      <c r="F30" s="6"/>
    </row>
    <row r="31" spans="1:18">
      <c r="A31" s="231" t="s">
        <v>55</v>
      </c>
      <c r="B31" s="33">
        <f>IF(ISERROR(TER_onderwijs_ele_kWh/1000),0,TER_onderwijs_ele_kWh/1000)</f>
        <v>51.417923702369997</v>
      </c>
      <c r="C31" s="39">
        <f>IF(ISERROR(B31*3.6/1000000/'E Balans VL '!Z11*100),0,B31*3.6/1000000/'E Balans VL '!Z11*100)</f>
        <v>1.2769479012689593E-2</v>
      </c>
      <c r="D31" s="237" t="s">
        <v>754</v>
      </c>
    </row>
    <row r="32" spans="1:18">
      <c r="A32" s="231" t="s">
        <v>260</v>
      </c>
      <c r="B32" s="33">
        <f>IF(ISERROR(TER_rest_ele_kWh/1000),0,TER_rest_ele_kWh/1000)</f>
        <v>2980.35167257692</v>
      </c>
      <c r="C32" s="39">
        <f>IF(ISERROR(B32*3.6/1000000/'E Balans VL '!Z8*100),0,B32*3.6/1000000/'E Balans VL '!Z8*100)</f>
        <v>2.4524338250602039E-2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955.84384338162704</v>
      </c>
      <c r="C5" s="17">
        <f>IF(ISERROR('Eigen informatie GS &amp; warmtenet'!B59),0,'Eigen informatie GS &amp; warmtenet'!B59)</f>
        <v>0</v>
      </c>
      <c r="D5" s="30">
        <f>SUM(D6:D15)</f>
        <v>192.48946303382894</v>
      </c>
      <c r="E5" s="17">
        <f>SUM(E6:E15)</f>
        <v>97.388491098473494</v>
      </c>
      <c r="F5" s="17">
        <f>SUM(F6:F15)</f>
        <v>303.2490331840109</v>
      </c>
      <c r="G5" s="18"/>
      <c r="H5" s="17"/>
      <c r="I5" s="17"/>
      <c r="J5" s="17">
        <f>SUM(J6:J15)</f>
        <v>2.7483347199153925</v>
      </c>
      <c r="K5" s="17"/>
      <c r="L5" s="17"/>
      <c r="M5" s="17"/>
      <c r="N5" s="17">
        <f>SUM(N6:N15)</f>
        <v>234.37329842945687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188.14850312346499</v>
      </c>
      <c r="C9" s="33"/>
      <c r="D9" s="37">
        <f>IF( ISERROR(IND_andere_gas_kWh/1000),0,IND_andere_gas_kWh/1000)*0.902</f>
        <v>0</v>
      </c>
      <c r="E9" s="33">
        <f>C31*'E Balans VL '!I19/100/3.6*1000000</f>
        <v>54.999470282317588</v>
      </c>
      <c r="F9" s="33">
        <f>C31*'E Balans VL '!L19/100/3.6*1000000+C31*'E Balans VL '!N19/100/3.6*1000000</f>
        <v>151.1915637927942</v>
      </c>
      <c r="G9" s="34"/>
      <c r="H9" s="33"/>
      <c r="I9" s="33"/>
      <c r="J9" s="40">
        <f>C31*'E Balans VL '!D19/100/3.6*1000000+C31*'E Balans VL '!E19/100/3.6*1000000</f>
        <v>0</v>
      </c>
      <c r="K9" s="33"/>
      <c r="L9" s="33"/>
      <c r="M9" s="33"/>
      <c r="N9" s="33">
        <f>C31*'E Balans VL '!Y19/100/3.6*1000000</f>
        <v>62.167183408391587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767.69534025816199</v>
      </c>
      <c r="C15" s="33"/>
      <c r="D15" s="37">
        <f>IF( ISERROR(IND_rest_gas_kWh/1000),0,IND_rest_gas_kWh/1000)*0.902</f>
        <v>192.48946303382894</v>
      </c>
      <c r="E15" s="33">
        <f>C37*'E Balans VL '!I15/100/3.6*1000000</f>
        <v>42.389020816155906</v>
      </c>
      <c r="F15" s="33">
        <f>C37*'E Balans VL '!L15/100/3.6*1000000+C37*'E Balans VL '!N15/100/3.6*1000000</f>
        <v>152.0574693912167</v>
      </c>
      <c r="G15" s="34"/>
      <c r="H15" s="33"/>
      <c r="I15" s="33"/>
      <c r="J15" s="40">
        <f>C37*'E Balans VL '!D15/100/3.6*1000000+C37*'E Balans VL '!E15/100/3.6*1000000</f>
        <v>2.7483347199153925</v>
      </c>
      <c r="K15" s="33"/>
      <c r="L15" s="33"/>
      <c r="M15" s="33"/>
      <c r="N15" s="33">
        <f>C37*'E Balans VL '!Y15/100/3.6*1000000</f>
        <v>172.20611502106527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955.84384338162704</v>
      </c>
      <c r="C18" s="21">
        <f>C5+C16</f>
        <v>0</v>
      </c>
      <c r="D18" s="21">
        <f>MAX((D5+D16),0)</f>
        <v>192.48946303382894</v>
      </c>
      <c r="E18" s="21">
        <f>MAX((E5+E16),0)</f>
        <v>97.388491098473494</v>
      </c>
      <c r="F18" s="21">
        <f>MAX((F5+F16),0)</f>
        <v>303.2490331840109</v>
      </c>
      <c r="G18" s="21"/>
      <c r="H18" s="21"/>
      <c r="I18" s="21"/>
      <c r="J18" s="21">
        <f>MAX((J5+J16),0)</f>
        <v>2.7483347199153925</v>
      </c>
      <c r="K18" s="21"/>
      <c r="L18" s="21">
        <f>MAX((L5+L16),0)</f>
        <v>0</v>
      </c>
      <c r="M18" s="21"/>
      <c r="N18" s="21">
        <f>MAX((N5+N16),0)</f>
        <v>234.37329842945687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0.20471238751376397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195.67307526898514</v>
      </c>
      <c r="C22" s="23">
        <f ca="1">C18*C20</f>
        <v>0</v>
      </c>
      <c r="D22" s="23">
        <f>D18*D20</f>
        <v>38.882871532833448</v>
      </c>
      <c r="E22" s="23">
        <f>E18*E20</f>
        <v>22.107187479353485</v>
      </c>
      <c r="F22" s="23">
        <f>F18*F20</f>
        <v>80.96749186013092</v>
      </c>
      <c r="G22" s="23"/>
      <c r="H22" s="23"/>
      <c r="I22" s="23"/>
      <c r="J22" s="23">
        <f>J18*J20</f>
        <v>0.97291049085004888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188.14850312346499</v>
      </c>
      <c r="C31" s="39">
        <f>IF(ISERROR(B31*3.6/1000000/'E Balans VL '!Z19*100),0,B31*3.6/1000000/'E Balans VL '!Z19*100)</f>
        <v>8.5336326649488436E-3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767.69534025816199</v>
      </c>
      <c r="C37" s="39">
        <f>IF(ISERROR(B37*3.6/1000000/'E Balans VL '!Z15*100),0,B37*3.6/1000000/'E Balans VL '!Z15*100)</f>
        <v>6.0849283910904481E-3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1654.2424995766239</v>
      </c>
      <c r="C5" s="17">
        <f>'Eigen informatie GS &amp; warmtenet'!B60</f>
        <v>0</v>
      </c>
      <c r="D5" s="30">
        <f>IF(ISERROR(SUM(LB_lb_gas_kWh,LB_rest_gas_kWh)/1000),0,SUM(LB_lb_gas_kWh,LB_rest_gas_kWh)/1000)*0.902</f>
        <v>48.073805564429442</v>
      </c>
      <c r="E5" s="17">
        <f>B17*'E Balans VL '!I25/3.6*1000000/100</f>
        <v>48.623239702333947</v>
      </c>
      <c r="F5" s="17">
        <f>B17*('E Balans VL '!L25/3.6*1000000+'E Balans VL '!N25/3.6*1000000)/100</f>
        <v>6891.4848626634412</v>
      </c>
      <c r="G5" s="18"/>
      <c r="H5" s="17"/>
      <c r="I5" s="17"/>
      <c r="J5" s="17">
        <f>('E Balans VL '!D25+'E Balans VL '!E25)/3.6*1000000*landbouw!B17/100</f>
        <v>239.66421292432071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1654.2424995766239</v>
      </c>
      <c r="C8" s="21">
        <f>C5+C6</f>
        <v>0</v>
      </c>
      <c r="D8" s="21">
        <f>MAX((D5+D6),0)</f>
        <v>48.073805564429442</v>
      </c>
      <c r="E8" s="21">
        <f>MAX((E5+E6),0)</f>
        <v>48.623239702333947</v>
      </c>
      <c r="F8" s="21">
        <f>MAX((F5+F6),0)</f>
        <v>6891.4848626634412</v>
      </c>
      <c r="G8" s="21"/>
      <c r="H8" s="21"/>
      <c r="I8" s="21"/>
      <c r="J8" s="21">
        <f>MAX((J5+J6),0)</f>
        <v>239.66421292432071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0.20471238751376397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338.64393161506734</v>
      </c>
      <c r="C12" s="23">
        <f ca="1">C8*C10</f>
        <v>0</v>
      </c>
      <c r="D12" s="23">
        <f>D8*D10</f>
        <v>9.7109087240147485</v>
      </c>
      <c r="E12" s="23">
        <f>E8*E10</f>
        <v>11.037475412429806</v>
      </c>
      <c r="F12" s="23">
        <f>F8*F10</f>
        <v>1840.0264583311389</v>
      </c>
      <c r="G12" s="23"/>
      <c r="H12" s="23"/>
      <c r="I12" s="23"/>
      <c r="J12" s="23">
        <f>J8*J10</f>
        <v>84.841131375209528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0.23474220071748567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504.1664479847405</v>
      </c>
      <c r="C26" s="247">
        <f>B26*'GWP N2O_CH4'!B5</f>
        <v>10587.495407679551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98.026822321876836</v>
      </c>
      <c r="C27" s="247">
        <f>B27*'GWP N2O_CH4'!B5</f>
        <v>2058.5632687594134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6.584742589649748</v>
      </c>
      <c r="C28" s="247">
        <f>B28*'GWP N2O_CH4'!B4</f>
        <v>2041.270202791422</v>
      </c>
      <c r="D28" s="50"/>
    </row>
    <row r="29" spans="1:4">
      <c r="A29" s="41" t="s">
        <v>277</v>
      </c>
      <c r="B29" s="247">
        <f>B34*'ha_N2O bodem landbouw'!B4</f>
        <v>21.792977481641234</v>
      </c>
      <c r="C29" s="247">
        <f>B29*'GWP N2O_CH4'!B4</f>
        <v>6755.8230193087829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4.9730823593690616E-3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7.5436142039311696E-5</v>
      </c>
      <c r="C5" s="463" t="s">
        <v>211</v>
      </c>
      <c r="D5" s="448">
        <f>SUM(D6:D11)</f>
        <v>2.7246191944897615E-4</v>
      </c>
      <c r="E5" s="448">
        <f>SUM(E6:E11)</f>
        <v>3.6156543603674268E-4</v>
      </c>
      <c r="F5" s="461" t="s">
        <v>211</v>
      </c>
      <c r="G5" s="448">
        <f>SUM(G6:G11)</f>
        <v>0.14507381347105755</v>
      </c>
      <c r="H5" s="448">
        <f>SUM(H6:H11)</f>
        <v>3.066681601653394E-2</v>
      </c>
      <c r="I5" s="463" t="s">
        <v>211</v>
      </c>
      <c r="J5" s="463" t="s">
        <v>211</v>
      </c>
      <c r="K5" s="463" t="s">
        <v>211</v>
      </c>
      <c r="L5" s="463" t="s">
        <v>211</v>
      </c>
      <c r="M5" s="448">
        <f>SUM(M6:M11)</f>
        <v>9.3806877265924099E-3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5.5639670612675133E-5</v>
      </c>
      <c r="C6" s="449"/>
      <c r="D6" s="892">
        <f>vkm_2011_GW_PW*SUMIFS(TableVerdeelsleutelVkm[CNG],TableVerdeelsleutelVkm[Voertuigtype],"Lichte voertuigen")*SUMIFS(TableECFTransport[EnergieConsumptieFactor (PJ per km)],TableECFTransport[Index],CONCATENATE($A6,"_CNG_CNG"))</f>
        <v>1.6688707757186609E-4</v>
      </c>
      <c r="E6" s="892">
        <f>vkm_2011_GW_PW*SUMIFS(TableVerdeelsleutelVkm[LPG],TableVerdeelsleutelVkm[Voertuigtype],"Lichte voertuigen")*SUMIFS(TableECFTransport[EnergieConsumptieFactor (PJ per km)],TableECFTransport[Index],CONCATENATE($A6,"_LPG_LPG"))</f>
        <v>2.2799172011046082E-4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5.8948207517673983E-2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1.8981484781666121E-2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4.0039704067851029E-3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4.3826319761721667E-2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1.3357371708030137E-5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2.5610622652649895E-3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1.979647142663656E-5</v>
      </c>
      <c r="C8" s="449"/>
      <c r="D8" s="451">
        <f>vkm_2011_NGW_PW*SUMIFS(TableVerdeelsleutelVkm[CNG],TableVerdeelsleutelVkm[Voertuigtype],"Lichte voertuigen")*SUMIFS(TableECFTransport[EnergieConsumptieFactor (PJ per km)],TableECFTransport[Index],CONCATENATE($A8,"_CNG_CNG"))</f>
        <v>1.0557484187711005E-4</v>
      </c>
      <c r="E8" s="451">
        <f>vkm_2011_NGW_PW*SUMIFS(TableVerdeelsleutelVkm[LPG],TableVerdeelsleutelVkm[Voertuigtype],"Lichte voertuigen")*SUMIFS(TableECFTransport[EnergieConsumptieFactor (PJ per km)],TableECFTransport[Index],CONCATENATE($A8,"_LPG_LPG"))</f>
        <v>1.3357371592628186E-4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3.2183934905953102E-2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1.166907152888952E-2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2.2245533791433697E-3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1.0115351285708825E-2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2.9023342702719536E-6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5.9110167539894642E-4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20.954483899808807</v>
      </c>
      <c r="C14" s="21"/>
      <c r="D14" s="21">
        <f t="shared" ref="D14:M14" si="0">((D5)*10^9/3600)+D12</f>
        <v>75.683866513604485</v>
      </c>
      <c r="E14" s="21">
        <f t="shared" si="0"/>
        <v>100.43484334353964</v>
      </c>
      <c r="F14" s="21"/>
      <c r="G14" s="21">
        <f t="shared" si="0"/>
        <v>40298.281519738215</v>
      </c>
      <c r="H14" s="21">
        <f t="shared" si="0"/>
        <v>8518.5600045927622</v>
      </c>
      <c r="I14" s="21"/>
      <c r="J14" s="21"/>
      <c r="K14" s="21"/>
      <c r="L14" s="21"/>
      <c r="M14" s="21">
        <f t="shared" si="0"/>
        <v>2605.746590720114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0.20471238751376397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4.2896424282485883</v>
      </c>
      <c r="C18" s="23"/>
      <c r="D18" s="23">
        <f t="shared" ref="D18:M18" si="1">D14*D16</f>
        <v>15.288141035748106</v>
      </c>
      <c r="E18" s="23">
        <f t="shared" si="1"/>
        <v>22.798709438983501</v>
      </c>
      <c r="F18" s="23"/>
      <c r="G18" s="23">
        <f t="shared" si="1"/>
        <v>10759.641165770105</v>
      </c>
      <c r="H18" s="23">
        <f t="shared" si="1"/>
        <v>2121.1214411435976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2.6442521388866246E-3</v>
      </c>
      <c r="H50" s="321">
        <f t="shared" si="2"/>
        <v>0</v>
      </c>
      <c r="I50" s="321">
        <f t="shared" si="2"/>
        <v>0</v>
      </c>
      <c r="J50" s="321">
        <f t="shared" si="2"/>
        <v>0</v>
      </c>
      <c r="K50" s="321">
        <f t="shared" si="2"/>
        <v>0</v>
      </c>
      <c r="L50" s="321">
        <f t="shared" si="2"/>
        <v>0</v>
      </c>
      <c r="M50" s="321">
        <f t="shared" si="2"/>
        <v>1.5018184823571313E-4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2.6442521388866246E-3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1.5018184823571313E-4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734.51448302406232</v>
      </c>
      <c r="H54" s="21">
        <f t="shared" si="3"/>
        <v>0</v>
      </c>
      <c r="I54" s="21">
        <f t="shared" si="3"/>
        <v>0</v>
      </c>
      <c r="J54" s="21">
        <f t="shared" si="3"/>
        <v>0</v>
      </c>
      <c r="K54" s="21">
        <f t="shared" si="3"/>
        <v>0</v>
      </c>
      <c r="L54" s="21">
        <f t="shared" si="3"/>
        <v>0</v>
      </c>
      <c r="M54" s="21">
        <f t="shared" si="3"/>
        <v>41.717180065475873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0.20471238751376397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196.11536696742465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1466.7800912845041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1466.7800912845041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2019-08-12T08:34:57Z</dcterms:modified>
</cp:coreProperties>
</file>