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F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G77" i="14"/>
  <c r="G9" i="61" s="1"/>
  <c r="O76" i="14"/>
  <c r="O8" i="61" s="1"/>
  <c r="N76" i="14"/>
  <c r="N8" i="61" s="1"/>
  <c r="L76" i="14"/>
  <c r="K76"/>
  <c r="H76"/>
  <c r="H8" i="61" s="1"/>
  <c r="G76" i="14"/>
  <c r="G8" i="61" s="1"/>
  <c r="G10"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Q14" i="48"/>
  <c r="N20" i="61"/>
  <c r="N77" i="14"/>
  <c r="M77"/>
  <c r="M9" i="61" s="1"/>
  <c r="J22" i="14"/>
  <c r="P22"/>
  <c r="B20" i="18"/>
  <c r="O22" i="14"/>
  <c r="H20" i="61"/>
  <c r="P25" i="48"/>
  <c r="I77" i="14"/>
  <c r="I9" i="61" s="1"/>
  <c r="O9" i="18"/>
  <c r="O10" i="61"/>
  <c r="G20"/>
  <c r="Q11" i="48"/>
  <c r="O25"/>
  <c r="B98" i="18"/>
  <c r="G102" s="1"/>
  <c r="L78" i="14"/>
  <c r="L8" i="61"/>
  <c r="L10" s="1"/>
  <c r="E90" i="14"/>
  <c r="E18" i="61"/>
  <c r="E20" s="1"/>
  <c r="K78" i="14"/>
  <c r="K8" i="61"/>
  <c r="K10" s="1"/>
  <c r="L90" i="14"/>
  <c r="L18" i="61"/>
  <c r="B10" i="18"/>
  <c r="H9"/>
  <c r="L20" i="61"/>
  <c r="P31" i="48"/>
  <c r="F13" i="15"/>
  <c r="L13"/>
  <c r="B13"/>
  <c r="H90" i="14"/>
  <c r="N13" i="15"/>
  <c r="F77" i="14"/>
  <c r="F9" i="61" s="1"/>
  <c r="I101" i="18"/>
  <c r="H8" s="1"/>
  <c r="E101"/>
  <c r="E8" s="1"/>
  <c r="G101"/>
  <c r="I8" s="1"/>
  <c r="F101"/>
  <c r="H101"/>
  <c r="D101"/>
  <c r="C101"/>
  <c r="B101"/>
  <c r="C8" s="1"/>
  <c r="I102"/>
  <c r="H17" s="1"/>
  <c r="E102"/>
  <c r="E17" s="1"/>
  <c r="C102"/>
  <c r="B102"/>
  <c r="C17" s="1"/>
  <c r="H102"/>
  <c r="D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H78" i="14"/>
  <c r="H9" i="61"/>
  <c r="H1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I10" i="14" l="1"/>
  <c r="I16" s="1"/>
  <c r="H5" i="48"/>
  <c r="G5"/>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9"/>
  <c r="H32"/>
  <c r="H30"/>
  <c r="H28"/>
  <c r="H24"/>
  <c r="H25"/>
  <c r="H26"/>
  <c r="H22"/>
  <c r="H23"/>
  <c r="D11" i="14"/>
  <c r="C4" i="48"/>
  <c r="G23"/>
  <c r="G32"/>
  <c r="G30"/>
  <c r="G26"/>
  <c r="G29"/>
  <c r="G25"/>
  <c r="G22"/>
  <c r="G24"/>
  <c r="B4"/>
  <c r="C11" i="14"/>
  <c r="F24" i="48"/>
  <c r="F30"/>
  <c r="F32"/>
  <c r="F31"/>
  <c r="F27"/>
  <c r="F29"/>
  <c r="F28"/>
  <c r="N24"/>
  <c r="N31"/>
  <c r="N30"/>
  <c r="N32"/>
  <c r="N28"/>
  <c r="N29"/>
  <c r="N27"/>
  <c r="B10"/>
  <c r="C19" i="14"/>
  <c r="E31" i="48"/>
  <c r="E29"/>
  <c r="E24"/>
  <c r="E30"/>
  <c r="E28"/>
  <c r="E32"/>
  <c r="M29"/>
  <c r="M26"/>
  <c r="M25"/>
  <c r="M24"/>
  <c r="M30"/>
  <c r="M32"/>
  <c r="M22"/>
  <c r="M23"/>
  <c r="L10" i="14"/>
  <c r="L16" s="1"/>
  <c r="L27" s="1"/>
  <c r="K5" i="48"/>
  <c r="D30"/>
  <c r="D28"/>
  <c r="D32"/>
  <c r="D24"/>
  <c r="D29"/>
  <c r="D31"/>
  <c r="L29"/>
  <c r="L32"/>
  <c r="L28"/>
  <c r="L24"/>
  <c r="L27"/>
  <c r="L31"/>
  <c r="L22"/>
  <c r="L30"/>
  <c r="Q10" i="14"/>
  <c r="P5" i="48"/>
  <c r="P23" s="1"/>
  <c r="K32"/>
  <c r="K24"/>
  <c r="K26"/>
  <c r="K29"/>
  <c r="K28"/>
  <c r="K31"/>
  <c r="K30"/>
  <c r="K22"/>
  <c r="K25"/>
  <c r="K27"/>
  <c r="C24" i="14"/>
  <c r="C26" s="1"/>
  <c r="B7" i="48"/>
  <c r="J32"/>
  <c r="J29"/>
  <c r="J30"/>
  <c r="J24"/>
  <c r="J27"/>
  <c r="J31"/>
  <c r="J28"/>
  <c r="Q11" i="14"/>
  <c r="P4" i="48"/>
  <c r="O4"/>
  <c r="P11" i="14"/>
  <c r="I28" i="48"/>
  <c r="I30"/>
  <c r="I22"/>
  <c r="I32"/>
  <c r="I26"/>
  <c r="I31"/>
  <c r="I27"/>
  <c r="I25"/>
  <c r="I29"/>
  <c r="I2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O22"/>
  <c r="D9"/>
  <c r="D27" s="1"/>
  <c r="E20" i="14"/>
  <c r="E22" s="1"/>
  <c r="O5" i="48"/>
  <c r="O23" s="1"/>
  <c r="P10" i="14"/>
  <c r="C20"/>
  <c r="B9" i="48"/>
  <c r="J7"/>
  <c r="J25" s="1"/>
  <c r="K24" i="14"/>
  <c r="K26" s="1"/>
  <c r="K23" i="48"/>
  <c r="K33" s="1"/>
  <c r="K15"/>
  <c r="C22" i="14"/>
  <c r="G11"/>
  <c r="F4" i="48"/>
  <c r="F22" s="1"/>
  <c r="J10" i="14"/>
  <c r="J16" s="1"/>
  <c r="J27" s="1"/>
  <c r="J63" s="1"/>
  <c r="I5"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F11" l="1"/>
  <c r="R11" s="1"/>
  <c r="E4" i="48"/>
  <c r="P13" i="14"/>
  <c r="P16" s="1"/>
  <c r="P27" s="1"/>
  <c r="O8" i="48"/>
  <c r="K11" i="14"/>
  <c r="J4" i="48"/>
  <c r="N4"/>
  <c r="N22" s="1"/>
  <c r="O11" i="14"/>
  <c r="I15" i="48"/>
  <c r="I23"/>
  <c r="I33" s="1"/>
  <c r="N19" i="14"/>
  <c r="N22" s="1"/>
  <c r="N27" s="1"/>
  <c r="M10" i="48"/>
  <c r="M28" s="1"/>
  <c r="H19" i="14"/>
  <c r="G10" i="48"/>
  <c r="E7"/>
  <c r="E25" s="1"/>
  <c r="F24" i="14"/>
  <c r="F26" s="1"/>
  <c r="Q63"/>
  <c r="M14" i="22"/>
  <c r="M18" s="1"/>
  <c r="N50" i="14" s="1"/>
  <c r="N52" s="1"/>
  <c r="N61" s="1"/>
  <c r="H14" i="22"/>
  <c r="I20" i="14" s="1"/>
  <c r="I22" s="1"/>
  <c r="I27" s="1"/>
  <c r="H9" i="48"/>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P63" l="1"/>
  <c r="G9" i="48"/>
  <c r="H20" i="14"/>
  <c r="H22" s="1"/>
  <c r="H27" s="1"/>
  <c r="J5" i="48"/>
  <c r="J23" s="1"/>
  <c r="K10" i="14"/>
  <c r="E22" i="48"/>
  <c r="Q4"/>
  <c r="F10" i="14"/>
  <c r="E5" i="48"/>
  <c r="E23" s="1"/>
  <c r="O26"/>
  <c r="O33" s="1"/>
  <c r="O15"/>
  <c r="R19" i="14"/>
  <c r="G28" i="48"/>
  <c r="Q10"/>
  <c r="J22"/>
  <c r="Q7"/>
  <c r="M15"/>
  <c r="M27"/>
  <c r="M33" s="1"/>
  <c r="H15"/>
  <c r="H27"/>
  <c r="H33" s="1"/>
  <c r="N63" i="14"/>
  <c r="R24"/>
  <c r="R26" s="1"/>
  <c r="N18" i="16"/>
  <c r="E20" i="15"/>
  <c r="F40" i="14" s="1"/>
  <c r="F18" i="16"/>
  <c r="J18"/>
  <c r="E18"/>
  <c r="G18" i="22"/>
  <c r="H50" i="14" s="1"/>
  <c r="H52" s="1"/>
  <c r="H61" s="1"/>
  <c r="H18" i="22"/>
  <c r="I50" i="14" s="1"/>
  <c r="I52" s="1"/>
  <c r="I61" s="1"/>
  <c r="I63" s="1"/>
  <c r="R22" l="1"/>
  <c r="J8" i="48"/>
  <c r="K13" i="14"/>
  <c r="K16" s="1"/>
  <c r="K27" s="1"/>
  <c r="K63" s="1"/>
  <c r="E8" i="48"/>
  <c r="E26" s="1"/>
  <c r="E33" s="1"/>
  <c r="F13" i="14"/>
  <c r="G27" i="48"/>
  <c r="G33" s="1"/>
  <c r="G15"/>
  <c r="F16" i="14"/>
  <c r="F27" s="1"/>
  <c r="H63"/>
  <c r="R20"/>
  <c r="Q9" i="48"/>
  <c r="N8"/>
  <c r="N26" s="1"/>
  <c r="O13" i="14"/>
  <c r="F8" i="48"/>
  <c r="G13" i="14"/>
  <c r="E22" i="16"/>
  <c r="F43" i="14" s="1"/>
  <c r="F46" s="1"/>
  <c r="F61" s="1"/>
  <c r="F22" i="16"/>
  <c r="G43" i="14" s="1"/>
  <c r="N22" i="16"/>
  <c r="O43" i="14" s="1"/>
  <c r="J22" i="16"/>
  <c r="K43" i="14" s="1"/>
  <c r="K46" s="1"/>
  <c r="K61" s="1"/>
  <c r="J26" i="48" l="1"/>
  <c r="J33" s="1"/>
  <c r="J15"/>
  <c r="F63" i="14"/>
  <c r="R13"/>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<sst xmlns="http://schemas.openxmlformats.org/spreadsheetml/2006/main" count="2392" uniqueCount="887">
  <si>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</si>
  <si>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</si>
  <si>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</si>
  <si>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</si>
  <si>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</si>
  <si>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</si>
  <si>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</si>
  <si>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</si>
  <si>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</si>
  <si>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</si>
  <si>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</si>
  <si>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</si>
  <si>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</si>
  <si>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</si>
  <si>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</si>
  <si>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</si>
  <si>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</si>
  <si>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</si>
  <si>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</si>
  <si>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</si>
  <si>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</si>
  <si>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</si>
  <si>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</si>
  <si>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</si>
  <si>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</si>
  <si>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</si>
  <si>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</si>
  <si>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</si>
  <si>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</si>
  <si>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</si>
  <si>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</si>
  <si>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</si>
  <si>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</si>
  <si>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</si>
  <si>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</si>
  <si>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</si>
  <si>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</si>
  <si>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</si>
  <si>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</si>
  <si>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</si>
  <si>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</si>
  <si>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</si>
  <si>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</si>
  <si>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</si>
  <si>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</si>
  <si>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</si>
  <si>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</si>
  <si>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</si>
  <si>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</si>
  <si>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</si>
  <si>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</si>
  <si>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</si>
  <si>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</si>
  <si>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</si>
  <si>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</si>
  <si>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</si>
  <si>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</si>
  <si>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</si>
  <si>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</si>
  <si>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</si>
  <si>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</si>
  <si>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</si>
  <si>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</si>
  <si>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</si>
  <si>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</si>
  <si>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</si>
  <si>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</si>
  <si>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</si>
  <si>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</si>
  <si>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</si>
  <si>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</si>
  <si>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</si>
  <si>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</si>
  <si>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</si>
  <si>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</si>
  <si>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</si>
  <si>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</si>
  <si>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</si>
  <si>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</si>
  <si>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</si>
  <si>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</si>
  <si>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</si>
  <si>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</si>
  <si>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</si>
  <si>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</si>
  <si>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</si>
  <si>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</si>
  <si>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</si>
  <si>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</si>
  <si>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</si>
  <si>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</si>
  <si>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</si>
  <si>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</si>
  <si>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</si>
  <si>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</si>
  <si>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</si>
  <si>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</si>
  <si>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</si>
  <si>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</si>
  <si>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</si>
  <si>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</si>
  <si>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</si>
  <si>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</si>
  <si>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</si>
  <si>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</si>
  <si>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</si>
  <si>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</si>
  <si>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</si>
  <si>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</si>
  <si>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</si>
  <si>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</si>
  <si>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</si>
  <si>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</si>
  <si>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</si>
  <si>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</si>
  <si>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</si>
  <si>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</si>
  <si>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</si>
  <si>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</si>
  <si>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</si>
  <si>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</si>
  <si>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</si>
  <si>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</si>
  <si>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</si>
  <si>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</si>
  <si>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</si>
  <si>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</si>
  <si>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</si>
  <si>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</si>
  <si>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</si>
  <si>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</si>
  <si>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</si>
  <si>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</si>
  <si>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</si>
  <si>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</si>
  <si>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</si>
  <si>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</si>
  <si>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</si>
  <si>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</si>
  <si>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</si>
  <si>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</si>
  <si>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</si>
  <si>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</si>
  <si>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</si>
  <si>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</si>
  <si>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</si>
  <si>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</si>
  <si>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</si>
  <si>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</si>
  <si>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</si>
  <si>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</si>
  <si>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</si>
  <si>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</si>
  <si>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</si>
  <si>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</si>
  <si>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</si>
  <si>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</si>
  <si>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</si>
  <si>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</si>
  <si>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</si>
  <si>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</si>
  <si>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</si>
  <si>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</si>
  <si>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</si>
  <si>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</si>
  <si>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</si>
  <si>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</si>
  <si>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</si>
  <si>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</si>
  <si>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</si>
  <si>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</si>
  <si>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</si>
  <si>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</si>
  <si>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</si>
  <si>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</si>
  <si>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</si>
  <si>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</si>
  <si>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</si>
  <si>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</si>
  <si>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</si>
  <si>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</si>
  <si>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</si>
  <si>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</si>
  <si>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</si>
  <si>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</si>
  <si>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</si>
  <si>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</si>
  <si>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</si>
  <si>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</si>
  <si>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</si>
  <si>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</si>
  <si>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</si>
  <si>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</si>
  <si>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</si>
  <si>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</si>
  <si>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</si>
  <si>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</si>
  <si>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</si>
  <si>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</si>
  <si>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</si>
  <si>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</si>
  <si>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</si>
  <si>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</si>
  <si>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</si>
  <si>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</si>
  <si>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</si>
  <si>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</si>
  <si>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</si>
  <si>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</si>
  <si>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</si>
  <si>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</si>
  <si>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</si>
  <si>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</si>
  <si>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</si>
  <si>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</si>
  <si>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</si>
  <si>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</si>
  <si>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</si>
  <si>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</si>
  <si>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</si>
  <si>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</si>
  <si>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</si>
  <si>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</si>
  <si>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</si>
  <si>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</si>
  <si>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</si>
  <si>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</si>
  <si>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</si>
  <si>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</si>
  <si>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</si>
  <si>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</si>
  <si>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</si>
  <si>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</si>
  <si>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</si>
  <si>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</si>
  <si>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</si>
  <si>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</si>
  <si>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</si>
  <si>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</si>
  <si>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</si>
  <si>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</si>
  <si>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</si>
  <si>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</si>
  <si>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</si>
  <si>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</si>
  <si>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</si>
  <si>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</si>
  <si>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</si>
  <si>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</si>
  <si>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</si>
  <si>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</si>
  <si>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</si>
  <si>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</si>
  <si>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</si>
  <si>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</si>
  <si>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</si>
  <si>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</si>
  <si>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</si>
  <si>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</si>
  <si>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</si>
  <si>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</si>
  <si>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</si>
  <si>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</si>
  <si>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</si>
  <si>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</si>
  <si>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</si>
  <si>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</si>
  <si>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</si>
  <si>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</si>
  <si>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</si>
  <si>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</si>
  <si>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</si>
  <si>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</si>
  <si>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</si>
  <si>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</si>
  <si>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</si>
  <si>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</si>
  <si>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</si>
  <si>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</si>
  <si>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</si>
  <si>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</si>
  <si>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</si>
  <si>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</si>
  <si>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</si>
  <si>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</si>
  <si>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</si>
  <si>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</si>
  <si>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</si>
  <si>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</si>
  <si>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</si>
  <si>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</si>
  <si>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</si>
  <si>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</si>
  <si>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</si>
  <si>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</si>
  <si>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</si>
  <si>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</si>
  <si>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</si>
  <si>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</si>
  <si>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</si>
  <si>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</si>
  <si>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</si>
  <si>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</si>
  <si>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</si>
  <si>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</si>
  <si>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</si>
  <si>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</si>
  <si>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</si>
  <si>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</si>
  <si>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</si>
  <si>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</si>
  <si>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</si>
  <si>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</si>
  <si>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</si>
  <si>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</si>
  <si>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</si>
  <si>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</si>
  <si>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</si>
  <si>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</si>
  <si>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</si>
  <si>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</si>
  <si>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</si>
  <si>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</si>
  <si>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</si>
  <si>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</si>
  <si>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</si>
  <si>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</si>
  <si>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</si>
  <si>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</si>
  <si>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</si>
  <si>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</si>
  <si>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</si>
  <si>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</si>
  <si>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</si>
  <si>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</si>
  <si>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</si>
  <si>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</si>
  <si>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</si>
  <si>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</si>
  <si>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</si>
  <si>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</si>
  <si>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</si>
  <si>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</si>
  <si>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</si>
  <si>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</si>
  <si>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</si>
  <si>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</si>
  <si>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</si>
  <si>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</si>
  <si>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</si>
  <si>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</si>
  <si>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</si>
  <si>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</si>
  <si>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</si>
  <si>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</si>
  <si>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</si>
  <si>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</si>
  <si>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</si>
  <si>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</si>
  <si>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</si>
  <si>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</si>
  <si>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</si>
  <si>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</si>
  <si>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</si>
  <si>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</si>
  <si>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</si>
  <si>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</si>
  <si>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</si>
  <si>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</si>
  <si>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</si>
  <si>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</si>
  <si>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</si>
  <si>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</si>
  <si>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</si>
  <si>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</si>
  <si>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</si>
  <si>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</si>
  <si>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</si>
  <si>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</si>
  <si>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</si>
  <si>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</si>
  <si>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</si>
  <si>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</si>
  <si>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</si>
  <si>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</si>
  <si>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</si>
  <si>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</si>
  <si>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</si>
  <si>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</si>
  <si>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</si>
  <si>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</si>
  <si>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</si>
  <si>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</si>
  <si>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</si>
  <si>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</si>
  <si>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</si>
  <si>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</si>
  <si>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</si>
  <si>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</si>
  <si>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</si>
  <si>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</si>
  <si>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</si>
  <si>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</si>
  <si>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</si>
  <si>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</si>
  <si>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</si>
  <si>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</si>
  <si>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</si>
  <si>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</si>
  <si>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</si>
  <si>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</si>
  <si>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</si>
  <si>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</si>
  <si>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</si>
  <si>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</si>
  <si>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</si>
  <si>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</si>
  <si>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</si>
  <si>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</si>
  <si>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</si>
  <si>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</si>
  <si>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</si>
  <si>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</si>
  <si>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</si>
  <si>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</si>
  <si>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</si>
  <si>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</si>
  <si>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</si>
  <si>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</si>
  <si>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</si>
  <si>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</si>
  <si>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</si>
  <si>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</si>
  <si>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</si>
  <si>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</si>
  <si>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</si>
  <si>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</si>
  <si>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</si>
  <si>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</si>
  <si>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</si>
  <si>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</si>
  <si>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</si>
  <si>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</si>
  <si>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</si>
  <si>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</si>
  <si>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</si>
  <si>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</si>
  <si>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</si>
  <si>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</si>
  <si>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</si>
  <si>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</si>
  <si>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</si>
  <si>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</si>
  <si>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</si>
  <si>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</si>
  <si>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</si>
  <si>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</si>
  <si>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</si>
  <si>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</si>
  <si>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</si>
  <si>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</si>
  <si>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</si>
  <si>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</si>
  <si>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</si>
  <si>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</si>
  <si>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</si>
  <si>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</si>
  <si>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</si>
  <si>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</si>
  <si>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</si>
  <si>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</si>
  <si>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</si>
  <si>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</si>
  <si>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</si>
  <si>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</si>
  <si>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</si>
  <si>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</si>
  <si>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</si>
  <si>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</si>
  <si>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</si>
  <si>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</si>
  <si>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</si>
  <si>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</si>
  <si>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</si>
  <si>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</si>
  <si>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</si>
  <si>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</si>
  <si>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</si>
  <si>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</si>
  <si>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</si>
  <si>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</si>
  <si>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</si>
  <si>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</si>
  <si>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</si>
  <si>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</si>
  <si>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</si>
  <si>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</si>
  <si>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</si>
  <si>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</si>
  <si>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</si>
  <si>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</si>
  <si>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</si>
  <si>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</si>
  <si>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</si>
  <si>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</si>
  <si>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</si>
  <si>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</si>
  <si>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</si>
  <si>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</si>
  <si>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</si>
  <si>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</si>
  <si>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</si>
  <si>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</si>
  <si>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</si>
  <si>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</si>
  <si>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</si>
  <si>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</si>
  <si>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</si>
  <si>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</si>
  <si>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</si>
  <si>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</si>
  <si>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</si>
  <si>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</si>
  <si>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</si>
  <si>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</si>
  <si>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</si>
  <si>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</si>
  <si>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</si>
  <si>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</si>
  <si>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</si>
  <si>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</si>
  <si>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</si>
  <si>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</si>
  <si>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</si>
  <si>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</si>
  <si>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</si>
  <si>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</si>
  <si>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</si>
  <si>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</si>
  <si>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</si>
  <si>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</si>
  <si>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</si>
  <si>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</si>
  <si>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</si>
  <si>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</si>
  <si>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</si>
  <si>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</si>
  <si>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</si>
  <si>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</si>
  <si>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</si>
  <si>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</si>
  <si>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</si>
  <si>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</si>
  <si>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</si>
  <si>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</si>
  <si>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</si>
  <si>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</si>
  <si>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</si>
  <si>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</si>
  <si>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</si>
  <si>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</si>
  <si>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</si>
  <si>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</si>
  <si>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</si>
  <si>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</si>
  <si>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</si>
  <si>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</si>
  <si>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</si>
  <si>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</si>
  <si>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</si>
  <si>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</si>
  <si>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</si>
  <si>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</si>
  <si>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</si>
  <si>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</si>
  <si>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</si>
  <si>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</si>
  <si>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</si>
  <si>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</si>
  <si>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</si>
  <si>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</si>
  <si>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</si>
  <si>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</si>
  <si>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</si>
  <si>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</si>
  <si>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</si>
  <si>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</si>
  <si>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</si>
  <si>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</si>
  <si>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</si>
  <si>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</si>
  <si>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</si>
  <si>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</si>
  <si>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</si>
  <si>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</si>
  <si>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</si>
  <si>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</si>
  <si>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</si>
  <si>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</si>
  <si>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</si>
  <si>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</si>
  <si>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</si>
  <si>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</si>
  <si>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</si>
  <si>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</si>
  <si>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</si>
  <si>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</si>
  <si>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</si>
  <si>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</si>
  <si>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</si>
  <si>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</si>
  <si>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</si>
  <si>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</si>
  <si>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</si>
  <si>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</si>
  <si>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</si>
  <si>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</si>
  <si>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</si>
  <si>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</si>
  <si>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</si>
  <si>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</si>
  <si>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</si>
  <si>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</si>
  <si>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</si>
  <si>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</si>
  <si>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</si>
  <si>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</si>
  <si>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</si>
  <si>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</si>
  <si>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</si>
  <si>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</si>
  <si>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</si>
  <si>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</si>
  <si>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</si>
  <si>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</si>
  <si>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</si>
  <si>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</si>
  <si>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</si>
  <si>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</si>
  <si>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</si>
  <si>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</si>
  <si>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</si>
  <si>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</si>
  <si>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</si>
  <si>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</si>
  <si>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</si>
  <si>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</si>
  <si>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</si>
  <si>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</si>
  <si>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</si>
  <si>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</si>
  <si>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</si>
  <si>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</si>
  <si>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</si>
  <si>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</si>
  <si>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</si>
  <si>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</si>
  <si>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</si>
  <si>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</si>
  <si>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</si>
  <si>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</si>
  <si>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</si>
  <si>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</si>
  <si>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</si>
  <si>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</si>
  <si>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</si>
  <si>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</si>
  <si>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</si>
  <si>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</si>
  <si>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</si>
  <si>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</si>
  <si>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</si>
  <si>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</si>
  <si>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</si>
  <si>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</si>
  <si>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</si>
  <si>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</si>
  <si>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</si>
  <si>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</si>
  <si>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</si>
  <si>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</si>
  <si>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</si>
  <si>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</si>
  <si>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</si>
  <si>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</si>
  <si>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</si>
  <si>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</si>
  <si>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</si>
  <si>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</si>
  <si>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</si>
  <si>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</si>
  <si>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</si>
  <si>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</si>
  <si>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</si>
  <si>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</si>
  <si>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</si>
  <si>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</si>
  <si>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</si>
  <si>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</si>
  <si>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</si>
  <si>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</si>
  <si>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</si>
  <si>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</si>
  <si>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</si>
  <si>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</si>
  <si>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</si>
  <si>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</si>
  <si>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</si>
  <si>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</si>
  <si>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</si>
  <si>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</si>
  <si>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</si>
  <si>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</si>
  <si>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</si>
  <si>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</si>
  <si>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</si>
  <si>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</si>
  <si>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</si>
  <si>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</si>
  <si>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</si>
  <si>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</si>
  <si>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</si>
  <si>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</si>
  <si>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</si>
  <si>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</si>
  <si>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</si>
  <si>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</si>
  <si>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</si>
  <si>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</si>
  <si>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</si>
  <si>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</si>
  <si>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</si>
  <si>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</si>
  <si>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</si>
  <si>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</si>
  <si>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</si>
  <si>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</si>
  <si>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</si>
  <si>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</si>
  <si>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</si>
  <si>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</si>
  <si>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</si>
  <si>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</si>
  <si>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</si>
  <si>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</si>
  <si>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</si>
  <si>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</si>
  <si>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</si>
  <si>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</si>
  <si>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</si>
  <si>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</si>
  <si>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</si>
  <si>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</si>
  <si>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</si>
  <si>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</si>
  <si>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</si>
  <si>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</si>
  <si>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</si>
  <si>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</si>
  <si>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</si>
  <si>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</si>
  <si>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</si>
  <si>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</si>
  <si>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</si>
  <si>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</si>
  <si>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</si>
  <si>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</si>
  <si>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</si>
  <si>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</si>
  <si>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</si>
  <si>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</si>
  <si>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</si>
  <si>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</si>
  <si>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</si>
  <si>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</si>
  <si>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</si>
  <si>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</si>
  <si>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</si>
  <si>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</si>
  <si>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</si>
  <si>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</si>
  <si>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</si>
  <si>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</si>
  <si>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</si>
  <si>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</si>
  <si>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</si>
  <si>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</si>
  <si>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</si>
  <si>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</si>
  <si>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</si>
  <si>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</si>
  <si>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</si>
  <si>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</si>
  <si>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</si>
  <si>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</si>
  <si>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</si>
  <si>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</si>
  <si>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</si>
  <si>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</si>
  <si>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</si>
  <si>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</si>
  <si>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</si>
  <si>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</si>
  <si>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</si>
  <si>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</si>
  <si>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</si>
  <si>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</si>
  <si>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</si>
  <si>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</si>
  <si>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</si>
  <si>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</si>
  <si>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</si>
  <si>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</si>
  <si>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</si>
  <si>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</si>
  <si>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</si>
  <si>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</si>
  <si>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</si>
  <si>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</si>
  <si>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</si>
  <si>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</si>
  <si>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</si>
  <si>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</si>
  <si>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</si>
  <si>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</si>
  <si>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</si>
  <si>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</si>
  <si>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</si>
  <si>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</si>
  <si>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</si>
  <si>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</si>
  <si>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</si>
  <si>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</si>
  <si>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</si>
  <si>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</si>
  <si>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</si>
  <si>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</si>
  <si>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</si>
  <si>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</si>
  <si>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</si>
  <si>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</si>
  <si>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</si>
  <si>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</si>
  <si>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</si>
  <si>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</si>
  <si>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</si>
  <si>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</si>
  <si>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</si>
  <si>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</si>
  <si>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</si>
  <si>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</si>
  <si>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</si>
  <si>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</si>
  <si>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</si>
  <si>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</si>
  <si>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</si>
  <si>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</si>
  <si>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</si>
  <si>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</si>
  <si>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</si>
  <si>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</si>
  <si>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</si>
  <si>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</si>
  <si>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</si>
  <si>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</si>
  <si>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</si>
  <si>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</si>
  <si>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</si>
  <si>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</si>
  <si>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</si>
  <si>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</si>
  <si>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</si>
  <si>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</si>
  <si>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45061</t>
  </si>
  <si>
    <t>WORTEGEM-PETEGEM</t>
  </si>
  <si>
    <t>Eandis (januari 2018); Infrax (juni 2018)</t>
  </si>
  <si>
    <t>MOW (september 2017)</t>
  </si>
  <si>
    <t>referentietaak LNE (2017); Jaarverslag De Lijn (2016)</t>
  </si>
  <si>
    <t>VEA (april 2018)</t>
  </si>
  <si>
    <t>VEA (januari 2017)</t>
  </si>
  <si>
    <t>VEA (juni 2018)</t>
  </si>
  <si>
    <t>Geert Van De Wege</t>
  </si>
  <si>
    <t>Peerdekouterstraat 9 , 9790 Wortegem-Petegem</t>
  </si>
  <si>
    <t>WKK-0464 Geert Van De Wege</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</si>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</sst>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61999.196518297525</c:v>
                </c:pt>
                <c:pt idx="1">
                  <c:v>9840.9047822083958</c:v>
                </c:pt>
                <c:pt idx="2">
                  <c:v>591.59500000000003</c:v>
                </c:pt>
                <c:pt idx="3">
                  <c:v>8067.7647359552866</c:v>
                </c:pt>
                <c:pt idx="4">
                  <c:v>8416.9868269974249</c:v>
                </c:pt>
                <c:pt idx="5">
                  <c:v>35919.011753142317</c:v>
                </c:pt>
                <c:pt idx="6">
                  <c:v>527.52648812205848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88672"/>
        <c:axId val="75790208"/>
      </c:barChart>
      <c:catAx>
        <c:axId val="75788672"/>
        <c:scaling>
          <c:orientation val="minMax"/>
        </c:scaling>
        <c:axPos val="b"/>
        <c:numFmt formatCode="General" sourceLinked="0"/>
        <c:tickLblPos val="nextTo"/>
        <c:crossAx val="75790208"/>
        <c:crosses val="autoZero"/>
        <c:auto val="1"/>
        <c:lblAlgn val="ctr"/>
        <c:lblOffset val="100"/>
      </c:catAx>
      <c:valAx>
        <c:axId val="75790208"/>
        <c:scaling>
          <c:orientation val="minMax"/>
        </c:scaling>
        <c:axPos val="l"/>
        <c:majorGridlines>
          <c:spPr>
            <a:ln>
              <a:noFill/>
            </a:ln>
          </c:spPr>
        </c:majorGridlines>
        <c:numFmt formatCode="#,##0" sourceLinked="1"/>
        <c:tickLblPos val="nextTo"/>
        <c:crossAx val="75788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61999.196518297525</c:v>
                </c:pt>
                <c:pt idx="1">
                  <c:v>9840.9047822083958</c:v>
                </c:pt>
                <c:pt idx="2">
                  <c:v>591.59500000000003</c:v>
                </c:pt>
                <c:pt idx="3">
                  <c:v>8067.7647359552866</c:v>
                </c:pt>
                <c:pt idx="4">
                  <c:v>8416.9868269974249</c:v>
                </c:pt>
                <c:pt idx="5">
                  <c:v>35919.011753142317</c:v>
                </c:pt>
                <c:pt idx="6">
                  <c:v>527.52648812205848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12726.152669106879</c:v>
                </c:pt>
                <c:pt idx="2">
                  <c:v>1902.2685110754956</c:v>
                </c:pt>
                <c:pt idx="3">
                  <c:v>113.38964718257246</c:v>
                </c:pt>
                <c:pt idx="4">
                  <c:v>2036.9625551750676</c:v>
                </c:pt>
                <c:pt idx="5">
                  <c:v>1579.0820101647107</c:v>
                </c:pt>
                <c:pt idx="6">
                  <c:v>8974.6997665140643</c:v>
                </c:pt>
                <c:pt idx="7">
                  <c:v>133.27986440455297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1696"/>
        <c:axId val="156463488"/>
      </c:barChart>
      <c:catAx>
        <c:axId val="156461696"/>
        <c:scaling>
          <c:orientation val="minMax"/>
        </c:scaling>
        <c:axPos val="b"/>
        <c:numFmt formatCode="General" sourceLinked="0"/>
        <c:tickLblPos val="nextTo"/>
        <c:crossAx val="156463488"/>
        <c:crosses val="autoZero"/>
        <c:auto val="1"/>
        <c:lblAlgn val="ctr"/>
        <c:lblOffset val="100"/>
      </c:catAx>
      <c:valAx>
        <c:axId val="156463488"/>
        <c:scaling>
          <c:orientation val="minMax"/>
        </c:scaling>
        <c:axPos val="l"/>
        <c:majorGridlines>
          <c:spPr>
            <a:ln>
              <a:noFill/>
            </a:ln>
          </c:spPr>
        </c:majorGridlines>
        <c:numFmt formatCode="#,##0" sourceLinked="1"/>
        <c:tickLblPos val="nextTo"/>
        <c:crossAx val="1564616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12726.152669106879</c:v>
                </c:pt>
                <c:pt idx="2">
                  <c:v>1902.2685110754956</c:v>
                </c:pt>
                <c:pt idx="3">
                  <c:v>113.38964718257246</c:v>
                </c:pt>
                <c:pt idx="4">
                  <c:v>2036.9625551750676</c:v>
                </c:pt>
                <c:pt idx="5">
                  <c:v>1579.0820101647107</c:v>
                </c:pt>
                <c:pt idx="6">
                  <c:v>8974.6997665140643</c:v>
                </c:pt>
                <c:pt idx="7">
                  <c:v>133.27986440455297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45061</v>
      </c>
      <c r="B6" s="415"/>
      <c r="C6" s="416"/>
    </row>
    <row r="7" spans="1:7" s="413" customFormat="1" ht="15.75" customHeight="1">
      <c r="A7" s="417" t="str">
        <f>txtMunicipality</f>
        <v>WORTEGEM-PETEGEM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0.19166769019780838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0.19166769019780838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2513</v>
      </c>
      <c r="C9" s="342">
        <v>2605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2888.37</v>
      </c>
    </row>
    <row r="15" spans="1:6">
      <c r="A15" s="348" t="s">
        <v>184</v>
      </c>
      <c r="B15" s="334">
        <v>32</v>
      </c>
    </row>
    <row r="16" spans="1:6">
      <c r="A16" s="348" t="s">
        <v>6</v>
      </c>
      <c r="B16" s="334">
        <v>920</v>
      </c>
    </row>
    <row r="17" spans="1:6">
      <c r="A17" s="348" t="s">
        <v>7</v>
      </c>
      <c r="B17" s="334">
        <v>970</v>
      </c>
    </row>
    <row r="18" spans="1:6">
      <c r="A18" s="348" t="s">
        <v>8</v>
      </c>
      <c r="B18" s="334">
        <v>1229</v>
      </c>
    </row>
    <row r="19" spans="1:6">
      <c r="A19" s="348" t="s">
        <v>9</v>
      </c>
      <c r="B19" s="334">
        <v>1066</v>
      </c>
    </row>
    <row r="20" spans="1:6">
      <c r="A20" s="348" t="s">
        <v>10</v>
      </c>
      <c r="B20" s="334">
        <v>660</v>
      </c>
    </row>
    <row r="21" spans="1:6">
      <c r="A21" s="348" t="s">
        <v>11</v>
      </c>
      <c r="B21" s="334">
        <v>4370</v>
      </c>
    </row>
    <row r="22" spans="1:6">
      <c r="A22" s="348" t="s">
        <v>12</v>
      </c>
      <c r="B22" s="334">
        <v>14569</v>
      </c>
    </row>
    <row r="23" spans="1:6">
      <c r="A23" s="348" t="s">
        <v>13</v>
      </c>
      <c r="B23" s="334">
        <v>105</v>
      </c>
    </row>
    <row r="24" spans="1:6">
      <c r="A24" s="348" t="s">
        <v>14</v>
      </c>
      <c r="B24" s="334">
        <v>7</v>
      </c>
    </row>
    <row r="25" spans="1:6">
      <c r="A25" s="348" t="s">
        <v>15</v>
      </c>
      <c r="B25" s="334">
        <v>1085</v>
      </c>
    </row>
    <row r="26" spans="1:6">
      <c r="A26" s="348" t="s">
        <v>16</v>
      </c>
      <c r="B26" s="334">
        <v>172</v>
      </c>
    </row>
    <row r="27" spans="1:6">
      <c r="A27" s="348" t="s">
        <v>17</v>
      </c>
      <c r="B27" s="334">
        <v>0</v>
      </c>
    </row>
    <row r="28" spans="1:6" s="356" customFormat="1">
      <c r="A28" s="355" t="s">
        <v>18</v>
      </c>
      <c r="B28" s="355">
        <v>17856</v>
      </c>
    </row>
    <row r="29" spans="1:6">
      <c r="A29" s="355" t="s">
        <v>744</v>
      </c>
      <c r="B29" s="355">
        <v>67</v>
      </c>
      <c r="C29" s="356"/>
      <c r="D29" s="356"/>
      <c r="E29" s="356"/>
      <c r="F29" s="356"/>
    </row>
    <row r="30" spans="1:6">
      <c r="A30" s="341" t="s">
        <v>745</v>
      </c>
      <c r="B30" s="341">
        <v>17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746</v>
      </c>
      <c r="D39" s="334">
        <v>11814990.0029267</v>
      </c>
      <c r="E39" s="334">
        <v>2248</v>
      </c>
      <c r="F39" s="334">
        <v>10685538.3855085</v>
      </c>
    </row>
    <row r="40" spans="1:6">
      <c r="A40" s="348" t="s">
        <v>30</v>
      </c>
      <c r="B40" s="348" t="s">
        <v>29</v>
      </c>
      <c r="C40" s="334">
        <v>0</v>
      </c>
      <c r="D40" s="334">
        <v>0</v>
      </c>
      <c r="E40" s="334">
        <v>1</v>
      </c>
      <c r="F40" s="334">
        <v>27498.502117469401</v>
      </c>
    </row>
    <row r="41" spans="1:6">
      <c r="A41" s="348" t="s">
        <v>32</v>
      </c>
      <c r="B41" s="348" t="s">
        <v>33</v>
      </c>
      <c r="C41" s="334">
        <v>10</v>
      </c>
      <c r="D41" s="334">
        <v>226413.82837005</v>
      </c>
      <c r="E41" s="334">
        <v>84</v>
      </c>
      <c r="F41" s="334">
        <v>1957483.8453517701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12</v>
      </c>
      <c r="D48" s="334">
        <v>348984.24303502799</v>
      </c>
      <c r="E48" s="334">
        <v>32</v>
      </c>
      <c r="F48" s="334">
        <v>2125676.9859865</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5</v>
      </c>
      <c r="D51" s="334">
        <v>70171.415835313295</v>
      </c>
      <c r="E51" s="334">
        <v>102</v>
      </c>
      <c r="F51" s="334">
        <v>1452347.7719158099</v>
      </c>
    </row>
    <row r="52" spans="1:6">
      <c r="A52" s="348" t="s">
        <v>42</v>
      </c>
      <c r="B52" s="348" t="s">
        <v>29</v>
      </c>
      <c r="C52" s="334">
        <v>2</v>
      </c>
      <c r="D52" s="334">
        <v>27761.277868205601</v>
      </c>
      <c r="E52" s="334">
        <v>5</v>
      </c>
      <c r="F52" s="334">
        <v>30189.641812283498</v>
      </c>
    </row>
    <row r="53" spans="1:6">
      <c r="A53" s="348" t="s">
        <v>44</v>
      </c>
      <c r="B53" s="348" t="s">
        <v>45</v>
      </c>
      <c r="C53" s="334">
        <v>13</v>
      </c>
      <c r="D53" s="334">
        <v>161068.367134706</v>
      </c>
      <c r="E53" s="334">
        <v>102</v>
      </c>
      <c r="F53" s="334">
        <v>388057.139522766</v>
      </c>
    </row>
    <row r="54" spans="1:6">
      <c r="A54" s="348" t="s">
        <v>46</v>
      </c>
      <c r="B54" s="348" t="s">
        <v>47</v>
      </c>
      <c r="C54" s="334">
        <v>0</v>
      </c>
      <c r="D54" s="334">
        <v>0</v>
      </c>
      <c r="E54" s="334">
        <v>1</v>
      </c>
      <c r="F54" s="334">
        <v>591595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18</v>
      </c>
      <c r="F57" s="334">
        <v>203257.61718304901</v>
      </c>
    </row>
    <row r="58" spans="1:6">
      <c r="A58" s="348" t="s">
        <v>49</v>
      </c>
      <c r="B58" s="348" t="s">
        <v>51</v>
      </c>
      <c r="C58" s="334">
        <v>5</v>
      </c>
      <c r="D58" s="334">
        <v>143175.12278783901</v>
      </c>
      <c r="E58" s="334">
        <v>12</v>
      </c>
      <c r="F58" s="334">
        <v>157310.013468096</v>
      </c>
    </row>
    <row r="59" spans="1:6">
      <c r="A59" s="348" t="s">
        <v>49</v>
      </c>
      <c r="B59" s="348" t="s">
        <v>52</v>
      </c>
      <c r="C59" s="334">
        <v>0</v>
      </c>
      <c r="D59" s="334">
        <v>0</v>
      </c>
      <c r="E59" s="334">
        <v>58</v>
      </c>
      <c r="F59" s="334">
        <v>1209794.7714768001</v>
      </c>
    </row>
    <row r="60" spans="1:6">
      <c r="A60" s="348" t="s">
        <v>49</v>
      </c>
      <c r="B60" s="348" t="s">
        <v>53</v>
      </c>
      <c r="C60" s="334">
        <v>0</v>
      </c>
      <c r="D60" s="334">
        <v>0</v>
      </c>
      <c r="E60" s="334">
        <v>21</v>
      </c>
      <c r="F60" s="334">
        <v>498854.83076134598</v>
      </c>
    </row>
    <row r="61" spans="1:6">
      <c r="A61" s="348" t="s">
        <v>49</v>
      </c>
      <c r="B61" s="348" t="s">
        <v>54</v>
      </c>
      <c r="C61" s="334">
        <v>17</v>
      </c>
      <c r="D61" s="334">
        <v>828605.28140525299</v>
      </c>
      <c r="E61" s="334">
        <v>122</v>
      </c>
      <c r="F61" s="334">
        <v>1629571.7508761501</v>
      </c>
    </row>
    <row r="62" spans="1:6">
      <c r="A62" s="348" t="s">
        <v>49</v>
      </c>
      <c r="B62" s="348" t="s">
        <v>55</v>
      </c>
      <c r="C62" s="334">
        <v>0</v>
      </c>
      <c r="D62" s="334">
        <v>0</v>
      </c>
      <c r="E62" s="334">
        <v>0</v>
      </c>
      <c r="F62" s="334">
        <v>0</v>
      </c>
    </row>
    <row r="63" spans="1:6">
      <c r="A63" s="348" t="s">
        <v>49</v>
      </c>
      <c r="B63" s="348" t="s">
        <v>29</v>
      </c>
      <c r="C63" s="334">
        <v>40</v>
      </c>
      <c r="D63" s="334">
        <v>1086162.06226893</v>
      </c>
      <c r="E63" s="334">
        <v>82</v>
      </c>
      <c r="F63" s="334">
        <v>2666922.8845374999</v>
      </c>
    </row>
    <row r="64" spans="1:6">
      <c r="A64" s="348" t="s">
        <v>56</v>
      </c>
      <c r="B64" s="348" t="s">
        <v>57</v>
      </c>
      <c r="C64" s="334">
        <v>0</v>
      </c>
      <c r="D64" s="334">
        <v>0</v>
      </c>
      <c r="E64" s="334">
        <v>0</v>
      </c>
      <c r="F64" s="334">
        <v>0</v>
      </c>
    </row>
    <row r="65" spans="1:6">
      <c r="A65" s="348" t="s">
        <v>56</v>
      </c>
      <c r="B65" s="348" t="s">
        <v>29</v>
      </c>
      <c r="C65" s="334">
        <v>1</v>
      </c>
      <c r="D65" s="334">
        <v>24857.375975076899</v>
      </c>
      <c r="E65" s="334">
        <v>1</v>
      </c>
      <c r="F65" s="334">
        <v>2786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227058.35639385699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15698580</v>
      </c>
      <c r="E73" s="475">
        <v>14790371.934057921</v>
      </c>
    </row>
    <row r="74" spans="1:6">
      <c r="A74" s="348" t="s">
        <v>64</v>
      </c>
      <c r="B74" s="348" t="s">
        <v>657</v>
      </c>
      <c r="C74" s="1295" t="s">
        <v>659</v>
      </c>
      <c r="D74" s="475">
        <v>969657</v>
      </c>
      <c r="E74" s="475">
        <v>878208.81251850282</v>
      </c>
    </row>
    <row r="75" spans="1:6">
      <c r="A75" s="348" t="s">
        <v>65</v>
      </c>
      <c r="B75" s="348" t="s">
        <v>656</v>
      </c>
      <c r="C75" s="1295" t="s">
        <v>660</v>
      </c>
      <c r="D75" s="475">
        <v>23065258</v>
      </c>
      <c r="E75" s="475">
        <v>20771036.641086049</v>
      </c>
    </row>
    <row r="76" spans="1:6">
      <c r="A76" s="348" t="s">
        <v>65</v>
      </c>
      <c r="B76" s="348" t="s">
        <v>657</v>
      </c>
      <c r="C76" s="1295" t="s">
        <v>661</v>
      </c>
      <c r="D76" s="475">
        <v>808102</v>
      </c>
      <c r="E76" s="475">
        <v>739454.91344595037</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143074</v>
      </c>
      <c r="C83" s="475">
        <v>142524.82466622951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1303.5744524400036</v>
      </c>
    </row>
    <row r="92" spans="1:6">
      <c r="A92" s="341" t="s">
        <v>69</v>
      </c>
      <c r="B92" s="342">
        <v>1963.3346289583747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v>
      </c>
    </row>
    <row r="98" spans="1:6">
      <c r="A98" s="348" t="s">
        <v>72</v>
      </c>
      <c r="B98" s="334">
        <v>1</v>
      </c>
    </row>
    <row r="99" spans="1:6">
      <c r="A99" s="348" t="s">
        <v>73</v>
      </c>
      <c r="B99" s="334">
        <v>72</v>
      </c>
    </row>
    <row r="100" spans="1:6">
      <c r="A100" s="348" t="s">
        <v>74</v>
      </c>
      <c r="B100" s="334">
        <v>217</v>
      </c>
    </row>
    <row r="101" spans="1:6">
      <c r="A101" s="348" t="s">
        <v>75</v>
      </c>
      <c r="B101" s="334">
        <v>54</v>
      </c>
    </row>
    <row r="102" spans="1:6">
      <c r="A102" s="348" t="s">
        <v>76</v>
      </c>
      <c r="B102" s="334">
        <v>37</v>
      </c>
    </row>
    <row r="103" spans="1:6">
      <c r="A103" s="348" t="s">
        <v>77</v>
      </c>
      <c r="B103" s="334">
        <v>154</v>
      </c>
    </row>
    <row r="104" spans="1:6">
      <c r="A104" s="348" t="s">
        <v>78</v>
      </c>
      <c r="B104" s="334">
        <v>1613</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105</v>
      </c>
    </row>
    <row r="130" spans="1:6">
      <c r="A130" s="348" t="s">
        <v>295</v>
      </c>
      <c r="B130" s="334">
        <v>0</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24942.923415270088</v>
      </c>
      <c r="C3" s="43" t="s">
        <v>170</v>
      </c>
      <c r="D3" s="43"/>
      <c r="E3" s="154"/>
      <c r="F3" s="43"/>
      <c r="G3" s="43"/>
      <c r="H3" s="43"/>
      <c r="I3" s="43"/>
      <c r="J3" s="43"/>
      <c r="K3" s="96"/>
    </row>
    <row r="4" spans="1:11">
      <c r="A4" s="383" t="s">
        <v>171</v>
      </c>
      <c r="B4" s="49">
        <f>IF(ISERROR('SEAP template'!B78+'SEAP template'!C78),0,'SEAP template'!B78+'SEAP template'!C78)</f>
        <v>3310.5590813983786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0.19166769019780838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591.59500000000003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591.59500000000003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0.19166769019780838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113.38964718257246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10713.036887625971</v>
      </c>
      <c r="C5" s="17">
        <f>IF(ISERROR('Eigen informatie GS &amp; warmtenet'!B57),0,'Eigen informatie GS &amp; warmtenet'!B57)</f>
        <v>0</v>
      </c>
      <c r="D5" s="30">
        <f>(SUM(HH_hh_gas_kWh,HH_rest_gas_kWh)/1000)*0.902</f>
        <v>10657.120982639883</v>
      </c>
      <c r="E5" s="17">
        <f>B46*B57</f>
        <v>3164.5333544842888</v>
      </c>
      <c r="F5" s="17">
        <f>B51*B62</f>
        <v>24539.506907471918</v>
      </c>
      <c r="G5" s="18"/>
      <c r="H5" s="17"/>
      <c r="I5" s="17"/>
      <c r="J5" s="17">
        <f>B50*B61+C50*C61</f>
        <v>2824.3521901001413</v>
      </c>
      <c r="K5" s="17"/>
      <c r="L5" s="17"/>
      <c r="M5" s="17"/>
      <c r="N5" s="17">
        <f>B48*B59+C48*C59</f>
        <v>8088.4184102019826</v>
      </c>
      <c r="O5" s="17">
        <f>B69*B70*B71</f>
        <v>193.85333333333335</v>
      </c>
      <c r="P5" s="17">
        <f>B77*B78*B79/1000-B77*B78*B79/1000/B80</f>
        <v>514.79999999999995</v>
      </c>
    </row>
    <row r="6" spans="1:16">
      <c r="A6" s="16" t="s">
        <v>621</v>
      </c>
      <c r="B6" s="788">
        <f>kWh_PV_kleiner_dan_10kW</f>
        <v>1303.5744524400036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12016.611340065974</v>
      </c>
      <c r="C8" s="21">
        <f>C5</f>
        <v>0</v>
      </c>
      <c r="D8" s="21">
        <f>D5</f>
        <v>10657.120982639883</v>
      </c>
      <c r="E8" s="21">
        <f>E5</f>
        <v>3164.5333544842888</v>
      </c>
      <c r="F8" s="21">
        <f>F5</f>
        <v>24539.506907471918</v>
      </c>
      <c r="G8" s="21"/>
      <c r="H8" s="21"/>
      <c r="I8" s="21"/>
      <c r="J8" s="21">
        <f>J5</f>
        <v>2824.3521901001413</v>
      </c>
      <c r="K8" s="21"/>
      <c r="L8" s="21">
        <f>L5</f>
        <v>0</v>
      </c>
      <c r="M8" s="21">
        <f>M5</f>
        <v>0</v>
      </c>
      <c r="N8" s="21">
        <f>N5</f>
        <v>8088.4184102019826</v>
      </c>
      <c r="O8" s="21">
        <f>O5</f>
        <v>193.85333333333335</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0.19166769019780838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2303.1961395552362</v>
      </c>
      <c r="C12" s="23">
        <f ca="1">C10*C8</f>
        <v>0</v>
      </c>
      <c r="D12" s="23">
        <f>D8*D10</f>
        <v>2152.7384384932566</v>
      </c>
      <c r="E12" s="23">
        <f>E10*E8</f>
        <v>718.34907146793353</v>
      </c>
      <c r="F12" s="23">
        <f>F10*F8</f>
        <v>6552.0483442950026</v>
      </c>
      <c r="G12" s="23"/>
      <c r="H12" s="23"/>
      <c r="I12" s="23"/>
      <c r="J12" s="23">
        <f>J10*J8</f>
        <v>999.82067529544997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v>
      </c>
      <c r="C18" s="166" t="s">
        <v>111</v>
      </c>
      <c r="D18" s="228"/>
      <c r="E18" s="15"/>
    </row>
    <row r="19" spans="1:7">
      <c r="A19" s="171" t="s">
        <v>72</v>
      </c>
      <c r="B19" s="37">
        <f>aantalw2001_ander</f>
        <v>1</v>
      </c>
      <c r="C19" s="166" t="s">
        <v>111</v>
      </c>
      <c r="D19" s="229"/>
      <c r="E19" s="15"/>
    </row>
    <row r="20" spans="1:7">
      <c r="A20" s="171" t="s">
        <v>73</v>
      </c>
      <c r="B20" s="37">
        <f>aantalw2001_propaan</f>
        <v>72</v>
      </c>
      <c r="C20" s="167">
        <f>IF(ISERROR(B20/SUM($B$20,$B$21,$B$22)*100),0,B20/SUM($B$20,$B$21,$B$22)*100)</f>
        <v>20.99125364431487</v>
      </c>
      <c r="D20" s="229"/>
      <c r="E20" s="15"/>
    </row>
    <row r="21" spans="1:7">
      <c r="A21" s="171" t="s">
        <v>74</v>
      </c>
      <c r="B21" s="37">
        <f>aantalw2001_elektriciteit</f>
        <v>217</v>
      </c>
      <c r="C21" s="167">
        <f>IF(ISERROR(B21/SUM($B$20,$B$21,$B$22)*100),0,B21/SUM($B$20,$B$21,$B$22)*100)</f>
        <v>63.265306122448983</v>
      </c>
      <c r="D21" s="229"/>
      <c r="E21" s="15"/>
    </row>
    <row r="22" spans="1:7">
      <c r="A22" s="171" t="s">
        <v>75</v>
      </c>
      <c r="B22" s="37">
        <f>aantalw2001_hout</f>
        <v>54</v>
      </c>
      <c r="C22" s="167">
        <f>IF(ISERROR(B22/SUM($B$20,$B$21,$B$22)*100),0,B22/SUM($B$20,$B$21,$B$22)*100)</f>
        <v>15.743440233236154</v>
      </c>
      <c r="D22" s="229"/>
      <c r="E22" s="15"/>
    </row>
    <row r="23" spans="1:7">
      <c r="A23" s="171" t="s">
        <v>76</v>
      </c>
      <c r="B23" s="37">
        <f>aantalw2001_niet_gespec</f>
        <v>37</v>
      </c>
      <c r="C23" s="166" t="s">
        <v>111</v>
      </c>
      <c r="D23" s="228"/>
      <c r="E23" s="15"/>
    </row>
    <row r="24" spans="1:7">
      <c r="A24" s="171" t="s">
        <v>77</v>
      </c>
      <c r="B24" s="37">
        <f>aantalw2001_steenkool</f>
        <v>154</v>
      </c>
      <c r="C24" s="166" t="s">
        <v>111</v>
      </c>
      <c r="D24" s="229"/>
      <c r="E24" s="15"/>
    </row>
    <row r="25" spans="1:7">
      <c r="A25" s="171" t="s">
        <v>78</v>
      </c>
      <c r="B25" s="37">
        <f>aantalw2001_stookolie</f>
        <v>1613</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793</v>
      </c>
      <c r="B28" s="37">
        <f>aantalHuishoudens2011</f>
        <v>2513</v>
      </c>
      <c r="C28" s="36"/>
      <c r="D28" s="228"/>
    </row>
    <row r="29" spans="1:7" s="15" customFormat="1">
      <c r="A29" s="230" t="s">
        <v>794</v>
      </c>
      <c r="B29" s="37">
        <f>SUM(HH_hh_gas_aantal,HH_rest_gas_aantal)</f>
        <v>746</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746</v>
      </c>
      <c r="C32" s="167">
        <f>IF(ISERROR(B32/SUM($B$32,$B$34,$B$35,$B$36,$B$38,$B$39)*100),0,B32/SUM($B$32,$B$34,$B$35,$B$36,$B$38,$B$39)*100)</f>
        <v>30.008045052292843</v>
      </c>
      <c r="D32" s="233"/>
      <c r="G32" s="15"/>
    </row>
    <row r="33" spans="1:7">
      <c r="A33" s="171" t="s">
        <v>72</v>
      </c>
      <c r="B33" s="34" t="s">
        <v>111</v>
      </c>
      <c r="C33" s="167"/>
      <c r="D33" s="233"/>
      <c r="G33" s="15"/>
    </row>
    <row r="34" spans="1:7">
      <c r="A34" s="171" t="s">
        <v>73</v>
      </c>
      <c r="B34" s="33">
        <f>IF((($B$28-$B$32-$B$39-$B$77-$B$38)*C20/100)&lt;0,0,($B$28-$B$32-$B$39-$B$77-$B$38)*C20/100)</f>
        <v>149.45772594752188</v>
      </c>
      <c r="C34" s="167">
        <f>IF(ISERROR(B34/SUM($B$32,$B$34,$B$35,$B$36,$B$38,$B$39)*100),0,B34/SUM($B$32,$B$34,$B$35,$B$36,$B$38,$B$39)*100)</f>
        <v>6.0119761040837441</v>
      </c>
      <c r="D34" s="233"/>
      <c r="G34" s="15"/>
    </row>
    <row r="35" spans="1:7">
      <c r="A35" s="171" t="s">
        <v>74</v>
      </c>
      <c r="B35" s="33">
        <f>IF((($B$28-$B$32-$B$39-$B$77-$B$38)*C21/100)&lt;0,0,($B$28-$B$32-$B$39-$B$77-$B$38)*C21/100)</f>
        <v>450.44897959183675</v>
      </c>
      <c r="C35" s="167">
        <f>IF(ISERROR(B35/SUM($B$32,$B$34,$B$35,$B$36,$B$38,$B$39)*100),0,B35/SUM($B$32,$B$34,$B$35,$B$36,$B$38,$B$39)*100)</f>
        <v>18.119427980363508</v>
      </c>
      <c r="D35" s="233"/>
      <c r="G35" s="15"/>
    </row>
    <row r="36" spans="1:7">
      <c r="A36" s="171" t="s">
        <v>75</v>
      </c>
      <c r="B36" s="33">
        <f>IF((($B$28-$B$32-$B$39-$B$77-$B$38)*C22/100)&lt;0,0,($B$28-$B$32-$B$39-$B$77-$B$38)*C22/100)</f>
        <v>112.0932944606414</v>
      </c>
      <c r="C36" s="167">
        <f>IF(ISERROR(B36/SUM($B$32,$B$34,$B$35,$B$36,$B$38,$B$39)*100),0,B36/SUM($B$32,$B$34,$B$35,$B$36,$B$38,$B$39)*100)</f>
        <v>4.5089820780628083</v>
      </c>
      <c r="D36" s="233"/>
      <c r="G36" s="15"/>
    </row>
    <row r="37" spans="1:7">
      <c r="A37" s="171" t="s">
        <v>76</v>
      </c>
      <c r="B37" s="34" t="s">
        <v>111</v>
      </c>
      <c r="C37" s="167"/>
      <c r="D37" s="173"/>
      <c r="G37" s="15"/>
    </row>
    <row r="38" spans="1:7">
      <c r="A38" s="171" t="s">
        <v>77</v>
      </c>
      <c r="B38" s="33">
        <f>IF((B24-(B29-B18)*0.1)&lt;0,0,B24-(B29-B18)*0.1)</f>
        <v>80.099999999999994</v>
      </c>
      <c r="C38" s="167">
        <f>IF(ISERROR(B38/SUM($B$32,$B$34,$B$35,$B$36,$B$38,$B$39)*100),0,B38/SUM($B$32,$B$34,$B$35,$B$36,$B$38,$B$39)*100)</f>
        <v>3.2220434432823812</v>
      </c>
      <c r="D38" s="234"/>
      <c r="G38" s="15"/>
    </row>
    <row r="39" spans="1:7">
      <c r="A39" s="171" t="s">
        <v>78</v>
      </c>
      <c r="B39" s="33">
        <f>IF((B25-(B29-B18))&lt;0,0,B25-(B29-B18)*0.9)</f>
        <v>947.9</v>
      </c>
      <c r="C39" s="167">
        <f>IF(ISERROR(B39/SUM($B$32,$B$34,$B$35,$B$36,$B$38,$B$39)*100),0,B39/SUM($B$32,$B$34,$B$35,$B$36,$B$38,$B$39)*100)</f>
        <v>38.129525341914722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746</v>
      </c>
      <c r="C44" s="34" t="s">
        <v>111</v>
      </c>
      <c r="D44" s="174"/>
    </row>
    <row r="45" spans="1:7">
      <c r="A45" s="171" t="s">
        <v>72</v>
      </c>
      <c r="B45" s="33" t="str">
        <f t="shared" si="0"/>
        <v>-</v>
      </c>
      <c r="C45" s="34" t="s">
        <v>111</v>
      </c>
      <c r="D45" s="174"/>
    </row>
    <row r="46" spans="1:7">
      <c r="A46" s="171" t="s">
        <v>73</v>
      </c>
      <c r="B46" s="33">
        <f t="shared" si="0"/>
        <v>149.45772594752188</v>
      </c>
      <c r="C46" s="34" t="s">
        <v>111</v>
      </c>
      <c r="D46" s="174"/>
    </row>
    <row r="47" spans="1:7">
      <c r="A47" s="171" t="s">
        <v>74</v>
      </c>
      <c r="B47" s="33">
        <f t="shared" si="0"/>
        <v>450.44897959183675</v>
      </c>
      <c r="C47" s="34" t="s">
        <v>111</v>
      </c>
      <c r="D47" s="174"/>
    </row>
    <row r="48" spans="1:7">
      <c r="A48" s="171" t="s">
        <v>75</v>
      </c>
      <c r="B48" s="33">
        <f t="shared" si="0"/>
        <v>112.0932944606414</v>
      </c>
      <c r="C48" s="33">
        <f>B48*10</f>
        <v>1120.9329446064139</v>
      </c>
      <c r="D48" s="234"/>
    </row>
    <row r="49" spans="1:6">
      <c r="A49" s="171" t="s">
        <v>76</v>
      </c>
      <c r="B49" s="33" t="str">
        <f t="shared" si="0"/>
        <v>-</v>
      </c>
      <c r="C49" s="34" t="s">
        <v>111</v>
      </c>
      <c r="D49" s="234"/>
    </row>
    <row r="50" spans="1:6">
      <c r="A50" s="171" t="s">
        <v>77</v>
      </c>
      <c r="B50" s="33">
        <f t="shared" si="0"/>
        <v>80.099999999999994</v>
      </c>
      <c r="C50" s="33">
        <f>B50*2</f>
        <v>160.19999999999999</v>
      </c>
      <c r="D50" s="234"/>
    </row>
    <row r="51" spans="1:6">
      <c r="A51" s="171" t="s">
        <v>78</v>
      </c>
      <c r="B51" s="33">
        <f t="shared" si="0"/>
        <v>947.9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6365.7118683029421</v>
      </c>
      <c r="C5" s="17">
        <f>IF(ISERROR('Eigen informatie GS &amp; warmtenet'!B58),0,'Eigen informatie GS &amp; warmtenet'!B58)</f>
        <v>0</v>
      </c>
      <c r="D5" s="30">
        <f>SUM(D6:D12)</f>
        <v>1856.2641047487436</v>
      </c>
      <c r="E5" s="17">
        <f>SUM(E6:E12)</f>
        <v>84.402765193856965</v>
      </c>
      <c r="F5" s="17">
        <f>SUM(F6:F12)</f>
        <v>1078.7962396761736</v>
      </c>
      <c r="G5" s="18"/>
      <c r="H5" s="17"/>
      <c r="I5" s="17"/>
      <c r="J5" s="17">
        <f>SUM(J6:J12)</f>
        <v>1.0869947189939697E-2</v>
      </c>
      <c r="K5" s="17"/>
      <c r="L5" s="17"/>
      <c r="M5" s="17"/>
      <c r="N5" s="17">
        <f>SUM(N6:N12)</f>
        <v>436.65226767282149</v>
      </c>
      <c r="O5" s="17">
        <f>B38*B39*B40</f>
        <v>0</v>
      </c>
      <c r="P5" s="17">
        <f>B46*B47*B48/1000-B46*B47*B48/1000/B49</f>
        <v>19.066666666666666</v>
      </c>
      <c r="R5" s="32"/>
    </row>
    <row r="6" spans="1:18">
      <c r="A6" s="32" t="s">
        <v>54</v>
      </c>
      <c r="B6" s="37">
        <f>B26</f>
        <v>1629.5717508761502</v>
      </c>
      <c r="C6" s="33"/>
      <c r="D6" s="37">
        <f>IF(ISERROR(TER_kantoor_gas_kWh/1000),0,TER_kantoor_gas_kWh/1000)*0.902</f>
        <v>747.40196382753822</v>
      </c>
      <c r="E6" s="33">
        <f>$C$26*'E Balans VL '!I12/100/3.6*1000000</f>
        <v>1.0213613747418361E-2</v>
      </c>
      <c r="F6" s="33">
        <f>$C$26*('E Balans VL '!L12+'E Balans VL '!N12)/100/3.6*1000000</f>
        <v>244.87909957916196</v>
      </c>
      <c r="G6" s="34"/>
      <c r="H6" s="33"/>
      <c r="I6" s="33"/>
      <c r="J6" s="33">
        <f>$C$26*('E Balans VL '!D12+'E Balans VL '!E12)/100/3.6*1000000</f>
        <v>0</v>
      </c>
      <c r="K6" s="33"/>
      <c r="L6" s="33"/>
      <c r="M6" s="33"/>
      <c r="N6" s="33">
        <f>$C$26*'E Balans VL '!Y12/100/3.6*1000000</f>
        <v>1.5584437691856246</v>
      </c>
      <c r="O6" s="33"/>
      <c r="P6" s="33"/>
      <c r="R6" s="32"/>
    </row>
    <row r="7" spans="1:18">
      <c r="A7" s="32" t="s">
        <v>53</v>
      </c>
      <c r="B7" s="37">
        <f t="shared" ref="B7:B12" si="0">B27</f>
        <v>498.85483076134597</v>
      </c>
      <c r="C7" s="33"/>
      <c r="D7" s="37">
        <f>IF(ISERROR(TER_horeca_gas_kWh/1000),0,TER_horeca_gas_kWh/1000)*0.902</f>
        <v>0</v>
      </c>
      <c r="E7" s="33">
        <f>$C$27*'E Balans VL '!I9/100/3.6*1000000</f>
        <v>7.1435180831500338</v>
      </c>
      <c r="F7" s="33">
        <f>$C$27*('E Balans VL '!L9+'E Balans VL '!N9)/100/3.6*1000000</f>
        <v>63.17147444056581</v>
      </c>
      <c r="G7" s="34"/>
      <c r="H7" s="33"/>
      <c r="I7" s="33"/>
      <c r="J7" s="33">
        <f>$C$27*('E Balans VL '!D9+'E Balans VL '!E9)/100/3.6*1000000</f>
        <v>0</v>
      </c>
      <c r="K7" s="33"/>
      <c r="L7" s="33"/>
      <c r="M7" s="33"/>
      <c r="N7" s="33">
        <f>$C$27*'E Balans VL '!Y9/100/3.6*1000000</f>
        <v>0.14340976503900243</v>
      </c>
      <c r="O7" s="33"/>
      <c r="P7" s="33"/>
      <c r="R7" s="32"/>
    </row>
    <row r="8" spans="1:18">
      <c r="A8" s="6" t="s">
        <v>52</v>
      </c>
      <c r="B8" s="37">
        <f t="shared" si="0"/>
        <v>1209.7947714768002</v>
      </c>
      <c r="C8" s="33"/>
      <c r="D8" s="37">
        <f>IF(ISERROR(TER_handel_gas_kWh/1000),0,TER_handel_gas_kWh/1000)*0.902</f>
        <v>0</v>
      </c>
      <c r="E8" s="33">
        <f>$C$28*'E Balans VL '!I13/100/3.6*1000000</f>
        <v>43.879107176256063</v>
      </c>
      <c r="F8" s="33">
        <f>$C$28*('E Balans VL '!L13+'E Balans VL '!N13)/100/3.6*1000000</f>
        <v>233.01872293732052</v>
      </c>
      <c r="G8" s="34"/>
      <c r="H8" s="33"/>
      <c r="I8" s="33"/>
      <c r="J8" s="33">
        <f>$C$28*('E Balans VL '!D13+'E Balans VL '!E13)/100/3.6*1000000</f>
        <v>0</v>
      </c>
      <c r="K8" s="33"/>
      <c r="L8" s="33"/>
      <c r="M8" s="33"/>
      <c r="N8" s="33">
        <f>$C$28*'E Balans VL '!Y13/100/3.6*1000000</f>
        <v>1.6758441198577403</v>
      </c>
      <c r="O8" s="33"/>
      <c r="P8" s="33"/>
      <c r="R8" s="32"/>
    </row>
    <row r="9" spans="1:18">
      <c r="A9" s="32" t="s">
        <v>51</v>
      </c>
      <c r="B9" s="37">
        <f t="shared" si="0"/>
        <v>157.310013468096</v>
      </c>
      <c r="C9" s="33"/>
      <c r="D9" s="37">
        <f>IF(ISERROR(TER_gezond_gas_kWh/1000),0,TER_gezond_gas_kWh/1000)*0.902</f>
        <v>129.14396075463077</v>
      </c>
      <c r="E9" s="33">
        <f>$C$29*'E Balans VL '!I10/100/3.6*1000000</f>
        <v>9.8491599988919914E-3</v>
      </c>
      <c r="F9" s="33">
        <f>$C$29*('E Balans VL '!L10+'E Balans VL '!N10)/100/3.6*1000000</f>
        <v>23.368881464062614</v>
      </c>
      <c r="G9" s="34"/>
      <c r="H9" s="33"/>
      <c r="I9" s="33"/>
      <c r="J9" s="33">
        <f>$C$29*('E Balans VL '!D10+'E Balans VL '!E10)/100/3.6*1000000</f>
        <v>0</v>
      </c>
      <c r="K9" s="33"/>
      <c r="L9" s="33"/>
      <c r="M9" s="33"/>
      <c r="N9" s="33">
        <f>$C$29*'E Balans VL '!Y10/100/3.6*1000000</f>
        <v>2.4332864674432955</v>
      </c>
      <c r="O9" s="33"/>
      <c r="P9" s="33"/>
      <c r="R9" s="32"/>
    </row>
    <row r="10" spans="1:18">
      <c r="A10" s="32" t="s">
        <v>50</v>
      </c>
      <c r="B10" s="37">
        <f t="shared" si="0"/>
        <v>203.25761718304901</v>
      </c>
      <c r="C10" s="33"/>
      <c r="D10" s="37">
        <f>IF(ISERROR(TER_ander_gas_kWh/1000),0,TER_ander_gas_kWh/1000)*0.902</f>
        <v>0</v>
      </c>
      <c r="E10" s="33">
        <f>$C$30*'E Balans VL '!I14/100/3.6*1000000</f>
        <v>0.24227581648222141</v>
      </c>
      <c r="F10" s="33">
        <f>$C$30*('E Balans VL '!L14+'E Balans VL '!N14)/100/3.6*1000000</f>
        <v>53.181228779019996</v>
      </c>
      <c r="G10" s="34"/>
      <c r="H10" s="33"/>
      <c r="I10" s="33"/>
      <c r="J10" s="33">
        <f>$C$30*('E Balans VL '!D14+'E Balans VL '!E14)/100/3.6*1000000</f>
        <v>4.4119261211844054E-3</v>
      </c>
      <c r="K10" s="33"/>
      <c r="L10" s="33"/>
      <c r="M10" s="33"/>
      <c r="N10" s="33">
        <f>$C$30*'E Balans VL '!Y14/100/3.6*1000000</f>
        <v>172.60139486796174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2666.9228845375001</v>
      </c>
      <c r="C12" s="33"/>
      <c r="D12" s="37">
        <f>IF(ISERROR(TER_rest_gas_kWh/1000),0,TER_rest_gas_kWh/1000)*0.902</f>
        <v>979.71818016657483</v>
      </c>
      <c r="E12" s="33">
        <f>$C$32*'E Balans VL '!I8/100/3.6*1000000</f>
        <v>33.117801344222329</v>
      </c>
      <c r="F12" s="33">
        <f>$C$32*('E Balans VL '!L8+'E Balans VL '!N8)/100/3.6*1000000</f>
        <v>461.17683247604276</v>
      </c>
      <c r="G12" s="34"/>
      <c r="H12" s="33"/>
      <c r="I12" s="33"/>
      <c r="J12" s="33">
        <f>$C$32*('E Balans VL '!D8+'E Balans VL '!E8)/100/3.6*1000000</f>
        <v>6.4580210687552918E-3</v>
      </c>
      <c r="K12" s="33"/>
      <c r="L12" s="33"/>
      <c r="M12" s="33"/>
      <c r="N12" s="33">
        <f>$C$32*'E Balans VL '!Y8/100/3.6*1000000</f>
        <v>258.23988868333413</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6365.7118683029421</v>
      </c>
      <c r="C16" s="21">
        <f t="shared" ca="1" si="1"/>
        <v>0</v>
      </c>
      <c r="D16" s="21">
        <f t="shared" ca="1" si="1"/>
        <v>1856.2641047487436</v>
      </c>
      <c r="E16" s="21">
        <f t="shared" si="1"/>
        <v>84.402765193856965</v>
      </c>
      <c r="F16" s="21">
        <f t="shared" ca="1" si="1"/>
        <v>1078.7962396761736</v>
      </c>
      <c r="G16" s="21">
        <f t="shared" si="1"/>
        <v>0</v>
      </c>
      <c r="H16" s="21">
        <f t="shared" si="1"/>
        <v>0</v>
      </c>
      <c r="I16" s="21">
        <f t="shared" si="1"/>
        <v>0</v>
      </c>
      <c r="J16" s="21">
        <f t="shared" si="1"/>
        <v>1.0869947189939697E-2</v>
      </c>
      <c r="K16" s="21">
        <f t="shared" si="1"/>
        <v>0</v>
      </c>
      <c r="L16" s="21">
        <f t="shared" ca="1" si="1"/>
        <v>0</v>
      </c>
      <c r="M16" s="21">
        <f t="shared" si="1"/>
        <v>0</v>
      </c>
      <c r="N16" s="21">
        <f t="shared" ca="1" si="1"/>
        <v>436.65226767282149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0.19166769019780838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1220.1012902624002</v>
      </c>
      <c r="C20" s="23">
        <f t="shared" ref="C20:P20" ca="1" si="2">C16*C18</f>
        <v>0</v>
      </c>
      <c r="D20" s="23">
        <f t="shared" ca="1" si="2"/>
        <v>374.96534915924622</v>
      </c>
      <c r="E20" s="23">
        <f t="shared" si="2"/>
        <v>19.15942769900553</v>
      </c>
      <c r="F20" s="23">
        <f t="shared" ca="1" si="2"/>
        <v>288.03859599353837</v>
      </c>
      <c r="G20" s="23">
        <f t="shared" si="2"/>
        <v>0</v>
      </c>
      <c r="H20" s="23">
        <f t="shared" si="2"/>
        <v>0</v>
      </c>
      <c r="I20" s="23">
        <f t="shared" si="2"/>
        <v>0</v>
      </c>
      <c r="J20" s="23">
        <f t="shared" si="2"/>
        <v>3.8479613052386525E-3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1629.5717508761502</v>
      </c>
      <c r="C26" s="39">
        <f>IF(ISERROR(B26*3.6/1000000/'E Balans VL '!Z12*100),0,B26*3.6/1000000/'E Balans VL '!Z12*100)</f>
        <v>3.4446565363351611E-2</v>
      </c>
      <c r="D26" s="237" t="s">
        <v>754</v>
      </c>
      <c r="F26" s="6"/>
    </row>
    <row r="27" spans="1:18">
      <c r="A27" s="231" t="s">
        <v>53</v>
      </c>
      <c r="B27" s="33">
        <f>IF(ISERROR(TER_horeca_ele_kWh/1000),0,TER_horeca_ele_kWh/1000)</f>
        <v>498.85483076134597</v>
      </c>
      <c r="C27" s="39">
        <f>IF(ISERROR(B27*3.6/1000000/'E Balans VL '!Z9*100),0,B27*3.6/1000000/'E Balans VL '!Z9*100)</f>
        <v>3.9324540376229275E-2</v>
      </c>
      <c r="D27" s="237" t="s">
        <v>754</v>
      </c>
      <c r="F27" s="6"/>
    </row>
    <row r="28" spans="1:18">
      <c r="A28" s="171" t="s">
        <v>52</v>
      </c>
      <c r="B28" s="33">
        <f>IF(ISERROR(TER_handel_ele_kWh/1000),0,TER_handel_ele_kWh/1000)</f>
        <v>1209.7947714768002</v>
      </c>
      <c r="C28" s="39">
        <f>IF(ISERROR(B28*3.6/1000000/'E Balans VL '!Z13*100),0,B28*3.6/1000000/'E Balans VL '!Z13*100)</f>
        <v>3.5113132386877043E-2</v>
      </c>
      <c r="D28" s="237" t="s">
        <v>754</v>
      </c>
      <c r="F28" s="6"/>
    </row>
    <row r="29" spans="1:18">
      <c r="A29" s="231" t="s">
        <v>51</v>
      </c>
      <c r="B29" s="33">
        <f>IF(ISERROR(TER_gezond_ele_kWh/1000),0,TER_gezond_ele_kWh/1000)</f>
        <v>157.310013468096</v>
      </c>
      <c r="C29" s="39">
        <f>IF(ISERROR(B29*3.6/1000000/'E Balans VL '!Z10*100),0,B29*3.6/1000000/'E Balans VL '!Z10*100)</f>
        <v>1.6567327516795474E-2</v>
      </c>
      <c r="D29" s="237" t="s">
        <v>754</v>
      </c>
      <c r="F29" s="6"/>
    </row>
    <row r="30" spans="1:18">
      <c r="A30" s="231" t="s">
        <v>50</v>
      </c>
      <c r="B30" s="33">
        <f>IF(ISERROR(TER_ander_ele_kWh/1000),0,TER_ander_ele_kWh/1000)</f>
        <v>203.25761718304901</v>
      </c>
      <c r="C30" s="39">
        <f>IF(ISERROR(B30*3.6/1000000/'E Balans VL '!Z14*100),0,B30*3.6/1000000/'E Balans VL '!Z14*100)</f>
        <v>1.499232599075654E-2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2666.9228845375001</v>
      </c>
      <c r="C32" s="39">
        <f>IF(ISERROR(B32*3.6/1000000/'E Balans VL '!Z8*100),0,B32*3.6/1000000/'E Balans VL '!Z8*100)</f>
        <v>2.1945235359462741E-2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4083.1608313382699</v>
      </c>
      <c r="C5" s="17">
        <f>IF(ISERROR('Eigen informatie GS &amp; warmtenet'!B59),0,'Eigen informatie GS &amp; warmtenet'!B59)</f>
        <v>0</v>
      </c>
      <c r="D5" s="30">
        <f>SUM(D6:D15)</f>
        <v>519.00906040738039</v>
      </c>
      <c r="E5" s="17">
        <f>SUM(E6:E15)</f>
        <v>689.58189131596646</v>
      </c>
      <c r="F5" s="17">
        <f>SUM(F6:F15)</f>
        <v>1994.0194259779353</v>
      </c>
      <c r="G5" s="18"/>
      <c r="H5" s="17"/>
      <c r="I5" s="17"/>
      <c r="J5" s="17">
        <f>SUM(J6:J15)</f>
        <v>7.609883188749353</v>
      </c>
      <c r="K5" s="17"/>
      <c r="L5" s="17"/>
      <c r="M5" s="17"/>
      <c r="N5" s="17">
        <f>SUM(N6:N15)</f>
        <v>1123.6057347691226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1957.48384535177</v>
      </c>
      <c r="C9" s="33"/>
      <c r="D9" s="37">
        <f>IF( ISERROR(IND_andere_gas_kWh/1000),0,IND_andere_gas_kWh/1000)*0.902</f>
        <v>204.2252731897851</v>
      </c>
      <c r="E9" s="33">
        <f>C31*'E Balans VL '!I19/100/3.6*1000000</f>
        <v>572.21063571201228</v>
      </c>
      <c r="F9" s="33">
        <f>C31*'E Balans VL '!L19/100/3.6*1000000+C31*'E Balans VL '!N19/100/3.6*1000000</f>
        <v>1572.986437652695</v>
      </c>
      <c r="G9" s="34"/>
      <c r="H9" s="33"/>
      <c r="I9" s="33"/>
      <c r="J9" s="40">
        <f>C31*'E Balans VL '!D19/100/3.6*1000000+C31*'E Balans VL '!E19/100/3.6*1000000</f>
        <v>0</v>
      </c>
      <c r="K9" s="33"/>
      <c r="L9" s="33"/>
      <c r="M9" s="33"/>
      <c r="N9" s="33">
        <f>C31*'E Balans VL '!Y19/100/3.6*1000000</f>
        <v>646.78302092625233</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2125.6769859864999</v>
      </c>
      <c r="C15" s="33"/>
      <c r="D15" s="37">
        <f>IF( ISERROR(IND_rest_gas_kWh/1000),0,IND_rest_gas_kWh/1000)*0.902</f>
        <v>314.78378721759526</v>
      </c>
      <c r="E15" s="33">
        <f>C37*'E Balans VL '!I15/100/3.6*1000000</f>
        <v>117.37125560395413</v>
      </c>
      <c r="F15" s="33">
        <f>C37*'E Balans VL '!L15/100/3.6*1000000+C37*'E Balans VL '!N15/100/3.6*1000000</f>
        <v>421.03298832524018</v>
      </c>
      <c r="G15" s="34"/>
      <c r="H15" s="33"/>
      <c r="I15" s="33"/>
      <c r="J15" s="40">
        <f>C37*'E Balans VL '!D15/100/3.6*1000000+C37*'E Balans VL '!E15/100/3.6*1000000</f>
        <v>7.609883188749353</v>
      </c>
      <c r="K15" s="33"/>
      <c r="L15" s="33"/>
      <c r="M15" s="33"/>
      <c r="N15" s="33">
        <f>C37*'E Balans VL '!Y15/100/3.6*1000000</f>
        <v>476.82271384287026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4083.1608313382699</v>
      </c>
      <c r="C18" s="21">
        <f>C5+C16</f>
        <v>0</v>
      </c>
      <c r="D18" s="21">
        <f>MAX((D5+D16),0)</f>
        <v>519.00906040738039</v>
      </c>
      <c r="E18" s="21">
        <f>MAX((E5+E16),0)</f>
        <v>689.58189131596646</v>
      </c>
      <c r="F18" s="21">
        <f>MAX((F5+F16),0)</f>
        <v>1994.0194259779353</v>
      </c>
      <c r="G18" s="21"/>
      <c r="H18" s="21"/>
      <c r="I18" s="21"/>
      <c r="J18" s="21">
        <f>MAX((J5+J16),0)</f>
        <v>7.609883188749353</v>
      </c>
      <c r="K18" s="21"/>
      <c r="L18" s="21">
        <f>MAX((L5+L16),0)</f>
        <v>0</v>
      </c>
      <c r="M18" s="21"/>
      <c r="N18" s="21">
        <f>MAX((N5+N16),0)</f>
        <v>1123.6057347691226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0.19166769019780838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782.6100052487692</v>
      </c>
      <c r="C22" s="23">
        <f ca="1">C18*C20</f>
        <v>0</v>
      </c>
      <c r="D22" s="23">
        <f>D18*D20</f>
        <v>104.83983020229084</v>
      </c>
      <c r="E22" s="23">
        <f>E18*E20</f>
        <v>156.53508932872438</v>
      </c>
      <c r="F22" s="23">
        <f>F18*F20</f>
        <v>532.40318673610875</v>
      </c>
      <c r="G22" s="23"/>
      <c r="H22" s="23"/>
      <c r="I22" s="23"/>
      <c r="J22" s="23">
        <f>J18*J20</f>
        <v>2.6938986488172709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1957.48384535177</v>
      </c>
      <c r="C31" s="39">
        <f>IF(ISERROR(B31*3.6/1000000/'E Balans VL '!Z19*100),0,B31*3.6/1000000/'E Balans VL '!Z19*100)</f>
        <v>8.8783316404286786E-2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2125.6769859864999</v>
      </c>
      <c r="C37" s="39">
        <f>IF(ISERROR(B37*3.6/1000000/'E Balans VL '!Z15*100),0,B37*3.6/1000000/'E Balans VL '!Z15*100)</f>
        <v>1.6848600693560489E-2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1482.5374137280935</v>
      </c>
      <c r="C5" s="17">
        <f>'Eigen informatie GS &amp; warmtenet'!B60</f>
        <v>0</v>
      </c>
      <c r="D5" s="30">
        <f>IF(ISERROR(SUM(LB_lb_gas_kWh,LB_rest_gas_kWh)/1000),0,SUM(LB_lb_gas_kWh,LB_rest_gas_kWh)/1000)*0.902</f>
        <v>88.335289720574039</v>
      </c>
      <c r="E5" s="17">
        <f>B17*'E Balans VL '!I25/3.6*1000000/100</f>
        <v>43.576302781380903</v>
      </c>
      <c r="F5" s="17">
        <f>B17*('E Balans VL '!L25/3.6*1000000+'E Balans VL '!N25/3.6*1000000)/100</f>
        <v>6176.1707534742982</v>
      </c>
      <c r="G5" s="18"/>
      <c r="H5" s="17"/>
      <c r="I5" s="17"/>
      <c r="J5" s="17">
        <f>('E Balans VL '!D25+'E Balans VL '!E25)/3.6*1000000*landbouw!B17/100</f>
        <v>214.7878333937966</v>
      </c>
      <c r="K5" s="17"/>
      <c r="L5" s="17">
        <f>L6*(-1)</f>
        <v>0</v>
      </c>
      <c r="M5" s="17"/>
      <c r="N5" s="17">
        <f>N6*(-1)</f>
        <v>124.71428571428569</v>
      </c>
      <c r="O5" s="17"/>
      <c r="P5" s="17"/>
      <c r="R5" s="32"/>
    </row>
    <row r="6" spans="1:18">
      <c r="A6" s="16" t="s">
        <v>488</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1482.5374137280935</v>
      </c>
      <c r="C8" s="21">
        <f>C5+C6</f>
        <v>62.357142857142847</v>
      </c>
      <c r="D8" s="21">
        <f>MAX((D5+D6),0)</f>
        <v>88.335289720574039</v>
      </c>
      <c r="E8" s="21">
        <f>MAX((E5+E6),0)</f>
        <v>43.576302781380903</v>
      </c>
      <c r="F8" s="21">
        <f>MAX((F5+F6),0)</f>
        <v>6176.1707534742982</v>
      </c>
      <c r="G8" s="21"/>
      <c r="H8" s="21"/>
      <c r="I8" s="21"/>
      <c r="J8" s="21">
        <f>MAX((J5+J6),0)</f>
        <v>214.7878333937966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0.19166769019780838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284.15452172109627</v>
      </c>
      <c r="C12" s="23">
        <f ca="1">C8*C10</f>
        <v>0</v>
      </c>
      <c r="D12" s="23">
        <f>D8*D10</f>
        <v>17.843728523555956</v>
      </c>
      <c r="E12" s="23">
        <f>E8*E10</f>
        <v>9.8918207313734658</v>
      </c>
      <c r="F12" s="23">
        <f>F8*F10</f>
        <v>1649.0375911776378</v>
      </c>
      <c r="G12" s="23"/>
      <c r="H12" s="23"/>
      <c r="I12" s="23"/>
      <c r="J12" s="23">
        <f>J8*J10</f>
        <v>76.034893021403988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0.21037671032730129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383.31878256799536</v>
      </c>
      <c r="C26" s="247">
        <f>B26*'GWP N2O_CH4'!B5</f>
        <v>8049.6944339279025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138.13438887168638</v>
      </c>
      <c r="C27" s="247">
        <f>B27*'GWP N2O_CH4'!B5</f>
        <v>2900.8221663054142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5.0034958819532092</v>
      </c>
      <c r="C28" s="247">
        <f>B28*'GWP N2O_CH4'!B4</f>
        <v>1551.0837234054948</v>
      </c>
      <c r="D28" s="50"/>
    </row>
    <row r="29" spans="1:4">
      <c r="A29" s="41" t="s">
        <v>277</v>
      </c>
      <c r="B29" s="247">
        <f>B34*'ha_N2O bodem landbouw'!B4</f>
        <v>18.792429540878054</v>
      </c>
      <c r="C29" s="247">
        <f>B29*'GWP N2O_CH4'!B4</f>
        <v>5825.6531576721964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4.2883676596351195E-3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5.489936032335279E-5</v>
      </c>
      <c r="C5" s="463" t="s">
        <v>211</v>
      </c>
      <c r="D5" s="448">
        <f>SUM(D6:D11)</f>
        <v>2.408960311515223E-4</v>
      </c>
      <c r="E5" s="448">
        <f>SUM(E6:E11)</f>
        <v>3.1151395712868997E-4</v>
      </c>
      <c r="F5" s="461" t="s">
        <v>211</v>
      </c>
      <c r="G5" s="448">
        <f>SUM(G6:G11)</f>
        <v>9.5484921567181413E-2</v>
      </c>
      <c r="H5" s="448">
        <f>SUM(H6:H11)</f>
        <v>2.6845574300666111E-2</v>
      </c>
      <c r="I5" s="463" t="s">
        <v>211</v>
      </c>
      <c r="J5" s="463" t="s">
        <v>211</v>
      </c>
      <c r="K5" s="463" t="s">
        <v>211</v>
      </c>
      <c r="L5" s="463" t="s">
        <v>211</v>
      </c>
      <c r="M5" s="448">
        <f>SUM(M6:M11)</f>
        <v>6.3706370948612614E-3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2.2233144199626973E-5</v>
      </c>
      <c r="C6" s="449"/>
      <c r="D6" s="892">
        <f>vkm_2011_GW_PW*SUMIFS(TableVerdeelsleutelVkm[CNG],TableVerdeelsleutelVkm[Voertuigtype],"Lichte voertuigen")*SUMIFS(TableECFTransport[EnergieConsumptieFactor (PJ per km)],TableECFTransport[Index],CONCATENATE($A6,"_CNG_CNG"))</f>
        <v>6.6686671934832934E-5</v>
      </c>
      <c r="E6" s="892">
        <f>vkm_2011_GW_PW*SUMIFS(TableVerdeelsleutelVkm[LPG],TableVerdeelsleutelVkm[Voertuigtype],"Lichte voertuigen")*SUMIFS(TableECFTransport[EnergieConsumptieFactor (PJ per km)],TableECFTransport[Index],CONCATENATE($A6,"_LPG_LPG"))</f>
        <v>9.1103572931327121E-5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2.3555207707347842E-2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7.5848416000088396E-3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1.5999528833445797E-3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9.0993088861199885E-3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2.773284449593303E-6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5.3173291197921115E-4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3.2666216123725817E-5</v>
      </c>
      <c r="C8" s="449"/>
      <c r="D8" s="451">
        <f>vkm_2011_NGW_PW*SUMIFS(TableVerdeelsleutelVkm[CNG],TableVerdeelsleutelVkm[Voertuigtype],"Lichte voertuigen")*SUMIFS(TableECFTransport[EnergieConsumptieFactor (PJ per km)],TableECFTransport[Index],CONCATENATE($A8,"_CNG_CNG"))</f>
        <v>1.7420935921668937E-4</v>
      </c>
      <c r="E8" s="451">
        <f>vkm_2011_NGW_PW*SUMIFS(TableVerdeelsleutelVkm[LPG],TableVerdeelsleutelVkm[Voertuigtype],"Lichte voertuigen")*SUMIFS(TableECFTransport[EnergieConsumptieFactor (PJ per km)],TableECFTransport[Index],CONCATENATE($A8,"_LPG_LPG"))</f>
        <v>2.2041038419736285E-4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5.3106806293529901E-2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1.9255169485054249E-2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3.6707421184204547E-3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9.7235986801836802E-3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2.7899311534281192E-6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5.6820918111701512E-4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15.249822312042442</v>
      </c>
      <c r="C14" s="21"/>
      <c r="D14" s="21">
        <f t="shared" ref="D14:M14" si="0">((D5)*10^9/3600)+D12</f>
        <v>66.915564208756194</v>
      </c>
      <c r="E14" s="21">
        <f t="shared" si="0"/>
        <v>86.531654757969434</v>
      </c>
      <c r="F14" s="21"/>
      <c r="G14" s="21">
        <f t="shared" si="0"/>
        <v>26523.589324217057</v>
      </c>
      <c r="H14" s="21">
        <f t="shared" si="0"/>
        <v>7457.1039724072525</v>
      </c>
      <c r="I14" s="21"/>
      <c r="J14" s="21"/>
      <c r="K14" s="21"/>
      <c r="L14" s="21"/>
      <c r="M14" s="21">
        <f t="shared" si="0"/>
        <v>1769.6214152392392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0.19166769019780838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2.9228982184761767</v>
      </c>
      <c r="C18" s="23"/>
      <c r="D18" s="23">
        <f t="shared" ref="D18:M18" si="1">D14*D16</f>
        <v>13.516943970168752</v>
      </c>
      <c r="E18" s="23">
        <f t="shared" si="1"/>
        <v>19.642685630059063</v>
      </c>
      <c r="F18" s="23"/>
      <c r="G18" s="23">
        <f t="shared" si="1"/>
        <v>7081.7983495659546</v>
      </c>
      <c r="H18" s="23">
        <f t="shared" si="1"/>
        <v>1856.8188891294058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1.7970318796119498E-3</v>
      </c>
      <c r="H50" s="321">
        <f t="shared" si="2"/>
        <v>0</v>
      </c>
      <c r="I50" s="321">
        <f t="shared" si="2"/>
        <v>0</v>
      </c>
      <c r="J50" s="321">
        <f t="shared" si="2"/>
        <v>0</v>
      </c>
      <c r="K50" s="321">
        <f t="shared" si="2"/>
        <v>0</v>
      </c>
      <c r="L50" s="321">
        <f t="shared" si="2"/>
        <v>0</v>
      </c>
      <c r="M50" s="321">
        <f t="shared" si="2"/>
        <v>1.0206347762746071E-4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1.7970318796119498E-3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1.0206347762746071E-4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499.17552211443052</v>
      </c>
      <c r="H54" s="21">
        <f t="shared" si="3"/>
        <v>0</v>
      </c>
      <c r="I54" s="21">
        <f t="shared" si="3"/>
        <v>0</v>
      </c>
      <c r="J54" s="21">
        <f t="shared" si="3"/>
        <v>0</v>
      </c>
      <c r="K54" s="21">
        <f t="shared" si="3"/>
        <v>0</v>
      </c>
      <c r="L54" s="21">
        <f t="shared" si="3"/>
        <v>0</v>
      </c>
      <c r="M54" s="21">
        <f t="shared" si="3"/>
        <v>28.350966007627974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0.19166769019780838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133.27986440455297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6957.3068683029423</v>
      </c>
      <c r="D10" s="1013">
        <f ca="1">tertiair!C16</f>
        <v>0</v>
      </c>
      <c r="E10" s="1013">
        <f ca="1">tertiair!D16</f>
        <v>1856.2641047487436</v>
      </c>
      <c r="F10" s="1013">
        <f>tertiair!E16</f>
        <v>84.402765193856965</v>
      </c>
      <c r="G10" s="1013">
        <f ca="1">tertiair!F16</f>
        <v>1078.7962396761736</v>
      </c>
      <c r="H10" s="1013">
        <f>tertiair!G16</f>
        <v>0</v>
      </c>
      <c r="I10" s="1013">
        <f>tertiair!H16</f>
        <v>0</v>
      </c>
      <c r="J10" s="1013">
        <f>tertiair!I16</f>
        <v>0</v>
      </c>
      <c r="K10" s="1013">
        <f>tertiair!J16</f>
        <v>1.0869947189939697E-2</v>
      </c>
      <c r="L10" s="1013">
        <f>tertiair!K16</f>
        <v>0</v>
      </c>
      <c r="M10" s="1013">
        <f ca="1">tertiair!L16</f>
        <v>0</v>
      </c>
      <c r="N10" s="1013">
        <f>tertiair!M16</f>
        <v>0</v>
      </c>
      <c r="O10" s="1013">
        <f ca="1">tertiair!N16</f>
        <v>436.65226767282149</v>
      </c>
      <c r="P10" s="1013">
        <f>tertiair!O16</f>
        <v>0</v>
      </c>
      <c r="Q10" s="1014">
        <f>tertiair!P16</f>
        <v>19.066666666666666</v>
      </c>
      <c r="R10" s="700">
        <f ca="1">SUM(C10:Q10)</f>
        <v>10432.499782208397</v>
      </c>
      <c r="S10" s="67"/>
    </row>
    <row r="11" spans="1:19" s="473" customFormat="1">
      <c r="A11" s="809" t="s">
        <v>225</v>
      </c>
      <c r="B11" s="814"/>
      <c r="C11" s="1013">
        <f>huishoudens!B8</f>
        <v>12016.611340065974</v>
      </c>
      <c r="D11" s="1013">
        <f>huishoudens!C8</f>
        <v>0</v>
      </c>
      <c r="E11" s="1013">
        <f>huishoudens!D8</f>
        <v>10657.120982639883</v>
      </c>
      <c r="F11" s="1013">
        <f>huishoudens!E8</f>
        <v>3164.5333544842888</v>
      </c>
      <c r="G11" s="1013">
        <f>huishoudens!F8</f>
        <v>24539.506907471918</v>
      </c>
      <c r="H11" s="1013">
        <f>huishoudens!G8</f>
        <v>0</v>
      </c>
      <c r="I11" s="1013">
        <f>huishoudens!H8</f>
        <v>0</v>
      </c>
      <c r="J11" s="1013">
        <f>huishoudens!I8</f>
        <v>0</v>
      </c>
      <c r="K11" s="1013">
        <f>huishoudens!J8</f>
        <v>2824.3521901001413</v>
      </c>
      <c r="L11" s="1013">
        <f>huishoudens!K8</f>
        <v>0</v>
      </c>
      <c r="M11" s="1013">
        <f>huishoudens!L8</f>
        <v>0</v>
      </c>
      <c r="N11" s="1013">
        <f>huishoudens!M8</f>
        <v>0</v>
      </c>
      <c r="O11" s="1013">
        <f>huishoudens!N8</f>
        <v>8088.4184102019826</v>
      </c>
      <c r="P11" s="1013">
        <f>huishoudens!O8</f>
        <v>193.85333333333335</v>
      </c>
      <c r="Q11" s="1014">
        <f>huishoudens!P8</f>
        <v>514.79999999999995</v>
      </c>
      <c r="R11" s="700">
        <f>SUM(C11:Q11)</f>
        <v>61999.196518297525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4083.1608313382699</v>
      </c>
      <c r="D13" s="1013">
        <f>industrie!C18</f>
        <v>0</v>
      </c>
      <c r="E13" s="1013">
        <f>industrie!D18</f>
        <v>519.00906040738039</v>
      </c>
      <c r="F13" s="1013">
        <f>industrie!E18</f>
        <v>689.58189131596646</v>
      </c>
      <c r="G13" s="1013">
        <f>industrie!F18</f>
        <v>1994.0194259779353</v>
      </c>
      <c r="H13" s="1013">
        <f>industrie!G18</f>
        <v>0</v>
      </c>
      <c r="I13" s="1013">
        <f>industrie!H18</f>
        <v>0</v>
      </c>
      <c r="J13" s="1013">
        <f>industrie!I18</f>
        <v>0</v>
      </c>
      <c r="K13" s="1013">
        <f>industrie!J18</f>
        <v>7.609883188749353</v>
      </c>
      <c r="L13" s="1013">
        <f>industrie!K18</f>
        <v>0</v>
      </c>
      <c r="M13" s="1013">
        <f>industrie!L18</f>
        <v>0</v>
      </c>
      <c r="N13" s="1013">
        <f>industrie!M18</f>
        <v>0</v>
      </c>
      <c r="O13" s="1013">
        <f>industrie!N18</f>
        <v>1123.6057347691226</v>
      </c>
      <c r="P13" s="1013">
        <f>industrie!O18</f>
        <v>0</v>
      </c>
      <c r="Q13" s="1014">
        <f>industrie!P18</f>
        <v>0</v>
      </c>
      <c r="R13" s="700">
        <f>SUM(C13:Q13)</f>
        <v>8416.9868269974249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23057.079039707187</v>
      </c>
      <c r="D16" s="732">
        <f t="shared" ref="D16:R16" ca="1" si="0">SUM(D9:D15)</f>
        <v>0</v>
      </c>
      <c r="E16" s="732">
        <f t="shared" ca="1" si="0"/>
        <v>13032.394147796007</v>
      </c>
      <c r="F16" s="732">
        <f t="shared" si="0"/>
        <v>3938.518010994112</v>
      </c>
      <c r="G16" s="732">
        <f t="shared" ca="1" si="0"/>
        <v>27612.322573126025</v>
      </c>
      <c r="H16" s="732">
        <f t="shared" si="0"/>
        <v>0</v>
      </c>
      <c r="I16" s="732">
        <f t="shared" si="0"/>
        <v>0</v>
      </c>
      <c r="J16" s="732">
        <f t="shared" si="0"/>
        <v>0</v>
      </c>
      <c r="K16" s="732">
        <f t="shared" si="0"/>
        <v>2831.9729432360805</v>
      </c>
      <c r="L16" s="732">
        <f t="shared" si="0"/>
        <v>0</v>
      </c>
      <c r="M16" s="732">
        <f t="shared" ca="1" si="0"/>
        <v>0</v>
      </c>
      <c r="N16" s="732">
        <f t="shared" si="0"/>
        <v>0</v>
      </c>
      <c r="O16" s="732">
        <f t="shared" ca="1" si="0"/>
        <v>9648.6764126439266</v>
      </c>
      <c r="P16" s="732">
        <f t="shared" si="0"/>
        <v>193.85333333333335</v>
      </c>
      <c r="Q16" s="732">
        <f t="shared" si="0"/>
        <v>533.86666666666667</v>
      </c>
      <c r="R16" s="732">
        <f t="shared" ca="1" si="0"/>
        <v>80848.683127503347</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499.17552211443052</v>
      </c>
      <c r="I19" s="1013">
        <f>transport!H54</f>
        <v>0</v>
      </c>
      <c r="J19" s="1013">
        <f>transport!I54</f>
        <v>0</v>
      </c>
      <c r="K19" s="1013">
        <f>transport!J54</f>
        <v>0</v>
      </c>
      <c r="L19" s="1013">
        <f>transport!K54</f>
        <v>0</v>
      </c>
      <c r="M19" s="1013">
        <f>transport!L54</f>
        <v>0</v>
      </c>
      <c r="N19" s="1013">
        <f>transport!M54</f>
        <v>28.350966007627974</v>
      </c>
      <c r="O19" s="1013">
        <f>transport!N54</f>
        <v>0</v>
      </c>
      <c r="P19" s="1013">
        <f>transport!O54</f>
        <v>0</v>
      </c>
      <c r="Q19" s="1014">
        <f>transport!P54</f>
        <v>0</v>
      </c>
      <c r="R19" s="700">
        <f>SUM(C19:Q19)</f>
        <v>527.52648812205848</v>
      </c>
      <c r="S19" s="67"/>
    </row>
    <row r="20" spans="1:19" s="473" customFormat="1">
      <c r="A20" s="809" t="s">
        <v>307</v>
      </c>
      <c r="B20" s="814"/>
      <c r="C20" s="1013">
        <f>transport!B14</f>
        <v>15.249822312042442</v>
      </c>
      <c r="D20" s="1013">
        <f>transport!C14</f>
        <v>0</v>
      </c>
      <c r="E20" s="1013">
        <f>transport!D14</f>
        <v>66.915564208756194</v>
      </c>
      <c r="F20" s="1013">
        <f>transport!E14</f>
        <v>86.531654757969434</v>
      </c>
      <c r="G20" s="1013">
        <f>transport!F14</f>
        <v>0</v>
      </c>
      <c r="H20" s="1013">
        <f>transport!G14</f>
        <v>26523.589324217057</v>
      </c>
      <c r="I20" s="1013">
        <f>transport!H14</f>
        <v>7457.1039724072525</v>
      </c>
      <c r="J20" s="1013">
        <f>transport!I14</f>
        <v>0</v>
      </c>
      <c r="K20" s="1013">
        <f>transport!J14</f>
        <v>0</v>
      </c>
      <c r="L20" s="1013">
        <f>transport!K14</f>
        <v>0</v>
      </c>
      <c r="M20" s="1013">
        <f>transport!L14</f>
        <v>0</v>
      </c>
      <c r="N20" s="1013">
        <f>transport!M14</f>
        <v>1769.6214152392392</v>
      </c>
      <c r="O20" s="1013">
        <f>transport!N14</f>
        <v>0</v>
      </c>
      <c r="P20" s="1013">
        <f>transport!O14</f>
        <v>0</v>
      </c>
      <c r="Q20" s="1014">
        <f>transport!P14</f>
        <v>0</v>
      </c>
      <c r="R20" s="700">
        <f>SUM(C20:Q20)</f>
        <v>35919.011753142317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15.249822312042442</v>
      </c>
      <c r="D22" s="812">
        <f t="shared" ref="D22:R22" si="1">SUM(D18:D21)</f>
        <v>0</v>
      </c>
      <c r="E22" s="812">
        <f t="shared" si="1"/>
        <v>66.915564208756194</v>
      </c>
      <c r="F22" s="812">
        <f t="shared" si="1"/>
        <v>86.531654757969434</v>
      </c>
      <c r="G22" s="812">
        <f t="shared" si="1"/>
        <v>0</v>
      </c>
      <c r="H22" s="812">
        <f t="shared" si="1"/>
        <v>27022.764846331487</v>
      </c>
      <c r="I22" s="812">
        <f t="shared" si="1"/>
        <v>7457.1039724072525</v>
      </c>
      <c r="J22" s="812">
        <f t="shared" si="1"/>
        <v>0</v>
      </c>
      <c r="K22" s="812">
        <f t="shared" si="1"/>
        <v>0</v>
      </c>
      <c r="L22" s="812">
        <f t="shared" si="1"/>
        <v>0</v>
      </c>
      <c r="M22" s="812">
        <f t="shared" si="1"/>
        <v>0</v>
      </c>
      <c r="N22" s="812">
        <f t="shared" si="1"/>
        <v>1797.9723812468671</v>
      </c>
      <c r="O22" s="812">
        <f t="shared" si="1"/>
        <v>0</v>
      </c>
      <c r="P22" s="812">
        <f t="shared" si="1"/>
        <v>0</v>
      </c>
      <c r="Q22" s="812">
        <f t="shared" si="1"/>
        <v>0</v>
      </c>
      <c r="R22" s="812">
        <f t="shared" si="1"/>
        <v>36446.538241264374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1482.5374137280935</v>
      </c>
      <c r="D24" s="1013">
        <f>+landbouw!C8</f>
        <v>62.357142857142847</v>
      </c>
      <c r="E24" s="1013">
        <f>+landbouw!D8</f>
        <v>88.335289720574039</v>
      </c>
      <c r="F24" s="1013">
        <f>+landbouw!E8</f>
        <v>43.576302781380903</v>
      </c>
      <c r="G24" s="1013">
        <f>+landbouw!F8</f>
        <v>6176.1707534742982</v>
      </c>
      <c r="H24" s="1013">
        <f>+landbouw!G8</f>
        <v>0</v>
      </c>
      <c r="I24" s="1013">
        <f>+landbouw!H8</f>
        <v>0</v>
      </c>
      <c r="J24" s="1013">
        <f>+landbouw!I8</f>
        <v>0</v>
      </c>
      <c r="K24" s="1013">
        <f>+landbouw!J8</f>
        <v>214.7878333937966</v>
      </c>
      <c r="L24" s="1013">
        <f>+landbouw!K8</f>
        <v>0</v>
      </c>
      <c r="M24" s="1013">
        <f>+landbouw!L8</f>
        <v>0</v>
      </c>
      <c r="N24" s="1013">
        <f>+landbouw!M8</f>
        <v>0</v>
      </c>
      <c r="O24" s="1013">
        <f>+landbouw!N8</f>
        <v>0</v>
      </c>
      <c r="P24" s="1013">
        <f>+landbouw!O8</f>
        <v>0</v>
      </c>
      <c r="Q24" s="1014">
        <f>+landbouw!P8</f>
        <v>0</v>
      </c>
      <c r="R24" s="700">
        <f>SUM(C24:Q24)</f>
        <v>8067.7647359552866</v>
      </c>
      <c r="S24" s="67"/>
    </row>
    <row r="25" spans="1:19" s="473" customFormat="1" ht="15" thickBot="1">
      <c r="A25" s="831" t="s">
        <v>836</v>
      </c>
      <c r="B25" s="1016"/>
      <c r="C25" s="1017">
        <f>IF(Onbekend_ele_kWh="---",0,Onbekend_ele_kWh)/1000+IF(REST_rest_ele_kWh="---",0,REST_rest_ele_kWh)/1000</f>
        <v>388.05713952276602</v>
      </c>
      <c r="D25" s="1017"/>
      <c r="E25" s="1017">
        <f>IF(onbekend_gas_kWh="---",0,onbekend_gas_kWh)/1000+IF(REST_rest_gas_kWh="---",0,REST_rest_gas_kWh)/1000</f>
        <v>161.06836713470599</v>
      </c>
      <c r="F25" s="1017"/>
      <c r="G25" s="1017"/>
      <c r="H25" s="1017"/>
      <c r="I25" s="1017"/>
      <c r="J25" s="1017"/>
      <c r="K25" s="1017"/>
      <c r="L25" s="1017"/>
      <c r="M25" s="1017"/>
      <c r="N25" s="1017"/>
      <c r="O25" s="1017"/>
      <c r="P25" s="1017"/>
      <c r="Q25" s="1018"/>
      <c r="R25" s="700">
        <f>SUM(C25:Q25)</f>
        <v>549.12550665747199</v>
      </c>
      <c r="S25" s="67"/>
    </row>
    <row r="26" spans="1:19" s="473" customFormat="1" ht="15.75" thickBot="1">
      <c r="A26" s="705" t="s">
        <v>837</v>
      </c>
      <c r="B26" s="817"/>
      <c r="C26" s="812">
        <f>SUM(C24:C25)</f>
        <v>1870.5945532508595</v>
      </c>
      <c r="D26" s="812">
        <f t="shared" ref="D26:R26" si="2">SUM(D24:D25)</f>
        <v>62.357142857142847</v>
      </c>
      <c r="E26" s="812">
        <f t="shared" si="2"/>
        <v>249.40365685528002</v>
      </c>
      <c r="F26" s="812">
        <f t="shared" si="2"/>
        <v>43.576302781380903</v>
      </c>
      <c r="G26" s="812">
        <f t="shared" si="2"/>
        <v>6176.1707534742982</v>
      </c>
      <c r="H26" s="812">
        <f t="shared" si="2"/>
        <v>0</v>
      </c>
      <c r="I26" s="812">
        <f t="shared" si="2"/>
        <v>0</v>
      </c>
      <c r="J26" s="812">
        <f t="shared" si="2"/>
        <v>0</v>
      </c>
      <c r="K26" s="812">
        <f t="shared" si="2"/>
        <v>214.7878333937966</v>
      </c>
      <c r="L26" s="812">
        <f t="shared" si="2"/>
        <v>0</v>
      </c>
      <c r="M26" s="812">
        <f t="shared" si="2"/>
        <v>0</v>
      </c>
      <c r="N26" s="812">
        <f t="shared" si="2"/>
        <v>0</v>
      </c>
      <c r="O26" s="812">
        <f t="shared" si="2"/>
        <v>0</v>
      </c>
      <c r="P26" s="812">
        <f t="shared" si="2"/>
        <v>0</v>
      </c>
      <c r="Q26" s="812">
        <f t="shared" si="2"/>
        <v>0</v>
      </c>
      <c r="R26" s="812">
        <f t="shared" si="2"/>
        <v>8616.8902426127588</v>
      </c>
      <c r="S26" s="67"/>
    </row>
    <row r="27" spans="1:19" s="473" customFormat="1" ht="17.25" thickTop="1" thickBot="1">
      <c r="A27" s="706" t="s">
        <v>116</v>
      </c>
      <c r="B27" s="805"/>
      <c r="C27" s="707">
        <f ca="1">C22+C16+C26</f>
        <v>24942.923415270088</v>
      </c>
      <c r="D27" s="707">
        <f t="shared" ref="D27:R27" ca="1" si="3">D22+D16+D26</f>
        <v>62.357142857142847</v>
      </c>
      <c r="E27" s="707">
        <f t="shared" ca="1" si="3"/>
        <v>13348.713368860042</v>
      </c>
      <c r="F27" s="707">
        <f t="shared" si="3"/>
        <v>4068.6259685334626</v>
      </c>
      <c r="G27" s="707">
        <f t="shared" ca="1" si="3"/>
        <v>33788.493326600321</v>
      </c>
      <c r="H27" s="707">
        <f t="shared" si="3"/>
        <v>27022.764846331487</v>
      </c>
      <c r="I27" s="707">
        <f t="shared" si="3"/>
        <v>7457.1039724072525</v>
      </c>
      <c r="J27" s="707">
        <f t="shared" si="3"/>
        <v>0</v>
      </c>
      <c r="K27" s="707">
        <f t="shared" si="3"/>
        <v>3046.760776629877</v>
      </c>
      <c r="L27" s="707">
        <f t="shared" si="3"/>
        <v>0</v>
      </c>
      <c r="M27" s="707">
        <f t="shared" ca="1" si="3"/>
        <v>0</v>
      </c>
      <c r="N27" s="707">
        <f t="shared" si="3"/>
        <v>1797.9723812468671</v>
      </c>
      <c r="O27" s="707">
        <f t="shared" ca="1" si="3"/>
        <v>9648.6764126439266</v>
      </c>
      <c r="P27" s="707">
        <f t="shared" si="3"/>
        <v>193.85333333333335</v>
      </c>
      <c r="Q27" s="707">
        <f t="shared" si="3"/>
        <v>533.86666666666667</v>
      </c>
      <c r="R27" s="707">
        <f t="shared" ca="1" si="3"/>
        <v>125912.11161138049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1333.4909374449726</v>
      </c>
      <c r="D40" s="1013">
        <f ca="1">tertiair!C20</f>
        <v>0</v>
      </c>
      <c r="E40" s="1013">
        <f ca="1">tertiair!D20</f>
        <v>374.96534915924622</v>
      </c>
      <c r="F40" s="1013">
        <f>tertiair!E20</f>
        <v>19.15942769900553</v>
      </c>
      <c r="G40" s="1013">
        <f ca="1">tertiair!F20</f>
        <v>288.03859599353837</v>
      </c>
      <c r="H40" s="1013">
        <f>tertiair!G20</f>
        <v>0</v>
      </c>
      <c r="I40" s="1013">
        <f>tertiair!H20</f>
        <v>0</v>
      </c>
      <c r="J40" s="1013">
        <f>tertiair!I20</f>
        <v>0</v>
      </c>
      <c r="K40" s="1013">
        <f>tertiair!J20</f>
        <v>3.8479613052386525E-3</v>
      </c>
      <c r="L40" s="1013">
        <f>tertiair!K20</f>
        <v>0</v>
      </c>
      <c r="M40" s="1013">
        <f ca="1">tertiair!L20</f>
        <v>0</v>
      </c>
      <c r="N40" s="1013">
        <f>tertiair!M20</f>
        <v>0</v>
      </c>
      <c r="O40" s="1013">
        <f ca="1">tertiair!N20</f>
        <v>0</v>
      </c>
      <c r="P40" s="1013">
        <f>tertiair!O20</f>
        <v>0</v>
      </c>
      <c r="Q40" s="774">
        <f>tertiair!P20</f>
        <v>0</v>
      </c>
      <c r="R40" s="850">
        <f t="shared" ca="1" si="4"/>
        <v>2015.6581582580679</v>
      </c>
    </row>
    <row r="41" spans="1:18">
      <c r="A41" s="822" t="s">
        <v>225</v>
      </c>
      <c r="B41" s="829"/>
      <c r="C41" s="1013">
        <f ca="1">huishoudens!B12</f>
        <v>2303.1961395552362</v>
      </c>
      <c r="D41" s="1013">
        <f ca="1">huishoudens!C12</f>
        <v>0</v>
      </c>
      <c r="E41" s="1013">
        <f>huishoudens!D12</f>
        <v>2152.7384384932566</v>
      </c>
      <c r="F41" s="1013">
        <f>huishoudens!E12</f>
        <v>718.34907146793353</v>
      </c>
      <c r="G41" s="1013">
        <f>huishoudens!F12</f>
        <v>6552.0483442950026</v>
      </c>
      <c r="H41" s="1013">
        <f>huishoudens!G12</f>
        <v>0</v>
      </c>
      <c r="I41" s="1013">
        <f>huishoudens!H12</f>
        <v>0</v>
      </c>
      <c r="J41" s="1013">
        <f>huishoudens!I12</f>
        <v>0</v>
      </c>
      <c r="K41" s="1013">
        <f>huishoudens!J12</f>
        <v>999.82067529544997</v>
      </c>
      <c r="L41" s="1013">
        <f>huishoudens!K12</f>
        <v>0</v>
      </c>
      <c r="M41" s="1013">
        <f>huishoudens!L12</f>
        <v>0</v>
      </c>
      <c r="N41" s="1013">
        <f>huishoudens!M12</f>
        <v>0</v>
      </c>
      <c r="O41" s="1013">
        <f>huishoudens!N12</f>
        <v>0</v>
      </c>
      <c r="P41" s="1013">
        <f>huishoudens!O12</f>
        <v>0</v>
      </c>
      <c r="Q41" s="774">
        <f>huishoudens!P12</f>
        <v>0</v>
      </c>
      <c r="R41" s="850">
        <f t="shared" ca="1" si="4"/>
        <v>12726.152669106879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782.6100052487692</v>
      </c>
      <c r="D43" s="1013">
        <f ca="1">industrie!C22</f>
        <v>0</v>
      </c>
      <c r="E43" s="1013">
        <f>industrie!D22</f>
        <v>104.83983020229084</v>
      </c>
      <c r="F43" s="1013">
        <f>industrie!E22</f>
        <v>156.53508932872438</v>
      </c>
      <c r="G43" s="1013">
        <f>industrie!F22</f>
        <v>532.40318673610875</v>
      </c>
      <c r="H43" s="1013">
        <f>industrie!G22</f>
        <v>0</v>
      </c>
      <c r="I43" s="1013">
        <f>industrie!H22</f>
        <v>0</v>
      </c>
      <c r="J43" s="1013">
        <f>industrie!I22</f>
        <v>0</v>
      </c>
      <c r="K43" s="1013">
        <f>industrie!J22</f>
        <v>2.6938986488172709</v>
      </c>
      <c r="L43" s="1013">
        <f>industrie!K22</f>
        <v>0</v>
      </c>
      <c r="M43" s="1013">
        <f>industrie!L22</f>
        <v>0</v>
      </c>
      <c r="N43" s="1013">
        <f>industrie!M22</f>
        <v>0</v>
      </c>
      <c r="O43" s="1013">
        <f>industrie!N22</f>
        <v>0</v>
      </c>
      <c r="P43" s="1013">
        <f>industrie!O22</f>
        <v>0</v>
      </c>
      <c r="Q43" s="774">
        <f>industrie!P22</f>
        <v>0</v>
      </c>
      <c r="R43" s="849">
        <f t="shared" ca="1" si="4"/>
        <v>1579.0820101647107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4419.2970822489779</v>
      </c>
      <c r="D46" s="732">
        <f t="shared" ref="D46:Q46" ca="1" si="5">SUM(D39:D45)</f>
        <v>0</v>
      </c>
      <c r="E46" s="732">
        <f t="shared" ca="1" si="5"/>
        <v>2632.5436178547934</v>
      </c>
      <c r="F46" s="732">
        <f t="shared" si="5"/>
        <v>894.04358849566347</v>
      </c>
      <c r="G46" s="732">
        <f t="shared" ca="1" si="5"/>
        <v>7372.4901270246501</v>
      </c>
      <c r="H46" s="732">
        <f t="shared" si="5"/>
        <v>0</v>
      </c>
      <c r="I46" s="732">
        <f t="shared" si="5"/>
        <v>0</v>
      </c>
      <c r="J46" s="732">
        <f t="shared" si="5"/>
        <v>0</v>
      </c>
      <c r="K46" s="732">
        <f t="shared" si="5"/>
        <v>1002.5184219055725</v>
      </c>
      <c r="L46" s="732">
        <f t="shared" si="5"/>
        <v>0</v>
      </c>
      <c r="M46" s="732">
        <f t="shared" ca="1" si="5"/>
        <v>0</v>
      </c>
      <c r="N46" s="732">
        <f t="shared" si="5"/>
        <v>0</v>
      </c>
      <c r="O46" s="732">
        <f t="shared" ca="1" si="5"/>
        <v>0</v>
      </c>
      <c r="P46" s="732">
        <f t="shared" si="5"/>
        <v>0</v>
      </c>
      <c r="Q46" s="732">
        <f t="shared" si="5"/>
        <v>0</v>
      </c>
      <c r="R46" s="732">
        <f ca="1">SUM(R39:R45)</f>
        <v>16320.892837529658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133.27986440455297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133.27986440455297</v>
      </c>
    </row>
    <row r="50" spans="1:18">
      <c r="A50" s="825" t="s">
        <v>307</v>
      </c>
      <c r="B50" s="835"/>
      <c r="C50" s="703">
        <f ca="1">transport!B18</f>
        <v>2.9228982184761767</v>
      </c>
      <c r="D50" s="703">
        <f>transport!C18</f>
        <v>0</v>
      </c>
      <c r="E50" s="703">
        <f>transport!D18</f>
        <v>13.516943970168752</v>
      </c>
      <c r="F50" s="703">
        <f>transport!E18</f>
        <v>19.642685630059063</v>
      </c>
      <c r="G50" s="703">
        <f>transport!F18</f>
        <v>0</v>
      </c>
      <c r="H50" s="703">
        <f>transport!G18</f>
        <v>7081.7983495659546</v>
      </c>
      <c r="I50" s="703">
        <f>transport!H18</f>
        <v>1856.8188891294058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8974.6997665140643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2.9228982184761767</v>
      </c>
      <c r="D52" s="732">
        <f t="shared" ref="D52:Q52" ca="1" si="6">SUM(D48:D51)</f>
        <v>0</v>
      </c>
      <c r="E52" s="732">
        <f t="shared" si="6"/>
        <v>13.516943970168752</v>
      </c>
      <c r="F52" s="732">
        <f t="shared" si="6"/>
        <v>19.642685630059063</v>
      </c>
      <c r="G52" s="732">
        <f t="shared" si="6"/>
        <v>0</v>
      </c>
      <c r="H52" s="732">
        <f t="shared" si="6"/>
        <v>7215.0782139705079</v>
      </c>
      <c r="I52" s="732">
        <f t="shared" si="6"/>
        <v>1856.8188891294058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9107.9796309186167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284.15452172109627</v>
      </c>
      <c r="D54" s="703">
        <f ca="1">+landbouw!C12</f>
        <v>0</v>
      </c>
      <c r="E54" s="703">
        <f>+landbouw!D12</f>
        <v>17.843728523555956</v>
      </c>
      <c r="F54" s="703">
        <f>+landbouw!E12</f>
        <v>9.8918207313734658</v>
      </c>
      <c r="G54" s="703">
        <f>+landbouw!F12</f>
        <v>1649.0375911776378</v>
      </c>
      <c r="H54" s="703">
        <f>+landbouw!G12</f>
        <v>0</v>
      </c>
      <c r="I54" s="703">
        <f>+landbouw!H12</f>
        <v>0</v>
      </c>
      <c r="J54" s="703">
        <f>+landbouw!I12</f>
        <v>0</v>
      </c>
      <c r="K54" s="703">
        <f>+landbouw!J12</f>
        <v>76.034893021403988</v>
      </c>
      <c r="L54" s="703">
        <f>+landbouw!K12</f>
        <v>0</v>
      </c>
      <c r="M54" s="703">
        <f>+landbouw!L12</f>
        <v>0</v>
      </c>
      <c r="N54" s="703">
        <f>+landbouw!M12</f>
        <v>0</v>
      </c>
      <c r="O54" s="703">
        <f>+landbouw!N12</f>
        <v>0</v>
      </c>
      <c r="P54" s="703">
        <f>+landbouw!O12</f>
        <v>0</v>
      </c>
      <c r="Q54" s="704">
        <f>+landbouw!P12</f>
        <v>0</v>
      </c>
      <c r="R54" s="731">
        <f ca="1">SUM(C54:Q54)</f>
        <v>2036.9625551750676</v>
      </c>
    </row>
    <row r="55" spans="1:18" ht="15" thickBot="1">
      <c r="A55" s="825" t="s">
        <v>836</v>
      </c>
      <c r="B55" s="835"/>
      <c r="C55" s="703">
        <f ca="1">C25*'EF ele_warmte'!B12</f>
        <v>74.378015597097217</v>
      </c>
      <c r="D55" s="703"/>
      <c r="E55" s="703">
        <f>E25*EF_CO2_aardgas</f>
        <v>32.535810161210613</v>
      </c>
      <c r="F55" s="703"/>
      <c r="G55" s="703"/>
      <c r="H55" s="703"/>
      <c r="I55" s="703"/>
      <c r="J55" s="703"/>
      <c r="K55" s="703"/>
      <c r="L55" s="703"/>
      <c r="M55" s="703"/>
      <c r="N55" s="703"/>
      <c r="O55" s="703"/>
      <c r="P55" s="703"/>
      <c r="Q55" s="704"/>
      <c r="R55" s="731">
        <f ca="1">SUM(C55:Q55)</f>
        <v>106.91382575830784</v>
      </c>
    </row>
    <row r="56" spans="1:18" ht="15.75" thickBot="1">
      <c r="A56" s="823" t="s">
        <v>837</v>
      </c>
      <c r="B56" s="836"/>
      <c r="C56" s="732">
        <f ca="1">SUM(C54:C55)</f>
        <v>358.53253731819348</v>
      </c>
      <c r="D56" s="732">
        <f t="shared" ref="D56:Q56" ca="1" si="7">SUM(D54:D55)</f>
        <v>0</v>
      </c>
      <c r="E56" s="732">
        <f t="shared" si="7"/>
        <v>50.379538684766572</v>
      </c>
      <c r="F56" s="732">
        <f t="shared" si="7"/>
        <v>9.8918207313734658</v>
      </c>
      <c r="G56" s="732">
        <f t="shared" si="7"/>
        <v>1649.0375911776378</v>
      </c>
      <c r="H56" s="732">
        <f t="shared" si="7"/>
        <v>0</v>
      </c>
      <c r="I56" s="732">
        <f t="shared" si="7"/>
        <v>0</v>
      </c>
      <c r="J56" s="732">
        <f t="shared" si="7"/>
        <v>0</v>
      </c>
      <c r="K56" s="732">
        <f t="shared" si="7"/>
        <v>76.034893021403988</v>
      </c>
      <c r="L56" s="732">
        <f t="shared" si="7"/>
        <v>0</v>
      </c>
      <c r="M56" s="732">
        <f t="shared" si="7"/>
        <v>0</v>
      </c>
      <c r="N56" s="732">
        <f t="shared" si="7"/>
        <v>0</v>
      </c>
      <c r="O56" s="732">
        <f t="shared" si="7"/>
        <v>0</v>
      </c>
      <c r="P56" s="732">
        <f t="shared" si="7"/>
        <v>0</v>
      </c>
      <c r="Q56" s="733">
        <f t="shared" si="7"/>
        <v>0</v>
      </c>
      <c r="R56" s="734">
        <f ca="1">SUM(R54:R55)</f>
        <v>2143.8763809333755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4780.7525177856469</v>
      </c>
      <c r="D61" s="740">
        <f t="shared" ref="D61:Q61" ca="1" si="8">D46+D52+D56</f>
        <v>0</v>
      </c>
      <c r="E61" s="740">
        <f t="shared" ca="1" si="8"/>
        <v>2696.4401005097284</v>
      </c>
      <c r="F61" s="740">
        <f t="shared" si="8"/>
        <v>923.57809485709606</v>
      </c>
      <c r="G61" s="740">
        <f t="shared" ca="1" si="8"/>
        <v>9021.5277182022874</v>
      </c>
      <c r="H61" s="740">
        <f t="shared" si="8"/>
        <v>7215.0782139705079</v>
      </c>
      <c r="I61" s="740">
        <f t="shared" si="8"/>
        <v>1856.8188891294058</v>
      </c>
      <c r="J61" s="740">
        <f t="shared" si="8"/>
        <v>0</v>
      </c>
      <c r="K61" s="740">
        <f t="shared" si="8"/>
        <v>1078.5533149269766</v>
      </c>
      <c r="L61" s="740">
        <f t="shared" si="8"/>
        <v>0</v>
      </c>
      <c r="M61" s="740">
        <f t="shared" ca="1" si="8"/>
        <v>0</v>
      </c>
      <c r="N61" s="740">
        <f t="shared" si="8"/>
        <v>0</v>
      </c>
      <c r="O61" s="740">
        <f t="shared" ca="1" si="8"/>
        <v>0</v>
      </c>
      <c r="P61" s="740">
        <f t="shared" si="8"/>
        <v>0</v>
      </c>
      <c r="Q61" s="740">
        <f t="shared" si="8"/>
        <v>0</v>
      </c>
      <c r="R61" s="740">
        <f ca="1">R46+R52+R56</f>
        <v>27572.748849381649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0.19166769019780835</v>
      </c>
      <c r="D63" s="781">
        <f t="shared" ca="1" si="9"/>
        <v>0</v>
      </c>
      <c r="E63" s="1024">
        <f t="shared" ca="1" si="9"/>
        <v>0.20199999999999999</v>
      </c>
      <c r="F63" s="781">
        <f t="shared" si="9"/>
        <v>0.22700000000000001</v>
      </c>
      <c r="G63" s="781">
        <f t="shared" ca="1" si="9"/>
        <v>0.26700000000000007</v>
      </c>
      <c r="H63" s="781">
        <f t="shared" si="9"/>
        <v>0.26700000000000002</v>
      </c>
      <c r="I63" s="781">
        <f t="shared" si="9"/>
        <v>0.24899999999999997</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3266.9090813983785</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43.649999999999991</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51.35294117647058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3310.5590813983786</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3266.9090813983785</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43.649999999999991</v>
      </c>
      <c r="C8" s="570">
        <f>B101</f>
        <v>0</v>
      </c>
      <c r="D8" s="1044"/>
      <c r="E8" s="1044">
        <f>E101</f>
        <v>0</v>
      </c>
      <c r="F8" s="1045"/>
      <c r="G8" s="571"/>
      <c r="H8" s="1044">
        <f>I101</f>
        <v>0</v>
      </c>
      <c r="I8" s="1044">
        <f>G101+F101</f>
        <v>0</v>
      </c>
      <c r="J8" s="1044">
        <f>H101+D101+C101</f>
        <v>51.35294117647058</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3310.5590813983786</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62.357142857142847</v>
      </c>
      <c r="C17" s="595">
        <f>B102</f>
        <v>0</v>
      </c>
      <c r="D17" s="596"/>
      <c r="E17" s="596">
        <f>E102</f>
        <v>0</v>
      </c>
      <c r="F17" s="1050"/>
      <c r="G17" s="597"/>
      <c r="H17" s="595">
        <f>I102</f>
        <v>0</v>
      </c>
      <c r="I17" s="596">
        <f>G102+F102</f>
        <v>0</v>
      </c>
      <c r="J17" s="596">
        <f>H102+D102+C102</f>
        <v>73.361344537815114</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45061</v>
      </c>
      <c r="C28" s="796">
        <v>9790</v>
      </c>
      <c r="D28" s="653" t="s">
        <v>881</v>
      </c>
      <c r="E28" s="652" t="s">
        <v>882</v>
      </c>
      <c r="F28" s="652" t="s">
        <v>883</v>
      </c>
      <c r="G28" s="652" t="s">
        <v>884</v>
      </c>
      <c r="H28" s="652" t="s">
        <v>885</v>
      </c>
      <c r="I28" s="652" t="s">
        <v>882</v>
      </c>
      <c r="J28" s="795">
        <v>41117</v>
      </c>
      <c r="K28" s="795">
        <v>41244</v>
      </c>
      <c r="L28" s="652" t="s">
        <v>886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12016.611340065974</v>
      </c>
      <c r="C4" s="477">
        <f>huishoudens!C8</f>
        <v>0</v>
      </c>
      <c r="D4" s="477">
        <f>huishoudens!D8</f>
        <v>10657.120982639883</v>
      </c>
      <c r="E4" s="477">
        <f>huishoudens!E8</f>
        <v>3164.5333544842888</v>
      </c>
      <c r="F4" s="477">
        <f>huishoudens!F8</f>
        <v>24539.506907471918</v>
      </c>
      <c r="G4" s="477">
        <f>huishoudens!G8</f>
        <v>0</v>
      </c>
      <c r="H4" s="477">
        <f>huishoudens!H8</f>
        <v>0</v>
      </c>
      <c r="I4" s="477">
        <f>huishoudens!I8</f>
        <v>0</v>
      </c>
      <c r="J4" s="477">
        <f>huishoudens!J8</f>
        <v>2824.3521901001413</v>
      </c>
      <c r="K4" s="477">
        <f>huishoudens!K8</f>
        <v>0</v>
      </c>
      <c r="L4" s="477">
        <f>huishoudens!L8</f>
        <v>0</v>
      </c>
      <c r="M4" s="477">
        <f>huishoudens!M8</f>
        <v>0</v>
      </c>
      <c r="N4" s="477">
        <f>huishoudens!N8</f>
        <v>8088.4184102019826</v>
      </c>
      <c r="O4" s="477">
        <f>huishoudens!O8</f>
        <v>193.85333333333335</v>
      </c>
      <c r="P4" s="478">
        <f>huishoudens!P8</f>
        <v>514.79999999999995</v>
      </c>
      <c r="Q4" s="479">
        <f>SUM(B4:P4)</f>
        <v>61999.196518297525</v>
      </c>
    </row>
    <row r="5" spans="1:17">
      <c r="A5" s="476" t="s">
        <v>156</v>
      </c>
      <c r="B5" s="477">
        <f ca="1">tertiair!B16</f>
        <v>6365.7118683029421</v>
      </c>
      <c r="C5" s="477">
        <f ca="1">tertiair!C16</f>
        <v>0</v>
      </c>
      <c r="D5" s="477">
        <f ca="1">tertiair!D16</f>
        <v>1856.2641047487436</v>
      </c>
      <c r="E5" s="477">
        <f>tertiair!E16</f>
        <v>84.402765193856965</v>
      </c>
      <c r="F5" s="477">
        <f ca="1">tertiair!F16</f>
        <v>1078.7962396761736</v>
      </c>
      <c r="G5" s="477">
        <f>tertiair!G16</f>
        <v>0</v>
      </c>
      <c r="H5" s="477">
        <f>tertiair!H16</f>
        <v>0</v>
      </c>
      <c r="I5" s="477">
        <f>tertiair!I16</f>
        <v>0</v>
      </c>
      <c r="J5" s="477">
        <f>tertiair!J16</f>
        <v>1.0869947189939697E-2</v>
      </c>
      <c r="K5" s="477">
        <f>tertiair!K16</f>
        <v>0</v>
      </c>
      <c r="L5" s="477">
        <f ca="1">tertiair!L16</f>
        <v>0</v>
      </c>
      <c r="M5" s="477">
        <f>tertiair!M16</f>
        <v>0</v>
      </c>
      <c r="N5" s="477">
        <f ca="1">tertiair!N16</f>
        <v>436.65226767282149</v>
      </c>
      <c r="O5" s="477">
        <f>tertiair!O16</f>
        <v>0</v>
      </c>
      <c r="P5" s="478">
        <f>tertiair!P16</f>
        <v>19.066666666666666</v>
      </c>
      <c r="Q5" s="476">
        <f t="shared" ref="Q5:Q14" ca="1" si="0">SUM(B5:P5)</f>
        <v>9840.9047822083958</v>
      </c>
    </row>
    <row r="6" spans="1:17">
      <c r="A6" s="476" t="s">
        <v>194</v>
      </c>
      <c r="B6" s="477">
        <f>'openbare verlichting'!B8</f>
        <v>591.59500000000003</v>
      </c>
      <c r="C6" s="477"/>
      <c r="D6" s="477"/>
      <c r="E6" s="477"/>
      <c r="F6" s="477"/>
      <c r="G6" s="477"/>
      <c r="H6" s="477"/>
      <c r="I6" s="477"/>
      <c r="J6" s="477"/>
      <c r="K6" s="477"/>
      <c r="L6" s="477"/>
      <c r="M6" s="477"/>
      <c r="N6" s="477"/>
      <c r="O6" s="477"/>
      <c r="P6" s="478"/>
      <c r="Q6" s="476">
        <f t="shared" si="0"/>
        <v>591.59500000000003</v>
      </c>
    </row>
    <row r="7" spans="1:17">
      <c r="A7" s="476" t="s">
        <v>112</v>
      </c>
      <c r="B7" s="477">
        <f>landbouw!B8</f>
        <v>1482.5374137280935</v>
      </c>
      <c r="C7" s="477">
        <f>landbouw!C8</f>
        <v>62.357142857142847</v>
      </c>
      <c r="D7" s="477">
        <f>landbouw!D8</f>
        <v>88.335289720574039</v>
      </c>
      <c r="E7" s="477">
        <f>landbouw!E8</f>
        <v>43.576302781380903</v>
      </c>
      <c r="F7" s="477">
        <f>landbouw!F8</f>
        <v>6176.1707534742982</v>
      </c>
      <c r="G7" s="477">
        <f>landbouw!G8</f>
        <v>0</v>
      </c>
      <c r="H7" s="477">
        <f>landbouw!H8</f>
        <v>0</v>
      </c>
      <c r="I7" s="477">
        <f>landbouw!I8</f>
        <v>0</v>
      </c>
      <c r="J7" s="477">
        <f>landbouw!J8</f>
        <v>214.7878333937966</v>
      </c>
      <c r="K7" s="477">
        <f>landbouw!K8</f>
        <v>0</v>
      </c>
      <c r="L7" s="477">
        <f>landbouw!L8</f>
        <v>0</v>
      </c>
      <c r="M7" s="477">
        <f>landbouw!M8</f>
        <v>0</v>
      </c>
      <c r="N7" s="477">
        <f>landbouw!N8</f>
        <v>0</v>
      </c>
      <c r="O7" s="477">
        <f>landbouw!O8</f>
        <v>0</v>
      </c>
      <c r="P7" s="478">
        <f>landbouw!P8</f>
        <v>0</v>
      </c>
      <c r="Q7" s="476">
        <f t="shared" si="0"/>
        <v>8067.7647359552866</v>
      </c>
    </row>
    <row r="8" spans="1:17">
      <c r="A8" s="476" t="s">
        <v>635</v>
      </c>
      <c r="B8" s="477">
        <f>industrie!B18</f>
        <v>4083.1608313382699</v>
      </c>
      <c r="C8" s="477">
        <f>industrie!C18</f>
        <v>0</v>
      </c>
      <c r="D8" s="477">
        <f>industrie!D18</f>
        <v>519.00906040738039</v>
      </c>
      <c r="E8" s="477">
        <f>industrie!E18</f>
        <v>689.58189131596646</v>
      </c>
      <c r="F8" s="477">
        <f>industrie!F18</f>
        <v>1994.0194259779353</v>
      </c>
      <c r="G8" s="477">
        <f>industrie!G18</f>
        <v>0</v>
      </c>
      <c r="H8" s="477">
        <f>industrie!H18</f>
        <v>0</v>
      </c>
      <c r="I8" s="477">
        <f>industrie!I18</f>
        <v>0</v>
      </c>
      <c r="J8" s="477">
        <f>industrie!J18</f>
        <v>7.609883188749353</v>
      </c>
      <c r="K8" s="477">
        <f>industrie!K18</f>
        <v>0</v>
      </c>
      <c r="L8" s="477">
        <f>industrie!L18</f>
        <v>0</v>
      </c>
      <c r="M8" s="477">
        <f>industrie!M18</f>
        <v>0</v>
      </c>
      <c r="N8" s="477">
        <f>industrie!N18</f>
        <v>1123.6057347691226</v>
      </c>
      <c r="O8" s="477">
        <f>industrie!O18</f>
        <v>0</v>
      </c>
      <c r="P8" s="478">
        <f>industrie!P18</f>
        <v>0</v>
      </c>
      <c r="Q8" s="476">
        <f t="shared" si="0"/>
        <v>8416.9868269974249</v>
      </c>
    </row>
    <row r="9" spans="1:17" s="482" customFormat="1">
      <c r="A9" s="480" t="s">
        <v>561</v>
      </c>
      <c r="B9" s="481">
        <f>transport!B14</f>
        <v>15.249822312042442</v>
      </c>
      <c r="C9" s="481">
        <f>transport!C14</f>
        <v>0</v>
      </c>
      <c r="D9" s="481">
        <f>transport!D14</f>
        <v>66.915564208756194</v>
      </c>
      <c r="E9" s="481">
        <f>transport!E14</f>
        <v>86.531654757969434</v>
      </c>
      <c r="F9" s="481">
        <f>transport!F14</f>
        <v>0</v>
      </c>
      <c r="G9" s="481">
        <f>transport!G14</f>
        <v>26523.589324217057</v>
      </c>
      <c r="H9" s="481">
        <f>transport!H14</f>
        <v>7457.1039724072525</v>
      </c>
      <c r="I9" s="481">
        <f>transport!I14</f>
        <v>0</v>
      </c>
      <c r="J9" s="481">
        <f>transport!J14</f>
        <v>0</v>
      </c>
      <c r="K9" s="481">
        <f>transport!K14</f>
        <v>0</v>
      </c>
      <c r="L9" s="481">
        <f>transport!L14</f>
        <v>0</v>
      </c>
      <c r="M9" s="481">
        <f>transport!M14</f>
        <v>1769.6214152392392</v>
      </c>
      <c r="N9" s="481">
        <f>transport!N14</f>
        <v>0</v>
      </c>
      <c r="O9" s="481">
        <f>transport!O14</f>
        <v>0</v>
      </c>
      <c r="P9" s="481">
        <f>transport!P14</f>
        <v>0</v>
      </c>
      <c r="Q9" s="480">
        <f>SUM(B9:P9)</f>
        <v>35919.011753142317</v>
      </c>
    </row>
    <row r="10" spans="1:17">
      <c r="A10" s="476" t="s">
        <v>551</v>
      </c>
      <c r="B10" s="477">
        <f>transport!B54</f>
        <v>0</v>
      </c>
      <c r="C10" s="477">
        <f>transport!C54</f>
        <v>0</v>
      </c>
      <c r="D10" s="477">
        <f>transport!D54</f>
        <v>0</v>
      </c>
      <c r="E10" s="477">
        <f>transport!E54</f>
        <v>0</v>
      </c>
      <c r="F10" s="477">
        <f>transport!F54</f>
        <v>0</v>
      </c>
      <c r="G10" s="477">
        <f>transport!G54</f>
        <v>499.17552211443052</v>
      </c>
      <c r="H10" s="477">
        <f>transport!H54</f>
        <v>0</v>
      </c>
      <c r="I10" s="477">
        <f>transport!I54</f>
        <v>0</v>
      </c>
      <c r="J10" s="477">
        <f>transport!J54</f>
        <v>0</v>
      </c>
      <c r="K10" s="477">
        <f>transport!K54</f>
        <v>0</v>
      </c>
      <c r="L10" s="477">
        <f>transport!L54</f>
        <v>0</v>
      </c>
      <c r="M10" s="477">
        <f>transport!M54</f>
        <v>28.350966007627974</v>
      </c>
      <c r="N10" s="477">
        <f>transport!N54</f>
        <v>0</v>
      </c>
      <c r="O10" s="477">
        <f>transport!O54</f>
        <v>0</v>
      </c>
      <c r="P10" s="478">
        <f>transport!P54</f>
        <v>0</v>
      </c>
      <c r="Q10" s="476">
        <f t="shared" si="0"/>
        <v>527.52648812205848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388.05713952276602</v>
      </c>
      <c r="C14" s="484"/>
      <c r="D14" s="484">
        <f>'SEAP template'!E25</f>
        <v>161.06836713470599</v>
      </c>
      <c r="E14" s="484"/>
      <c r="F14" s="484"/>
      <c r="G14" s="484"/>
      <c r="H14" s="484"/>
      <c r="I14" s="484"/>
      <c r="J14" s="484"/>
      <c r="K14" s="484"/>
      <c r="L14" s="484"/>
      <c r="M14" s="484"/>
      <c r="N14" s="484"/>
      <c r="O14" s="484"/>
      <c r="P14" s="485"/>
      <c r="Q14" s="476">
        <f t="shared" si="0"/>
        <v>549.12550665747199</v>
      </c>
    </row>
    <row r="15" spans="1:17" s="486" customFormat="1">
      <c r="A15" s="1039" t="s">
        <v>555</v>
      </c>
      <c r="B15" s="987">
        <f ca="1">SUM(B4:B14)</f>
        <v>24942.923415270088</v>
      </c>
      <c r="C15" s="987">
        <f t="shared" ref="C15:Q15" ca="1" si="1">SUM(C4:C14)</f>
        <v>62.357142857142847</v>
      </c>
      <c r="D15" s="987">
        <f t="shared" ca="1" si="1"/>
        <v>13348.713368860041</v>
      </c>
      <c r="E15" s="987">
        <f t="shared" si="1"/>
        <v>4068.6259685334626</v>
      </c>
      <c r="F15" s="987">
        <f t="shared" ca="1" si="1"/>
        <v>33788.493326600328</v>
      </c>
      <c r="G15" s="987">
        <f t="shared" si="1"/>
        <v>27022.764846331487</v>
      </c>
      <c r="H15" s="987">
        <f t="shared" si="1"/>
        <v>7457.1039724072525</v>
      </c>
      <c r="I15" s="987">
        <f t="shared" si="1"/>
        <v>0</v>
      </c>
      <c r="J15" s="987">
        <f t="shared" si="1"/>
        <v>3046.760776629877</v>
      </c>
      <c r="K15" s="987">
        <f t="shared" si="1"/>
        <v>0</v>
      </c>
      <c r="L15" s="987">
        <f t="shared" ca="1" si="1"/>
        <v>0</v>
      </c>
      <c r="M15" s="987">
        <f t="shared" si="1"/>
        <v>1797.9723812468671</v>
      </c>
      <c r="N15" s="987">
        <f t="shared" ca="1" si="1"/>
        <v>9648.6764126439266</v>
      </c>
      <c r="O15" s="987">
        <f t="shared" si="1"/>
        <v>193.85333333333335</v>
      </c>
      <c r="P15" s="987">
        <f t="shared" si="1"/>
        <v>533.86666666666667</v>
      </c>
      <c r="Q15" s="987">
        <f t="shared" ca="1" si="1"/>
        <v>125912.11161138047</v>
      </c>
    </row>
    <row r="17" spans="1:17">
      <c r="A17" s="487" t="s">
        <v>556</v>
      </c>
      <c r="B17" s="786">
        <f ca="1">huishoudens!B10</f>
        <v>0.19166769019780838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2303.1961395552362</v>
      </c>
      <c r="C22" s="477">
        <f t="shared" ref="C22:C32" ca="1" si="3">C4*$C$17</f>
        <v>0</v>
      </c>
      <c r="D22" s="477">
        <f t="shared" ref="D22:D32" si="4">D4*$D$17</f>
        <v>2152.7384384932566</v>
      </c>
      <c r="E22" s="477">
        <f t="shared" ref="E22:E32" si="5">E4*$E$17</f>
        <v>718.34907146793353</v>
      </c>
      <c r="F22" s="477">
        <f t="shared" ref="F22:F32" si="6">F4*$F$17</f>
        <v>6552.0483442950026</v>
      </c>
      <c r="G22" s="477">
        <f t="shared" ref="G22:G32" si="7">G4*$G$17</f>
        <v>0</v>
      </c>
      <c r="H22" s="477">
        <f t="shared" ref="H22:H32" si="8">H4*$H$17</f>
        <v>0</v>
      </c>
      <c r="I22" s="477">
        <f t="shared" ref="I22:I32" si="9">I4*$I$17</f>
        <v>0</v>
      </c>
      <c r="J22" s="477">
        <f t="shared" ref="J22:J32" si="10">J4*$J$17</f>
        <v>999.82067529544997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12726.152669106879</v>
      </c>
    </row>
    <row r="23" spans="1:17">
      <c r="A23" s="476" t="s">
        <v>156</v>
      </c>
      <c r="B23" s="477">
        <f t="shared" ca="1" si="2"/>
        <v>1220.1012902624002</v>
      </c>
      <c r="C23" s="477">
        <f t="shared" ca="1" si="3"/>
        <v>0</v>
      </c>
      <c r="D23" s="477">
        <f t="shared" ca="1" si="4"/>
        <v>374.96534915924622</v>
      </c>
      <c r="E23" s="477">
        <f t="shared" si="5"/>
        <v>19.15942769900553</v>
      </c>
      <c r="F23" s="477">
        <f t="shared" ca="1" si="6"/>
        <v>288.03859599353837</v>
      </c>
      <c r="G23" s="477">
        <f t="shared" si="7"/>
        <v>0</v>
      </c>
      <c r="H23" s="477">
        <f t="shared" si="8"/>
        <v>0</v>
      </c>
      <c r="I23" s="477">
        <f t="shared" si="9"/>
        <v>0</v>
      </c>
      <c r="J23" s="477">
        <f t="shared" si="10"/>
        <v>3.8479613052386525E-3</v>
      </c>
      <c r="K23" s="477">
        <f t="shared" si="11"/>
        <v>0</v>
      </c>
      <c r="L23" s="477">
        <f t="shared" ca="1" si="12"/>
        <v>0</v>
      </c>
      <c r="M23" s="477">
        <f t="shared" si="13"/>
        <v>0</v>
      </c>
      <c r="N23" s="477">
        <f t="shared" ca="1" si="14"/>
        <v>0</v>
      </c>
      <c r="O23" s="477">
        <f t="shared" si="15"/>
        <v>0</v>
      </c>
      <c r="P23" s="478">
        <f t="shared" si="16"/>
        <v>0</v>
      </c>
      <c r="Q23" s="476">
        <f t="shared" ref="Q23:Q32" ca="1" si="17">SUM(B23:P23)</f>
        <v>1902.2685110754956</v>
      </c>
    </row>
    <row r="24" spans="1:17">
      <c r="A24" s="476" t="s">
        <v>194</v>
      </c>
      <c r="B24" s="477">
        <f t="shared" ca="1" si="2"/>
        <v>113.38964718257246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113.38964718257246</v>
      </c>
    </row>
    <row r="25" spans="1:17">
      <c r="A25" s="476" t="s">
        <v>112</v>
      </c>
      <c r="B25" s="477">
        <f t="shared" ca="1" si="2"/>
        <v>284.15452172109627</v>
      </c>
      <c r="C25" s="477">
        <f t="shared" ca="1" si="3"/>
        <v>0</v>
      </c>
      <c r="D25" s="477">
        <f t="shared" si="4"/>
        <v>17.843728523555956</v>
      </c>
      <c r="E25" s="477">
        <f t="shared" si="5"/>
        <v>9.8918207313734658</v>
      </c>
      <c r="F25" s="477">
        <f t="shared" si="6"/>
        <v>1649.0375911776378</v>
      </c>
      <c r="G25" s="477">
        <f t="shared" si="7"/>
        <v>0</v>
      </c>
      <c r="H25" s="477">
        <f t="shared" si="8"/>
        <v>0</v>
      </c>
      <c r="I25" s="477">
        <f t="shared" si="9"/>
        <v>0</v>
      </c>
      <c r="J25" s="477">
        <f t="shared" si="10"/>
        <v>76.034893021403988</v>
      </c>
      <c r="K25" s="477">
        <f t="shared" si="11"/>
        <v>0</v>
      </c>
      <c r="L25" s="477">
        <f t="shared" si="12"/>
        <v>0</v>
      </c>
      <c r="M25" s="477">
        <f t="shared" si="13"/>
        <v>0</v>
      </c>
      <c r="N25" s="477">
        <f t="shared" si="14"/>
        <v>0</v>
      </c>
      <c r="O25" s="477">
        <f t="shared" si="15"/>
        <v>0</v>
      </c>
      <c r="P25" s="478">
        <f t="shared" si="16"/>
        <v>0</v>
      </c>
      <c r="Q25" s="476">
        <f t="shared" ca="1" si="17"/>
        <v>2036.9625551750676</v>
      </c>
    </row>
    <row r="26" spans="1:17">
      <c r="A26" s="476" t="s">
        <v>635</v>
      </c>
      <c r="B26" s="477">
        <f t="shared" ca="1" si="2"/>
        <v>782.6100052487692</v>
      </c>
      <c r="C26" s="477">
        <f t="shared" ca="1" si="3"/>
        <v>0</v>
      </c>
      <c r="D26" s="477">
        <f t="shared" si="4"/>
        <v>104.83983020229084</v>
      </c>
      <c r="E26" s="477">
        <f t="shared" si="5"/>
        <v>156.53508932872438</v>
      </c>
      <c r="F26" s="477">
        <f t="shared" si="6"/>
        <v>532.40318673610875</v>
      </c>
      <c r="G26" s="477">
        <f t="shared" si="7"/>
        <v>0</v>
      </c>
      <c r="H26" s="477">
        <f t="shared" si="8"/>
        <v>0</v>
      </c>
      <c r="I26" s="477">
        <f t="shared" si="9"/>
        <v>0</v>
      </c>
      <c r="J26" s="477">
        <f t="shared" si="10"/>
        <v>2.6938986488172709</v>
      </c>
      <c r="K26" s="477">
        <f t="shared" si="11"/>
        <v>0</v>
      </c>
      <c r="L26" s="477">
        <f t="shared" si="12"/>
        <v>0</v>
      </c>
      <c r="M26" s="477">
        <f t="shared" si="13"/>
        <v>0</v>
      </c>
      <c r="N26" s="477">
        <f t="shared" si="14"/>
        <v>0</v>
      </c>
      <c r="O26" s="477">
        <f t="shared" si="15"/>
        <v>0</v>
      </c>
      <c r="P26" s="478">
        <f t="shared" si="16"/>
        <v>0</v>
      </c>
      <c r="Q26" s="476">
        <f t="shared" ca="1" si="17"/>
        <v>1579.0820101647107</v>
      </c>
    </row>
    <row r="27" spans="1:17" s="482" customFormat="1">
      <c r="A27" s="480" t="s">
        <v>561</v>
      </c>
      <c r="B27" s="780">
        <f t="shared" ca="1" si="2"/>
        <v>2.9228982184761767</v>
      </c>
      <c r="C27" s="481">
        <f t="shared" ca="1" si="3"/>
        <v>0</v>
      </c>
      <c r="D27" s="481">
        <f t="shared" si="4"/>
        <v>13.516943970168752</v>
      </c>
      <c r="E27" s="481">
        <f t="shared" si="5"/>
        <v>19.642685630059063</v>
      </c>
      <c r="F27" s="481">
        <f t="shared" si="6"/>
        <v>0</v>
      </c>
      <c r="G27" s="481">
        <f t="shared" si="7"/>
        <v>7081.7983495659546</v>
      </c>
      <c r="H27" s="481">
        <f t="shared" si="8"/>
        <v>1856.8188891294058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8974.6997665140643</v>
      </c>
    </row>
    <row r="28" spans="1:17">
      <c r="A28" s="476" t="s">
        <v>551</v>
      </c>
      <c r="B28" s="477">
        <f t="shared" ca="1" si="2"/>
        <v>0</v>
      </c>
      <c r="C28" s="477">
        <f t="shared" ca="1" si="3"/>
        <v>0</v>
      </c>
      <c r="D28" s="477">
        <f t="shared" si="4"/>
        <v>0</v>
      </c>
      <c r="E28" s="477">
        <f t="shared" si="5"/>
        <v>0</v>
      </c>
      <c r="F28" s="477">
        <f t="shared" si="6"/>
        <v>0</v>
      </c>
      <c r="G28" s="477">
        <f t="shared" si="7"/>
        <v>133.27986440455297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133.27986440455297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74.378015597097217</v>
      </c>
      <c r="C32" s="477">
        <f t="shared" ca="1" si="3"/>
        <v>0</v>
      </c>
      <c r="D32" s="477">
        <f t="shared" si="4"/>
        <v>32.535810161210613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106.91382575830784</v>
      </c>
    </row>
    <row r="33" spans="1:17" s="486" customFormat="1">
      <c r="A33" s="1039" t="s">
        <v>555</v>
      </c>
      <c r="B33" s="987">
        <f ca="1">SUM(B22:B32)</f>
        <v>4780.7525177856478</v>
      </c>
      <c r="C33" s="987">
        <f t="shared" ref="C33:Q33" ca="1" si="18">SUM(C22:C32)</f>
        <v>0</v>
      </c>
      <c r="D33" s="987">
        <f t="shared" ca="1" si="18"/>
        <v>2696.4401005097284</v>
      </c>
      <c r="E33" s="987">
        <f t="shared" si="18"/>
        <v>923.57809485709595</v>
      </c>
      <c r="F33" s="987">
        <f t="shared" ca="1" si="18"/>
        <v>9021.5277182022874</v>
      </c>
      <c r="G33" s="987">
        <f t="shared" si="18"/>
        <v>7215.0782139705079</v>
      </c>
      <c r="H33" s="987">
        <f t="shared" si="18"/>
        <v>1856.8188891294058</v>
      </c>
      <c r="I33" s="987">
        <f t="shared" si="18"/>
        <v>0</v>
      </c>
      <c r="J33" s="987">
        <f t="shared" si="18"/>
        <v>1078.5533149269766</v>
      </c>
      <c r="K33" s="987">
        <f t="shared" si="18"/>
        <v>0</v>
      </c>
      <c r="L33" s="987">
        <f t="shared" ca="1" si="18"/>
        <v>0</v>
      </c>
      <c r="M33" s="987">
        <f t="shared" si="18"/>
        <v>0</v>
      </c>
      <c r="N33" s="987">
        <f t="shared" ca="1" si="18"/>
        <v>0</v>
      </c>
      <c r="O33" s="987">
        <f t="shared" si="18"/>
        <v>0</v>
      </c>
      <c r="P33" s="987">
        <f t="shared" si="18"/>
        <v>0</v>
      </c>
      <c r="Q33" s="987">
        <f t="shared" ca="1" si="18"/>
        <v>27572.748849381653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3266.9090813983785</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43.649999999999991</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51.35294117647058</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3310.5590813983786</v>
      </c>
      <c r="C10" s="1060">
        <f>SUM(C4:C9)</f>
        <v>0</v>
      </c>
      <c r="D10" s="1060">
        <f t="shared" ref="D10:H10" si="0">SUM(D8:D9)</f>
        <v>0</v>
      </c>
      <c r="E10" s="1060">
        <f t="shared" si="0"/>
        <v>0</v>
      </c>
      <c r="F10" s="1060">
        <f t="shared" si="0"/>
        <v>0</v>
      </c>
      <c r="G10" s="1060">
        <f t="shared" si="0"/>
        <v>0</v>
      </c>
      <c r="H10" s="1060">
        <f t="shared" si="0"/>
        <v>0</v>
      </c>
      <c r="I10" s="1060">
        <f>SUM(I8:I9)</f>
        <v>0</v>
      </c>
      <c r="J10" s="1060">
        <f>SUM(J8:J9)</f>
        <v>51.35294117647058</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0.19166769019780838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62.357142857142847</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73.361344537815114</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62.357142857142847</v>
      </c>
      <c r="C20" s="1060">
        <f>SUM(C17:C19)</f>
        <v>0</v>
      </c>
      <c r="D20" s="1060">
        <f t="shared" ref="D20:H20" si="2">SUM(D17:D19)</f>
        <v>0</v>
      </c>
      <c r="E20" s="1060">
        <f t="shared" si="2"/>
        <v>0</v>
      </c>
      <c r="F20" s="1060">
        <f t="shared" si="2"/>
        <v>0</v>
      </c>
      <c r="G20" s="1060">
        <f t="shared" si="2"/>
        <v>0</v>
      </c>
      <c r="H20" s="1060">
        <f t="shared" si="2"/>
        <v>0</v>
      </c>
      <c r="I20" s="1060">
        <f>SUM(I17:I19)</f>
        <v>0</v>
      </c>
      <c r="J20" s="1060">
        <f>SUM(J17:J19)</f>
        <v>73.361344537815114</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0.19166769019780838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2019-08-12T08:34:55Z</dcterms:modified>
</cp:coreProperties>
</file>