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G19"/>
  <c r="F19"/>
  <c r="E19"/>
  <c r="F89" i="14" s="1"/>
  <c r="F19" i="61" s="1"/>
  <c r="D19" i="18"/>
  <c r="D20" s="1"/>
  <c r="C19"/>
  <c r="B19"/>
  <c r="N18"/>
  <c r="L88" i="14" s="1"/>
  <c r="M18" i="18"/>
  <c r="L18"/>
  <c r="K18"/>
  <c r="J18"/>
  <c r="I18"/>
  <c r="H18"/>
  <c r="G18"/>
  <c r="F18"/>
  <c r="G88" i="14" s="1"/>
  <c r="G18" i="61" s="1"/>
  <c r="E18" i="18"/>
  <c r="D18"/>
  <c r="C18"/>
  <c r="B18"/>
  <c r="L9"/>
  <c r="L10" s="1"/>
  <c r="K9"/>
  <c r="G9"/>
  <c r="G10" s="1"/>
  <c r="F9"/>
  <c r="E9"/>
  <c r="D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88" i="14"/>
  <c r="D18" i="61" s="1"/>
  <c r="G12" i="18"/>
  <c r="F12"/>
  <c r="E12"/>
  <c r="D12"/>
  <c r="C12"/>
  <c r="K10"/>
  <c r="F10"/>
  <c r="E77" i="14"/>
  <c r="E9" i="61" s="1"/>
  <c r="B8" i="18"/>
  <c r="B6"/>
  <c r="B5"/>
  <c r="B73" i="14" s="1"/>
  <c r="B5" i="61" s="1"/>
  <c r="B4" i="18"/>
  <c r="B72" i="14" s="1"/>
  <c r="B4" i="61" s="1"/>
  <c r="D6" i="17"/>
  <c r="B19" i="6"/>
  <c r="B18"/>
  <c r="B5"/>
  <c r="B6"/>
  <c r="C64" i="14" s="1"/>
  <c r="D14" i="48"/>
  <c r="P7"/>
  <c r="P25" s="1"/>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28"/>
  <c r="O89" i="14"/>
  <c r="O19" i="61" s="1"/>
  <c r="N89" i="14"/>
  <c r="N19" i="61" s="1"/>
  <c r="M89" i="14"/>
  <c r="M19" i="61" s="1"/>
  <c r="L89" i="14"/>
  <c r="L19" i="61" s="1"/>
  <c r="K89" i="14"/>
  <c r="K19" i="61" s="1"/>
  <c r="K20" s="1"/>
  <c r="J89" i="14"/>
  <c r="J19" i="61" s="1"/>
  <c r="H89" i="14"/>
  <c r="H19" i="61" s="1"/>
  <c r="E89" i="14"/>
  <c r="E19" i="61" s="1"/>
  <c r="D89" i="14"/>
  <c r="D19" i="61" s="1"/>
  <c r="M88" i="14"/>
  <c r="M18" i="61" s="1"/>
  <c r="K88" i="14"/>
  <c r="K18"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N77" i="14"/>
  <c r="L77"/>
  <c r="L9" i="61" s="1"/>
  <c r="K77" i="14"/>
  <c r="K9" i="61" s="1"/>
  <c r="G77" i="14"/>
  <c r="G9" i="61" s="1"/>
  <c r="O76" i="14"/>
  <c r="O8" i="61" s="1"/>
  <c r="N76" i="14"/>
  <c r="N8" i="61" s="1"/>
  <c r="L76" i="14"/>
  <c r="K76"/>
  <c r="H76"/>
  <c r="H8" i="61" s="1"/>
  <c r="G76" i="14"/>
  <c r="G8" i="61" s="1"/>
  <c r="G10" s="1"/>
  <c r="E76" i="14"/>
  <c r="E8" i="61" s="1"/>
  <c r="B75" i="14"/>
  <c r="B7" i="61" s="1"/>
  <c r="B74" i="14"/>
  <c r="B6" i="61" s="1"/>
  <c r="C29" i="14"/>
  <c r="Q54"/>
  <c r="Q56" s="1"/>
  <c r="P54"/>
  <c r="P56" s="1"/>
  <c r="L54"/>
  <c r="L56" s="1"/>
  <c r="J54"/>
  <c r="I54"/>
  <c r="H54"/>
  <c r="H56" s="1"/>
  <c r="Q24"/>
  <c r="Q26" s="1"/>
  <c r="P24"/>
  <c r="P26" s="1"/>
  <c r="N24"/>
  <c r="L24"/>
  <c r="L26" s="1"/>
  <c r="J24"/>
  <c r="I24"/>
  <c r="I26" s="1"/>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K90"/>
  <c r="R78"/>
  <c r="J56"/>
  <c r="I56"/>
  <c r="R44"/>
  <c r="N26"/>
  <c r="J26"/>
  <c r="E25"/>
  <c r="C25"/>
  <c r="B14" i="48" s="1"/>
  <c r="Q14" s="1"/>
  <c r="H26" i="14"/>
  <c r="L22"/>
  <c r="M22"/>
  <c r="D5" i="17"/>
  <c r="L78" i="14" l="1"/>
  <c r="L8" i="61"/>
  <c r="L10" s="1"/>
  <c r="E90" i="14"/>
  <c r="E18" i="61"/>
  <c r="L20"/>
  <c r="I77" i="14"/>
  <c r="I9" i="61" s="1"/>
  <c r="Q11" i="48"/>
  <c r="N10" i="61"/>
  <c r="E20"/>
  <c r="C98" i="18"/>
  <c r="E101" s="1"/>
  <c r="E8" s="1"/>
  <c r="O77" i="14"/>
  <c r="O9" i="61" s="1"/>
  <c r="O10" s="1"/>
  <c r="O30" i="48"/>
  <c r="N20" i="61"/>
  <c r="K78" i="14"/>
  <c r="K8" i="61"/>
  <c r="K10" s="1"/>
  <c r="N78" i="14"/>
  <c r="N9" i="61"/>
  <c r="L90" i="14"/>
  <c r="L18" i="61"/>
  <c r="K22" i="14"/>
  <c r="Q52"/>
  <c r="F6" i="17"/>
  <c r="I9" i="18"/>
  <c r="P27" i="48"/>
  <c r="B10" i="18"/>
  <c r="M77" i="14"/>
  <c r="M9" i="61" s="1"/>
  <c r="H9" i="18"/>
  <c r="O9" s="1"/>
  <c r="P31" i="48"/>
  <c r="J22" i="14"/>
  <c r="P22"/>
  <c r="E10" i="61"/>
  <c r="B17" i="18"/>
  <c r="B20" s="1"/>
  <c r="F13" i="15"/>
  <c r="L13"/>
  <c r="B13"/>
  <c r="H90" i="14"/>
  <c r="N13" i="15"/>
  <c r="F77" i="14"/>
  <c r="F9" i="61" s="1"/>
  <c r="I101" i="18"/>
  <c r="H8" s="1"/>
  <c r="G101"/>
  <c r="I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H78" l="1"/>
  <c r="H9" i="61"/>
  <c r="H10" s="1"/>
  <c r="O90" i="14"/>
  <c r="O18" i="61"/>
  <c r="O20" s="1"/>
  <c r="B101" i="18"/>
  <c r="C8" s="1"/>
  <c r="O78" i="14"/>
  <c r="B88"/>
  <c r="B18" i="61" s="1"/>
  <c r="B77" i="14"/>
  <c r="B9" i="61" s="1"/>
  <c r="Q77" i="14"/>
  <c r="P9" i="61" s="1"/>
  <c r="J17" i="18"/>
  <c r="H20"/>
  <c r="M87" i="14"/>
  <c r="J8" i="18"/>
  <c r="M76" i="14"/>
  <c r="H10" i="18"/>
  <c r="E20"/>
  <c r="F87" i="14"/>
  <c r="C77"/>
  <c r="C9" i="61" s="1"/>
  <c r="C20" i="18"/>
  <c r="D87" i="14"/>
  <c r="D17" i="61" s="1"/>
  <c r="D20" s="1"/>
  <c r="D76" i="14"/>
  <c r="D8" i="61" s="1"/>
  <c r="D10" s="1"/>
  <c r="O8" i="18"/>
  <c r="O10" s="1"/>
  <c r="C10"/>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78" i="14" l="1"/>
  <c r="B8" i="61"/>
  <c r="B10" s="1"/>
  <c r="B90" i="14"/>
  <c r="B17" i="61"/>
  <c r="B20" s="1"/>
  <c r="C90" i="14"/>
  <c r="C17" i="61"/>
  <c r="C20" s="1"/>
  <c r="C78" i="14"/>
  <c r="C8" i="61"/>
  <c r="C10" s="1"/>
  <c r="H14" i="15"/>
  <c r="H16" s="1"/>
  <c r="G14"/>
  <c r="G16" s="1"/>
  <c r="H10" i="14" l="1"/>
  <c r="H16" s="1"/>
  <c r="G5" i="48"/>
  <c r="B4" i="6"/>
  <c r="I10" i="14"/>
  <c r="I16" s="1"/>
  <c r="H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H29"/>
  <c r="H28"/>
  <c r="H25"/>
  <c r="H32"/>
  <c r="H26"/>
  <c r="H24"/>
  <c r="H30"/>
  <c r="H22"/>
  <c r="H23"/>
  <c r="C4"/>
  <c r="D11" i="14"/>
  <c r="C11"/>
  <c r="B4" i="48"/>
  <c r="F30"/>
  <c r="F32"/>
  <c r="F24"/>
  <c r="F31"/>
  <c r="F29"/>
  <c r="F27"/>
  <c r="F28"/>
  <c r="N30"/>
  <c r="N32"/>
  <c r="N24"/>
  <c r="N27"/>
  <c r="N29"/>
  <c r="N31"/>
  <c r="N28"/>
  <c r="C19" i="14"/>
  <c r="B10" i="48"/>
  <c r="E31"/>
  <c r="E29"/>
  <c r="E30"/>
  <c r="E28"/>
  <c r="E32"/>
  <c r="E24"/>
  <c r="M29"/>
  <c r="M25"/>
  <c r="M24"/>
  <c r="M30"/>
  <c r="M32"/>
  <c r="M22"/>
  <c r="M26"/>
  <c r="M23"/>
  <c r="B8" i="9"/>
  <c r="B6" i="48" s="1"/>
  <c r="Q6" s="1"/>
  <c r="I29"/>
  <c r="I31"/>
  <c r="I27"/>
  <c r="I25"/>
  <c r="I32"/>
  <c r="I24"/>
  <c r="I28"/>
  <c r="I30"/>
  <c r="I22"/>
  <c r="I26"/>
  <c r="G23"/>
  <c r="G30"/>
  <c r="G32"/>
  <c r="G22"/>
  <c r="G25"/>
  <c r="G24"/>
  <c r="G29"/>
  <c r="G26"/>
  <c r="K5"/>
  <c r="L10" i="14"/>
  <c r="L16" s="1"/>
  <c r="L27" s="1"/>
  <c r="D30" i="48"/>
  <c r="D28"/>
  <c r="D29"/>
  <c r="D31"/>
  <c r="D32"/>
  <c r="D24"/>
  <c r="L29"/>
  <c r="L32"/>
  <c r="L27"/>
  <c r="L24"/>
  <c r="L31"/>
  <c r="L22"/>
  <c r="L30"/>
  <c r="L28"/>
  <c r="P5"/>
  <c r="P23" s="1"/>
  <c r="Q10" i="14"/>
  <c r="K32" i="48"/>
  <c r="K31"/>
  <c r="K24"/>
  <c r="K27"/>
  <c r="K22"/>
  <c r="K29"/>
  <c r="K28"/>
  <c r="K26"/>
  <c r="K25"/>
  <c r="K30"/>
  <c r="C24" i="14"/>
  <c r="C26" s="1"/>
  <c r="B7" i="48"/>
  <c r="J15" i="16"/>
  <c r="D4" i="48"/>
  <c r="D22" s="1"/>
  <c r="E11" i="14"/>
  <c r="J30" i="48"/>
  <c r="J32"/>
  <c r="J24"/>
  <c r="J31"/>
  <c r="J27"/>
  <c r="J28"/>
  <c r="J29"/>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K23" i="48"/>
  <c r="K15"/>
  <c r="O22"/>
  <c r="G13"/>
  <c r="G31" s="1"/>
  <c r="H18" i="14"/>
  <c r="Q16"/>
  <c r="Q27" s="1"/>
  <c r="J7" i="48"/>
  <c r="J25" s="1"/>
  <c r="K24" i="14"/>
  <c r="K26" s="1"/>
  <c r="F4" i="48"/>
  <c r="F22" s="1"/>
  <c r="G11" i="14"/>
  <c r="P22" i="48"/>
  <c r="P33" s="1"/>
  <c r="P15"/>
  <c r="K33"/>
  <c r="I20" i="15"/>
  <c r="J40" i="14" s="1"/>
  <c r="J46" s="1"/>
  <c r="J61" s="1"/>
  <c r="B9" i="48"/>
  <c r="C20" i="14"/>
  <c r="E9" i="48"/>
  <c r="E27" s="1"/>
  <c r="F20" i="14"/>
  <c r="F22" s="1"/>
  <c r="Q13"/>
  <c r="P8" i="48"/>
  <c r="P26" s="1"/>
  <c r="C22" i="14"/>
  <c r="D9" i="48"/>
  <c r="D27" s="1"/>
  <c r="E20" i="14"/>
  <c r="E22" s="1"/>
  <c r="P10"/>
  <c r="O5" i="48"/>
  <c r="O23"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H19" i="14" l="1"/>
  <c r="G10" i="48"/>
  <c r="E4"/>
  <c r="F11" i="14"/>
  <c r="O8" i="48"/>
  <c r="O26" s="1"/>
  <c r="P13" i="14"/>
  <c r="P16" s="1"/>
  <c r="P27" s="1"/>
  <c r="I23" i="48"/>
  <c r="I33" s="1"/>
  <c r="I15"/>
  <c r="K11" i="14"/>
  <c r="J4" i="48"/>
  <c r="N4"/>
  <c r="N22" s="1"/>
  <c r="O11" i="14"/>
  <c r="J63"/>
  <c r="M10" i="48"/>
  <c r="M28" s="1"/>
  <c r="N19" i="14"/>
  <c r="N22" s="1"/>
  <c r="N27" s="1"/>
  <c r="F24"/>
  <c r="F26" s="1"/>
  <c r="E7" i="48"/>
  <c r="E25" s="1"/>
  <c r="P46" i="14"/>
  <c r="P61" s="1"/>
  <c r="O15" i="48"/>
  <c r="O33"/>
  <c r="I20" i="14"/>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0" l="1"/>
  <c r="G9" i="48"/>
  <c r="F10" i="14"/>
  <c r="E5" i="48"/>
  <c r="E23" s="1"/>
  <c r="J22"/>
  <c r="G28"/>
  <c r="Q10"/>
  <c r="E22"/>
  <c r="Q4"/>
  <c r="P63" i="14"/>
  <c r="R11"/>
  <c r="J5" i="48"/>
  <c r="J23" s="1"/>
  <c r="K10" i="14"/>
  <c r="H22"/>
  <c r="H27" s="1"/>
  <c r="R19"/>
  <c r="R22" s="1"/>
  <c r="Q7" i="48"/>
  <c r="N52" i="14"/>
  <c r="N61" s="1"/>
  <c r="M15" i="48"/>
  <c r="M27"/>
  <c r="M33" s="1"/>
  <c r="Q9"/>
  <c r="H15"/>
  <c r="H27"/>
  <c r="H33" s="1"/>
  <c r="N63" i="14"/>
  <c r="R20"/>
  <c r="R24"/>
  <c r="R26" s="1"/>
  <c r="N18" i="16"/>
  <c r="E20" i="15"/>
  <c r="F40" i="14" s="1"/>
  <c r="F18" i="16"/>
  <c r="J18"/>
  <c r="E18"/>
  <c r="G18" i="22"/>
  <c r="H50" i="14" s="1"/>
  <c r="H52" s="1"/>
  <c r="H61" s="1"/>
  <c r="H63" s="1"/>
  <c r="H18" i="22"/>
  <c r="I50" i="14" s="1"/>
  <c r="I52" s="1"/>
  <c r="I61" s="1"/>
  <c r="I63" s="1"/>
  <c r="J8" i="48" l="1"/>
  <c r="J26" s="1"/>
  <c r="K13" i="14"/>
  <c r="K16" s="1"/>
  <c r="K27" s="1"/>
  <c r="K63" s="1"/>
  <c r="F13"/>
  <c r="E8" i="48"/>
  <c r="G27"/>
  <c r="G33" s="1"/>
  <c r="G15"/>
  <c r="F16" i="14"/>
  <c r="F27" s="1"/>
  <c r="J33" i="48"/>
  <c r="N8"/>
  <c r="N26" s="1"/>
  <c r="O13" i="14"/>
  <c r="F8" i="48"/>
  <c r="G13" i="14"/>
  <c r="E22" i="16"/>
  <c r="F43" i="14" s="1"/>
  <c r="F46" s="1"/>
  <c r="F61" s="1"/>
  <c r="F22" i="16"/>
  <c r="G43" i="14" s="1"/>
  <c r="N22" i="16"/>
  <c r="O43" i="14" s="1"/>
  <c r="J22" i="16"/>
  <c r="K43" i="14" s="1"/>
  <c r="K46" s="1"/>
  <c r="K61" s="1"/>
  <c r="F63" l="1"/>
  <c r="E26" i="48"/>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<sst xmlns="http://schemas.openxmlformats.org/spreadsheetml/2006/main" count="2392" uniqueCount="888">
  <si>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</si>
  <si>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</si>
  <si>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</si>
  <si>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</si>
  <si>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</si>
  <si>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</si>
  <si>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</si>
  <si>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</si>
  <si>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</si>
  <si>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</si>
  <si>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</si>
  <si>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</si>
  <si>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</si>
  <si>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</si>
  <si>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</si>
  <si>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</si>
  <si>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</si>
  <si>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</si>
  <si>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</si>
  <si>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</si>
  <si>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</si>
  <si>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</si>
  <si>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</si>
  <si>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</si>
  <si>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</si>
  <si>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</si>
  <si>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</si>
  <si>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</si>
  <si>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</si>
  <si>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</si>
  <si>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</si>
  <si>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</si>
  <si>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</si>
  <si>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</si>
  <si>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</si>
  <si>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</si>
  <si>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</si>
  <si>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</si>
  <si>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</si>
  <si>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</si>
  <si>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</si>
  <si>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</si>
  <si>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</si>
  <si>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</si>
  <si>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</si>
  <si>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</si>
  <si>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</si>
  <si>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</si>
  <si>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</si>
  <si>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</si>
  <si>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</si>
  <si>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</si>
  <si>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</si>
  <si>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</si>
  <si>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</si>
  <si>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</si>
  <si>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</si>
  <si>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</si>
  <si>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</si>
  <si>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</si>
  <si>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</si>
  <si>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</si>
  <si>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</si>
  <si>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</si>
  <si>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</si>
  <si>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</si>
  <si>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</si>
  <si>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</si>
  <si>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</si>
  <si>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</si>
  <si>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</si>
  <si>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</si>
  <si>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</si>
  <si>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</si>
  <si>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</si>
  <si>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</si>
  <si>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</si>
  <si>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</si>
  <si>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</si>
  <si>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</si>
  <si>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</si>
  <si>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</si>
  <si>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</si>
  <si>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</si>
  <si>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</si>
  <si>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</si>
  <si>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</si>
  <si>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</si>
  <si>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</si>
  <si>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</si>
  <si>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</si>
  <si>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</si>
  <si>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</si>
  <si>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</si>
  <si>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</si>
  <si>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</si>
  <si>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</si>
  <si>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</si>
  <si>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</si>
  <si>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</si>
  <si>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</si>
  <si>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</si>
  <si>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</si>
  <si>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</si>
  <si>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</si>
  <si>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</si>
  <si>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</si>
  <si>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</si>
  <si>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</si>
  <si>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</si>
  <si>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</si>
  <si>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</si>
  <si>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</si>
  <si>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</si>
  <si>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</si>
  <si>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</si>
  <si>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</si>
  <si>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</si>
  <si>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</si>
  <si>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</si>
  <si>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</si>
  <si>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</si>
  <si>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</si>
  <si>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</si>
  <si>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</si>
  <si>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</si>
  <si>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</si>
  <si>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</si>
  <si>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</si>
  <si>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</si>
  <si>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</si>
  <si>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</si>
  <si>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</si>
  <si>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</si>
  <si>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</si>
  <si>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</si>
  <si>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</si>
  <si>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</si>
  <si>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</si>
  <si>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</si>
  <si>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</si>
  <si>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</si>
  <si>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</si>
  <si>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</si>
  <si>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</si>
  <si>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</si>
  <si>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</si>
  <si>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</si>
  <si>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</si>
  <si>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</si>
  <si>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</si>
  <si>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</si>
  <si>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</si>
  <si>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</si>
  <si>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</si>
  <si>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</si>
  <si>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</si>
  <si>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</si>
  <si>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</si>
  <si>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</si>
  <si>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</si>
  <si>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</si>
  <si>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</si>
  <si>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</si>
  <si>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</si>
  <si>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</si>
  <si>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</si>
  <si>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</si>
  <si>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</si>
  <si>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</si>
  <si>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</si>
  <si>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</si>
  <si>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</si>
  <si>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</si>
  <si>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</si>
  <si>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</si>
  <si>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</si>
  <si>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</si>
  <si>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</si>
  <si>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</si>
  <si>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</si>
  <si>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</si>
  <si>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</si>
  <si>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</si>
  <si>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</si>
  <si>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</si>
  <si>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</si>
  <si>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</si>
  <si>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</si>
  <si>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</si>
  <si>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</si>
  <si>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</si>
  <si>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</si>
  <si>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</si>
  <si>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</si>
  <si>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</si>
  <si>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</si>
  <si>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</si>
  <si>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</si>
  <si>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</si>
  <si>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</si>
  <si>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</si>
  <si>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</si>
  <si>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</si>
  <si>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</si>
  <si>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</si>
  <si>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</si>
  <si>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</si>
  <si>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</si>
  <si>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</si>
  <si>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</si>
  <si>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</si>
  <si>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</si>
  <si>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</si>
  <si>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</si>
  <si>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</si>
  <si>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</si>
  <si>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</si>
  <si>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</si>
  <si>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</si>
  <si>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</si>
  <si>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</si>
  <si>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</si>
  <si>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</si>
  <si>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</si>
  <si>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</si>
  <si>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</si>
  <si>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</si>
  <si>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</si>
  <si>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</si>
  <si>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</si>
  <si>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</si>
  <si>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</si>
  <si>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</si>
  <si>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</si>
  <si>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</si>
  <si>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</si>
  <si>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</si>
  <si>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</si>
  <si>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</si>
  <si>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</si>
  <si>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</si>
  <si>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</si>
  <si>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</si>
  <si>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</si>
  <si>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</si>
  <si>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</si>
  <si>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</si>
  <si>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</si>
  <si>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</si>
  <si>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</si>
  <si>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</si>
  <si>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</si>
  <si>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</si>
  <si>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</si>
  <si>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</si>
  <si>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</si>
  <si>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</si>
  <si>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</si>
  <si>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</si>
  <si>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</si>
  <si>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</si>
  <si>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</si>
  <si>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</si>
  <si>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</si>
  <si>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</si>
  <si>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</si>
  <si>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</si>
  <si>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</si>
  <si>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</si>
  <si>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</si>
  <si>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</si>
  <si>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</si>
  <si>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</si>
  <si>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</si>
  <si>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</si>
  <si>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</si>
  <si>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</si>
  <si>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</si>
  <si>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</si>
  <si>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</si>
  <si>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</si>
  <si>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</si>
  <si>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</si>
  <si>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</si>
  <si>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</si>
  <si>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</si>
  <si>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</si>
  <si>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</si>
  <si>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</si>
  <si>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</si>
  <si>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</si>
  <si>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</si>
  <si>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</si>
  <si>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</si>
  <si>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</si>
  <si>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</si>
  <si>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</si>
  <si>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</si>
  <si>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</si>
  <si>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</si>
  <si>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</si>
  <si>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</si>
  <si>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</si>
  <si>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</si>
  <si>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</si>
  <si>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</si>
  <si>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</si>
  <si>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</si>
  <si>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</si>
  <si>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</si>
  <si>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</si>
  <si>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</si>
  <si>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</si>
  <si>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</si>
  <si>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</si>
  <si>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</si>
  <si>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</si>
  <si>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</si>
  <si>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</si>
  <si>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</si>
  <si>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</si>
  <si>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</si>
  <si>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</si>
  <si>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</si>
  <si>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</si>
  <si>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</si>
  <si>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</si>
  <si>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</si>
  <si>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</si>
  <si>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</si>
  <si>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</si>
  <si>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</si>
  <si>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</si>
  <si>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</si>
  <si>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</si>
  <si>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</si>
  <si>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</si>
  <si>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</si>
  <si>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</si>
  <si>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</si>
  <si>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</si>
  <si>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</si>
  <si>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</si>
  <si>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</si>
  <si>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</si>
  <si>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</si>
  <si>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</si>
  <si>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</si>
  <si>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</si>
  <si>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</si>
  <si>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</si>
  <si>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</si>
  <si>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</si>
  <si>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</si>
  <si>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</si>
  <si>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</si>
  <si>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</si>
  <si>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</si>
  <si>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</si>
  <si>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</si>
  <si>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</si>
  <si>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</si>
  <si>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</si>
  <si>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</si>
  <si>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</si>
  <si>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</si>
  <si>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</si>
  <si>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</si>
  <si>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</si>
  <si>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</si>
  <si>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</si>
  <si>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</si>
  <si>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</si>
  <si>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</si>
  <si>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</si>
  <si>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</si>
  <si>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</si>
  <si>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</si>
  <si>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</si>
  <si>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</si>
  <si>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</si>
  <si>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</si>
  <si>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</si>
  <si>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</si>
  <si>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</si>
  <si>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</si>
  <si>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</si>
  <si>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</si>
  <si>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</si>
  <si>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</si>
  <si>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</si>
  <si>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</si>
  <si>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</si>
  <si>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</si>
  <si>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</si>
  <si>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</si>
  <si>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</si>
  <si>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</si>
  <si>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</si>
  <si>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</si>
  <si>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</si>
  <si>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</si>
  <si>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</si>
  <si>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</si>
  <si>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</si>
  <si>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</si>
  <si>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</si>
  <si>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</si>
  <si>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</si>
  <si>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</si>
  <si>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</si>
  <si>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</si>
  <si>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</si>
  <si>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</si>
  <si>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</si>
  <si>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</si>
  <si>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</si>
  <si>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</si>
  <si>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</si>
  <si>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</si>
  <si>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</si>
  <si>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</si>
  <si>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</si>
  <si>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</si>
  <si>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</si>
  <si>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</si>
  <si>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</si>
  <si>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</si>
  <si>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</si>
  <si>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</si>
  <si>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</si>
  <si>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</si>
  <si>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</si>
  <si>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</si>
  <si>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</si>
  <si>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</si>
  <si>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</si>
  <si>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</si>
  <si>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</si>
  <si>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</si>
  <si>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</si>
  <si>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</si>
  <si>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</si>
  <si>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</si>
  <si>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</si>
  <si>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</si>
  <si>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</si>
  <si>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</si>
  <si>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</si>
  <si>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</si>
  <si>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</si>
  <si>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</si>
  <si>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</si>
  <si>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</si>
  <si>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</si>
  <si>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</si>
  <si>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</si>
  <si>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</si>
  <si>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</si>
  <si>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</si>
  <si>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</si>
  <si>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</si>
  <si>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</si>
  <si>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</si>
  <si>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</si>
  <si>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</si>
  <si>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</si>
  <si>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</si>
  <si>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</si>
  <si>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</si>
  <si>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</si>
  <si>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</si>
  <si>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</si>
  <si>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</si>
  <si>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</si>
  <si>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</si>
  <si>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</si>
  <si>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</si>
  <si>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</si>
  <si>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</si>
  <si>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</si>
  <si>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</si>
  <si>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</si>
  <si>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</si>
  <si>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</si>
  <si>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</si>
  <si>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</si>
  <si>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</si>
  <si>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</si>
  <si>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</si>
  <si>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</si>
  <si>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</si>
  <si>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</si>
  <si>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</si>
  <si>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</si>
  <si>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</si>
  <si>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</si>
  <si>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</si>
  <si>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</si>
  <si>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</si>
  <si>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</si>
  <si>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</si>
  <si>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</si>
  <si>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</si>
  <si>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</si>
  <si>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</si>
  <si>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</si>
  <si>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</si>
  <si>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</si>
  <si>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</si>
  <si>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</si>
  <si>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</si>
  <si>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</si>
  <si>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</si>
  <si>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</si>
  <si>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</si>
  <si>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</si>
  <si>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</si>
  <si>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</si>
  <si>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</si>
  <si>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</si>
  <si>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</si>
  <si>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</si>
  <si>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</si>
  <si>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</si>
  <si>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</si>
  <si>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</si>
  <si>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</si>
  <si>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</si>
  <si>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</si>
  <si>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</si>
  <si>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</si>
  <si>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</si>
  <si>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</si>
  <si>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</si>
  <si>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</si>
  <si>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</si>
  <si>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</si>
  <si>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</si>
  <si>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</si>
  <si>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</si>
  <si>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</si>
  <si>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</si>
  <si>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</si>
  <si>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</si>
  <si>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</si>
  <si>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</si>
  <si>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</si>
  <si>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</si>
  <si>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</si>
  <si>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</si>
  <si>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</si>
  <si>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</si>
  <si>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</si>
  <si>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</si>
  <si>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</si>
  <si>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</si>
  <si>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</si>
  <si>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</si>
  <si>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</si>
  <si>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</si>
  <si>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</si>
  <si>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</si>
  <si>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</si>
  <si>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</si>
  <si>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</si>
  <si>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</si>
  <si>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</si>
  <si>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</si>
  <si>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</si>
  <si>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</si>
  <si>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</si>
  <si>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</si>
  <si>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</si>
  <si>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</si>
  <si>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</si>
  <si>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</si>
  <si>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</si>
  <si>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</si>
  <si>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</si>
  <si>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</si>
  <si>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</si>
  <si>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</si>
  <si>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</si>
  <si>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</si>
  <si>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</si>
  <si>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</si>
  <si>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</si>
  <si>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</si>
  <si>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</si>
  <si>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</si>
  <si>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</si>
  <si>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</si>
  <si>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</si>
  <si>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</si>
  <si>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</si>
  <si>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</si>
  <si>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</si>
  <si>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</si>
  <si>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</si>
  <si>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</si>
  <si>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</si>
  <si>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</si>
  <si>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</si>
  <si>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</si>
  <si>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</si>
  <si>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</si>
  <si>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</si>
  <si>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</si>
  <si>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</si>
  <si>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</si>
  <si>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</si>
  <si>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</si>
  <si>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</si>
  <si>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</si>
  <si>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</si>
  <si>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</si>
  <si>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</si>
  <si>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</si>
  <si>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</si>
  <si>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</si>
  <si>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</si>
  <si>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</si>
  <si>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</si>
  <si>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</si>
  <si>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</si>
  <si>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</si>
  <si>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</si>
  <si>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</si>
  <si>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</si>
  <si>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</si>
  <si>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</si>
  <si>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</si>
  <si>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</si>
  <si>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</si>
  <si>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</si>
  <si>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</si>
  <si>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</si>
  <si>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</si>
  <si>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</si>
  <si>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</si>
  <si>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</si>
  <si>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</si>
  <si>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</si>
  <si>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</si>
  <si>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</si>
  <si>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</si>
  <si>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</si>
  <si>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</si>
  <si>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</si>
  <si>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</si>
  <si>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</si>
  <si>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</si>
  <si>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</si>
  <si>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</si>
  <si>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</si>
  <si>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</si>
  <si>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</si>
  <si>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</si>
  <si>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</si>
  <si>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</si>
  <si>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</si>
  <si>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</si>
  <si>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</si>
  <si>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</si>
  <si>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</si>
  <si>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</si>
  <si>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</si>
  <si>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</si>
  <si>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</si>
  <si>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</si>
  <si>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</si>
  <si>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</si>
  <si>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</si>
  <si>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</si>
  <si>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</si>
  <si>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</si>
  <si>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</si>
  <si>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</si>
  <si>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</si>
  <si>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</si>
  <si>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</si>
  <si>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</si>
  <si>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</si>
  <si>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</si>
  <si>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</si>
  <si>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</si>
  <si>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</si>
  <si>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</si>
  <si>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</si>
  <si>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</si>
  <si>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</si>
  <si>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</si>
  <si>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</si>
  <si>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</si>
  <si>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</si>
  <si>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</si>
  <si>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</si>
  <si>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</si>
  <si>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</si>
  <si>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</si>
  <si>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</si>
  <si>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</si>
  <si>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</si>
  <si>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</si>
  <si>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</si>
  <si>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</si>
  <si>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</si>
  <si>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</si>
  <si>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</si>
  <si>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</si>
  <si>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</si>
  <si>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</si>
  <si>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</si>
  <si>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</si>
  <si>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</si>
  <si>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</si>
  <si>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</si>
  <si>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</si>
  <si>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</si>
  <si>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</si>
  <si>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</si>
  <si>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</si>
  <si>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</si>
  <si>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</si>
  <si>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</si>
  <si>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</si>
  <si>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</si>
  <si>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</si>
  <si>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</si>
  <si>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</si>
  <si>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</si>
  <si>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</si>
  <si>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</si>
  <si>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</si>
  <si>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</si>
  <si>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</si>
  <si>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</si>
  <si>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</si>
  <si>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</si>
  <si>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</si>
  <si>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</si>
  <si>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</si>
  <si>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</si>
  <si>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</si>
  <si>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</si>
  <si>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</si>
  <si>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</si>
  <si>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</si>
  <si>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</si>
  <si>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</si>
  <si>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</si>
  <si>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</si>
  <si>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</si>
  <si>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</si>
  <si>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</si>
  <si>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</si>
  <si>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</si>
  <si>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</si>
  <si>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</si>
  <si>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</si>
  <si>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</si>
  <si>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</si>
  <si>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</si>
  <si>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</si>
  <si>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</si>
  <si>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</si>
  <si>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</si>
  <si>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</si>
  <si>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</si>
  <si>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</si>
  <si>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</si>
  <si>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</si>
  <si>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</si>
  <si>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</si>
  <si>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</si>
  <si>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</si>
  <si>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</si>
  <si>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</si>
  <si>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</si>
  <si>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</si>
  <si>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</si>
  <si>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</si>
  <si>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</si>
  <si>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</si>
  <si>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</si>
  <si>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</si>
  <si>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</si>
  <si>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</si>
  <si>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</si>
  <si>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</si>
  <si>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</si>
  <si>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</si>
  <si>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</si>
  <si>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</si>
  <si>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</si>
  <si>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</si>
  <si>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</si>
  <si>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</si>
  <si>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</si>
  <si>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</si>
  <si>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</si>
  <si>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</si>
  <si>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</si>
  <si>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</si>
  <si>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</si>
  <si>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</si>
  <si>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</si>
  <si>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</si>
  <si>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</si>
  <si>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</si>
  <si>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</si>
  <si>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</si>
  <si>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</si>
  <si>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</si>
  <si>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</si>
  <si>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</si>
  <si>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</si>
  <si>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</si>
  <si>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</si>
  <si>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</si>
  <si>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</si>
  <si>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</si>
  <si>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</si>
  <si>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</si>
  <si>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</si>
  <si>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</si>
  <si>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</si>
  <si>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</si>
  <si>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</si>
  <si>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</si>
  <si>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</si>
  <si>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</si>
  <si>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</si>
  <si>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</si>
  <si>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</si>
  <si>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</si>
  <si>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</si>
  <si>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</si>
  <si>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</si>
  <si>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</si>
  <si>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</si>
  <si>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</si>
  <si>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</si>
  <si>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</si>
  <si>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</si>
  <si>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</si>
  <si>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</si>
  <si>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</si>
  <si>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</si>
  <si>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</si>
  <si>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</si>
  <si>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</si>
  <si>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</si>
  <si>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</si>
  <si>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</si>
  <si>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</si>
  <si>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</si>
  <si>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</si>
  <si>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</si>
  <si>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</si>
  <si>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</si>
  <si>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</si>
  <si>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</si>
  <si>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</si>
  <si>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</si>
  <si>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</si>
  <si>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</si>
  <si>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</si>
  <si>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</si>
  <si>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</si>
  <si>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</si>
  <si>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45017</t>
  </si>
  <si>
    <t>KRUISHOUTEM</t>
  </si>
  <si>
    <t>Eandis (januari 2018); Infrax (juni 2018)</t>
  </si>
  <si>
    <t>MOW (september 2017)</t>
  </si>
  <si>
    <t>referentietaak LNE (2017); Jaarverslag De Lijn (2016)</t>
  </si>
  <si>
    <t>VEA (april 2018)</t>
  </si>
  <si>
    <t>VEA (januari 2017)</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</si>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</sst>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82981.873439615752</c:v>
                </c:pt>
                <c:pt idx="1">
                  <c:v>52049.805718461095</c:v>
                </c:pt>
                <c:pt idx="2">
                  <c:v>771.21100000000001</c:v>
                </c:pt>
                <c:pt idx="3">
                  <c:v>13823.334870019704</c:v>
                </c:pt>
                <c:pt idx="4">
                  <c:v>308721.27799350384</c:v>
                </c:pt>
                <c:pt idx="5">
                  <c:v>307916.47324769315</c:v>
                </c:pt>
                <c:pt idx="6">
                  <c:v>482.34859375299362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82981.873439615752</c:v>
                </c:pt>
                <c:pt idx="1">
                  <c:v>52049.805718461095</c:v>
                </c:pt>
                <c:pt idx="2">
                  <c:v>771.21100000000001</c:v>
                </c:pt>
                <c:pt idx="3">
                  <c:v>13823.334870019704</c:v>
                </c:pt>
                <c:pt idx="4">
                  <c:v>308721.27799350384</c:v>
                </c:pt>
                <c:pt idx="5">
                  <c:v>307916.47324769315</c:v>
                </c:pt>
                <c:pt idx="6">
                  <c:v>482.34859375299362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16971.668680169652</c:v>
                </c:pt>
                <c:pt idx="2">
                  <c:v>10618.807986713222</c:v>
                </c:pt>
                <c:pt idx="3">
                  <c:v>162.37416753718858</c:v>
                </c:pt>
                <c:pt idx="4">
                  <c:v>3535.0254009406272</c:v>
                </c:pt>
                <c:pt idx="5">
                  <c:v>59406.711647642886</c:v>
                </c:pt>
                <c:pt idx="6">
                  <c:v>77242.270640166185</c:v>
                </c:pt>
                <c:pt idx="7">
                  <c:v>121.86564394137315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16971.668680169652</c:v>
                </c:pt>
                <c:pt idx="2">
                  <c:v>10618.807986713222</c:v>
                </c:pt>
                <c:pt idx="3">
                  <c:v>162.37416753718858</c:v>
                </c:pt>
                <c:pt idx="4">
                  <c:v>3535.0254009406272</c:v>
                </c:pt>
                <c:pt idx="5">
                  <c:v>59406.711647642886</c:v>
                </c:pt>
                <c:pt idx="6">
                  <c:v>77242.270640166185</c:v>
                </c:pt>
                <c:pt idx="7">
                  <c:v>121.86564394137315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45017</v>
      </c>
      <c r="B6" s="415"/>
      <c r="C6" s="416"/>
    </row>
    <row r="7" spans="1:7" s="413" customFormat="1" ht="15.75" customHeight="1">
      <c r="A7" s="417" t="str">
        <f>txtMunicipality</f>
        <v>KRUISHOUTEM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0.21054441331514798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0.21054441331514798</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3269</v>
      </c>
      <c r="C9" s="342">
        <v>3294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3068.33</v>
      </c>
    </row>
    <row r="15" spans="1:6">
      <c r="A15" s="348" t="s">
        <v>184</v>
      </c>
      <c r="B15" s="334">
        <v>39</v>
      </c>
    </row>
    <row r="16" spans="1:6">
      <c r="A16" s="348" t="s">
        <v>6</v>
      </c>
      <c r="B16" s="334">
        <v>889</v>
      </c>
    </row>
    <row r="17" spans="1:6">
      <c r="A17" s="348" t="s">
        <v>7</v>
      </c>
      <c r="B17" s="334">
        <v>1147</v>
      </c>
    </row>
    <row r="18" spans="1:6">
      <c r="A18" s="348" t="s">
        <v>8</v>
      </c>
      <c r="B18" s="334">
        <v>1246</v>
      </c>
    </row>
    <row r="19" spans="1:6">
      <c r="A19" s="348" t="s">
        <v>9</v>
      </c>
      <c r="B19" s="334">
        <v>1172</v>
      </c>
    </row>
    <row r="20" spans="1:6">
      <c r="A20" s="348" t="s">
        <v>10</v>
      </c>
      <c r="B20" s="334">
        <v>884</v>
      </c>
    </row>
    <row r="21" spans="1:6">
      <c r="A21" s="348" t="s">
        <v>11</v>
      </c>
      <c r="B21" s="334">
        <v>4041</v>
      </c>
    </row>
    <row r="22" spans="1:6">
      <c r="A22" s="348" t="s">
        <v>12</v>
      </c>
      <c r="B22" s="334">
        <v>9202</v>
      </c>
    </row>
    <row r="23" spans="1:6">
      <c r="A23" s="348" t="s">
        <v>13</v>
      </c>
      <c r="B23" s="334">
        <v>244</v>
      </c>
    </row>
    <row r="24" spans="1:6">
      <c r="A24" s="348" t="s">
        <v>14</v>
      </c>
      <c r="B24" s="334">
        <v>12</v>
      </c>
    </row>
    <row r="25" spans="1:6">
      <c r="A25" s="348" t="s">
        <v>15</v>
      </c>
      <c r="B25" s="334">
        <v>1826</v>
      </c>
    </row>
    <row r="26" spans="1:6">
      <c r="A26" s="348" t="s">
        <v>16</v>
      </c>
      <c r="B26" s="334">
        <v>190</v>
      </c>
    </row>
    <row r="27" spans="1:6">
      <c r="A27" s="348" t="s">
        <v>17</v>
      </c>
      <c r="B27" s="334">
        <v>12</v>
      </c>
    </row>
    <row r="28" spans="1:6" s="356" customFormat="1">
      <c r="A28" s="355" t="s">
        <v>18</v>
      </c>
      <c r="B28" s="355">
        <v>206179</v>
      </c>
    </row>
    <row r="29" spans="1:6">
      <c r="A29" s="355" t="s">
        <v>744</v>
      </c>
      <c r="B29" s="355">
        <v>207</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2213.5593560103998</v>
      </c>
    </row>
    <row r="39" spans="1:6">
      <c r="A39" s="348" t="s">
        <v>30</v>
      </c>
      <c r="B39" s="348" t="s">
        <v>31</v>
      </c>
      <c r="C39" s="334">
        <v>946</v>
      </c>
      <c r="D39" s="334">
        <v>15816878.3084209</v>
      </c>
      <c r="E39" s="334">
        <v>2934</v>
      </c>
      <c r="F39" s="334">
        <v>14033929.866611401</v>
      </c>
    </row>
    <row r="40" spans="1:6">
      <c r="A40" s="348" t="s">
        <v>30</v>
      </c>
      <c r="B40" s="348" t="s">
        <v>29</v>
      </c>
      <c r="C40" s="334">
        <v>0</v>
      </c>
      <c r="D40" s="334">
        <v>0</v>
      </c>
      <c r="E40" s="334">
        <v>0</v>
      </c>
      <c r="F40" s="334">
        <v>0</v>
      </c>
    </row>
    <row r="41" spans="1:6">
      <c r="A41" s="348" t="s">
        <v>32</v>
      </c>
      <c r="B41" s="348" t="s">
        <v>33</v>
      </c>
      <c r="C41" s="334">
        <v>14</v>
      </c>
      <c r="D41" s="334">
        <v>291144.50713264802</v>
      </c>
      <c r="E41" s="334">
        <v>96</v>
      </c>
      <c r="F41" s="334">
        <v>1338897.3225265699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691571.47008633998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1034497.49981919</v>
      </c>
    </row>
    <row r="48" spans="1:6">
      <c r="A48" s="348" t="s">
        <v>32</v>
      </c>
      <c r="B48" s="348" t="s">
        <v>29</v>
      </c>
      <c r="C48" s="334">
        <v>33</v>
      </c>
      <c r="D48" s="334">
        <v>137886333.38198701</v>
      </c>
      <c r="E48" s="334">
        <v>49</v>
      </c>
      <c r="F48" s="334">
        <v>110257225.474801</v>
      </c>
    </row>
    <row r="49" spans="1:6">
      <c r="A49" s="348" t="s">
        <v>32</v>
      </c>
      <c r="B49" s="348" t="s">
        <v>40</v>
      </c>
      <c r="C49" s="334">
        <v>0</v>
      </c>
      <c r="D49" s="334">
        <v>0</v>
      </c>
      <c r="E49" s="334">
        <v>0</v>
      </c>
      <c r="F49" s="334">
        <v>0</v>
      </c>
    </row>
    <row r="50" spans="1:6">
      <c r="A50" s="348" t="s">
        <v>32</v>
      </c>
      <c r="B50" s="348" t="s">
        <v>41</v>
      </c>
      <c r="C50" s="334">
        <v>3</v>
      </c>
      <c r="D50" s="334">
        <v>42834.218922874999</v>
      </c>
      <c r="E50" s="334">
        <v>10</v>
      </c>
      <c r="F50" s="334">
        <v>11576374.4627266</v>
      </c>
    </row>
    <row r="51" spans="1:6">
      <c r="A51" s="348" t="s">
        <v>42</v>
      </c>
      <c r="B51" s="348" t="s">
        <v>43</v>
      </c>
      <c r="C51" s="334">
        <v>0</v>
      </c>
      <c r="D51" s="334">
        <v>0</v>
      </c>
      <c r="E51" s="334">
        <v>103</v>
      </c>
      <c r="F51" s="334">
        <v>2049436.9347055999</v>
      </c>
    </row>
    <row r="52" spans="1:6">
      <c r="A52" s="348" t="s">
        <v>42</v>
      </c>
      <c r="B52" s="348" t="s">
        <v>29</v>
      </c>
      <c r="C52" s="334">
        <v>6</v>
      </c>
      <c r="D52" s="334">
        <v>769263.64010353002</v>
      </c>
      <c r="E52" s="334">
        <v>11</v>
      </c>
      <c r="F52" s="334">
        <v>409163.10612143797</v>
      </c>
    </row>
    <row r="53" spans="1:6">
      <c r="A53" s="348" t="s">
        <v>44</v>
      </c>
      <c r="B53" s="348" t="s">
        <v>45</v>
      </c>
      <c r="C53" s="334">
        <v>32</v>
      </c>
      <c r="D53" s="334">
        <v>561964.44988650596</v>
      </c>
      <c r="E53" s="334">
        <v>134</v>
      </c>
      <c r="F53" s="334">
        <v>610604.643971276</v>
      </c>
    </row>
    <row r="54" spans="1:6">
      <c r="A54" s="348" t="s">
        <v>46</v>
      </c>
      <c r="B54" s="348" t="s">
        <v>47</v>
      </c>
      <c r="C54" s="334">
        <v>0</v>
      </c>
      <c r="D54" s="334">
        <v>0</v>
      </c>
      <c r="E54" s="334">
        <v>1</v>
      </c>
      <c r="F54" s="334">
        <v>771211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527745.20351213799</v>
      </c>
      <c r="E57" s="334">
        <v>30</v>
      </c>
      <c r="F57" s="334">
        <v>247302.44556517599</v>
      </c>
    </row>
    <row r="58" spans="1:6">
      <c r="A58" s="348" t="s">
        <v>49</v>
      </c>
      <c r="B58" s="348" t="s">
        <v>51</v>
      </c>
      <c r="C58" s="334">
        <v>8</v>
      </c>
      <c r="D58" s="334">
        <v>180078.21336626101</v>
      </c>
      <c r="E58" s="334">
        <v>25</v>
      </c>
      <c r="F58" s="334">
        <v>209243.069883005</v>
      </c>
    </row>
    <row r="59" spans="1:6">
      <c r="A59" s="348" t="s">
        <v>49</v>
      </c>
      <c r="B59" s="348" t="s">
        <v>52</v>
      </c>
      <c r="C59" s="334">
        <v>10</v>
      </c>
      <c r="D59" s="334">
        <v>557077.14270570804</v>
      </c>
      <c r="E59" s="334">
        <v>136</v>
      </c>
      <c r="F59" s="334">
        <v>4242711.2303998703</v>
      </c>
    </row>
    <row r="60" spans="1:6">
      <c r="A60" s="348" t="s">
        <v>49</v>
      </c>
      <c r="B60" s="348" t="s">
        <v>53</v>
      </c>
      <c r="C60" s="334">
        <v>11</v>
      </c>
      <c r="D60" s="334">
        <v>456565.92250623199</v>
      </c>
      <c r="E60" s="334">
        <v>35</v>
      </c>
      <c r="F60" s="334">
        <v>1132628.2794332399</v>
      </c>
    </row>
    <row r="61" spans="1:6">
      <c r="A61" s="348" t="s">
        <v>49</v>
      </c>
      <c r="B61" s="348" t="s">
        <v>54</v>
      </c>
      <c r="C61" s="334">
        <v>36</v>
      </c>
      <c r="D61" s="334">
        <v>1906108.7086898701</v>
      </c>
      <c r="E61" s="334">
        <v>145</v>
      </c>
      <c r="F61" s="334">
        <v>2031245.7454931799</v>
      </c>
    </row>
    <row r="62" spans="1:6">
      <c r="A62" s="348" t="s">
        <v>49</v>
      </c>
      <c r="B62" s="348" t="s">
        <v>55</v>
      </c>
      <c r="C62" s="334">
        <v>0</v>
      </c>
      <c r="D62" s="334">
        <v>0</v>
      </c>
      <c r="E62" s="334">
        <v>3</v>
      </c>
      <c r="F62" s="334">
        <v>8335.7887895216008</v>
      </c>
    </row>
    <row r="63" spans="1:6">
      <c r="A63" s="348" t="s">
        <v>49</v>
      </c>
      <c r="B63" s="348" t="s">
        <v>29</v>
      </c>
      <c r="C63" s="334">
        <v>93</v>
      </c>
      <c r="D63" s="334">
        <v>38425719.309431501</v>
      </c>
      <c r="E63" s="334">
        <v>167</v>
      </c>
      <c r="F63" s="334">
        <v>3454525.8273434802</v>
      </c>
    </row>
    <row r="64" spans="1:6">
      <c r="A64" s="348" t="s">
        <v>56</v>
      </c>
      <c r="B64" s="348" t="s">
        <v>57</v>
      </c>
      <c r="C64" s="334">
        <v>0</v>
      </c>
      <c r="D64" s="334">
        <v>0</v>
      </c>
      <c r="E64" s="334">
        <v>0</v>
      </c>
      <c r="F64" s="334">
        <v>0</v>
      </c>
    </row>
    <row r="65" spans="1:6">
      <c r="A65" s="348" t="s">
        <v>56</v>
      </c>
      <c r="B65" s="348" t="s">
        <v>29</v>
      </c>
      <c r="C65" s="334">
        <v>2</v>
      </c>
      <c r="D65" s="334">
        <v>69926.872397860701</v>
      </c>
      <c r="E65" s="334">
        <v>0</v>
      </c>
      <c r="F65" s="334">
        <v>0</v>
      </c>
    </row>
    <row r="66" spans="1:6">
      <c r="A66" s="348" t="s">
        <v>56</v>
      </c>
      <c r="B66" s="348" t="s">
        <v>58</v>
      </c>
      <c r="C66" s="334">
        <v>0</v>
      </c>
      <c r="D66" s="334">
        <v>0</v>
      </c>
      <c r="E66" s="334">
        <v>6</v>
      </c>
      <c r="F66" s="334">
        <v>276466.58417079598</v>
      </c>
    </row>
    <row r="67" spans="1:6">
      <c r="A67" s="355" t="s">
        <v>56</v>
      </c>
      <c r="B67" s="355" t="s">
        <v>59</v>
      </c>
      <c r="C67" s="334">
        <v>0</v>
      </c>
      <c r="D67" s="334">
        <v>0</v>
      </c>
      <c r="E67" s="334">
        <v>0</v>
      </c>
      <c r="F67" s="334">
        <v>0</v>
      </c>
    </row>
    <row r="68" spans="1:6">
      <c r="A68" s="341" t="s">
        <v>56</v>
      </c>
      <c r="B68" s="341" t="s">
        <v>60</v>
      </c>
      <c r="C68" s="334">
        <v>0</v>
      </c>
      <c r="D68" s="334">
        <v>0</v>
      </c>
      <c r="E68" s="334">
        <v>14</v>
      </c>
      <c r="F68" s="334">
        <v>333760.27379976801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54386899</v>
      </c>
      <c r="E73" s="475">
        <v>56416929.66860047</v>
      </c>
    </row>
    <row r="74" spans="1:6">
      <c r="A74" s="348" t="s">
        <v>64</v>
      </c>
      <c r="B74" s="348" t="s">
        <v>657</v>
      </c>
      <c r="C74" s="1295" t="s">
        <v>659</v>
      </c>
      <c r="D74" s="475">
        <v>4675552.5</v>
      </c>
      <c r="E74" s="475">
        <v>4777203.3249509363</v>
      </c>
    </row>
    <row r="75" spans="1:6">
      <c r="A75" s="348" t="s">
        <v>65</v>
      </c>
      <c r="B75" s="348" t="s">
        <v>656</v>
      </c>
      <c r="C75" s="1295" t="s">
        <v>660</v>
      </c>
      <c r="D75" s="475">
        <v>14714208</v>
      </c>
      <c r="E75" s="475">
        <v>15161370.140460284</v>
      </c>
    </row>
    <row r="76" spans="1:6">
      <c r="A76" s="348" t="s">
        <v>65</v>
      </c>
      <c r="B76" s="348" t="s">
        <v>657</v>
      </c>
      <c r="C76" s="1295" t="s">
        <v>661</v>
      </c>
      <c r="D76" s="475">
        <v>382629.5</v>
      </c>
      <c r="E76" s="475">
        <v>396906.1486433809</v>
      </c>
    </row>
    <row r="77" spans="1:6">
      <c r="A77" s="348" t="s">
        <v>66</v>
      </c>
      <c r="B77" s="348" t="s">
        <v>656</v>
      </c>
      <c r="C77" s="1295" t="s">
        <v>662</v>
      </c>
      <c r="D77" s="475">
        <v>182071423</v>
      </c>
      <c r="E77" s="475">
        <v>191598760.52753362</v>
      </c>
    </row>
    <row r="78" spans="1:6">
      <c r="A78" s="341" t="s">
        <v>66</v>
      </c>
      <c r="B78" s="341" t="s">
        <v>657</v>
      </c>
      <c r="C78" s="341" t="s">
        <v>663</v>
      </c>
      <c r="D78" s="1296">
        <v>48305363</v>
      </c>
      <c r="E78" s="1296">
        <v>49495521.567216411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130821</v>
      </c>
      <c r="C83" s="475">
        <v>130318.28555070395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1906.2123811317963</v>
      </c>
    </row>
    <row r="92" spans="1:6">
      <c r="A92" s="341" t="s">
        <v>69</v>
      </c>
      <c r="B92" s="342">
        <v>5619.2920610130604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259</v>
      </c>
    </row>
    <row r="98" spans="1:6">
      <c r="A98" s="348" t="s">
        <v>72</v>
      </c>
      <c r="B98" s="334">
        <v>0</v>
      </c>
    </row>
    <row r="99" spans="1:6">
      <c r="A99" s="348" t="s">
        <v>73</v>
      </c>
      <c r="B99" s="334">
        <v>91</v>
      </c>
    </row>
    <row r="100" spans="1:6">
      <c r="A100" s="348" t="s">
        <v>74</v>
      </c>
      <c r="B100" s="334">
        <v>319</v>
      </c>
    </row>
    <row r="101" spans="1:6">
      <c r="A101" s="348" t="s">
        <v>75</v>
      </c>
      <c r="B101" s="334">
        <v>92</v>
      </c>
    </row>
    <row r="102" spans="1:6">
      <c r="A102" s="348" t="s">
        <v>76</v>
      </c>
      <c r="B102" s="334">
        <v>51</v>
      </c>
    </row>
    <row r="103" spans="1:6">
      <c r="A103" s="348" t="s">
        <v>77</v>
      </c>
      <c r="B103" s="334">
        <v>133</v>
      </c>
    </row>
    <row r="104" spans="1:6">
      <c r="A104" s="348" t="s">
        <v>78</v>
      </c>
      <c r="B104" s="334">
        <v>1944</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12</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3</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157246.92865496353</v>
      </c>
      <c r="C3" s="43" t="s">
        <v>170</v>
      </c>
      <c r="D3" s="43"/>
      <c r="E3" s="154"/>
      <c r="F3" s="43"/>
      <c r="G3" s="43"/>
      <c r="H3" s="43"/>
      <c r="I3" s="43"/>
      <c r="J3" s="43"/>
      <c r="K3" s="96"/>
    </row>
    <row r="4" spans="1:11">
      <c r="A4" s="383" t="s">
        <v>171</v>
      </c>
      <c r="B4" s="49">
        <f>IF(ISERROR('SEAP template'!B78+'SEAP template'!C78),0,'SEAP template'!B78+'SEAP template'!C78)</f>
        <v>8668.5044421448565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271.63058823529417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0.21054441331514798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388.04369747899159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1632.8571428571429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771.21100000000001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771.21100000000001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0.21054441331514798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162.37416753718858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14033.929866611401</v>
      </c>
      <c r="C5" s="17">
        <f>IF(ISERROR('Eigen informatie GS &amp; warmtenet'!B57),0,'Eigen informatie GS &amp; warmtenet'!B57)</f>
        <v>0</v>
      </c>
      <c r="D5" s="30">
        <f>(SUM(HH_hh_gas_kWh,HH_rest_gas_kWh)/1000)*0.902</f>
        <v>14266.824234195652</v>
      </c>
      <c r="E5" s="17">
        <f>B46*B57</f>
        <v>3381.4649571925106</v>
      </c>
      <c r="F5" s="17">
        <f>B51*B62</f>
        <v>34320.101600628252</v>
      </c>
      <c r="G5" s="18"/>
      <c r="H5" s="17"/>
      <c r="I5" s="17"/>
      <c r="J5" s="17">
        <f>B50*B61+C50*C61</f>
        <v>2267.2390240129725</v>
      </c>
      <c r="K5" s="17"/>
      <c r="L5" s="17"/>
      <c r="M5" s="17"/>
      <c r="N5" s="17">
        <f>B48*B59+C48*C59</f>
        <v>11650.484709176515</v>
      </c>
      <c r="O5" s="17">
        <f>B69*B70*B71</f>
        <v>164.15</v>
      </c>
      <c r="P5" s="17">
        <f>B77*B78*B79/1000-B77*B78*B79/1000/B80</f>
        <v>991.4666666666667</v>
      </c>
    </row>
    <row r="6" spans="1:16">
      <c r="A6" s="16" t="s">
        <v>621</v>
      </c>
      <c r="B6" s="788">
        <f>kWh_PV_kleiner_dan_10kW</f>
        <v>1906.2123811317963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15940.142247743197</v>
      </c>
      <c r="C8" s="21">
        <f>C5</f>
        <v>0</v>
      </c>
      <c r="D8" s="21">
        <f>D5</f>
        <v>14266.824234195652</v>
      </c>
      <c r="E8" s="21">
        <f>E5</f>
        <v>3381.4649571925106</v>
      </c>
      <c r="F8" s="21">
        <f>F5</f>
        <v>34320.101600628252</v>
      </c>
      <c r="G8" s="21"/>
      <c r="H8" s="21"/>
      <c r="I8" s="21"/>
      <c r="J8" s="21">
        <f>J5</f>
        <v>2267.2390240129725</v>
      </c>
      <c r="K8" s="21"/>
      <c r="L8" s="21">
        <f>L5</f>
        <v>0</v>
      </c>
      <c r="M8" s="21">
        <f>M5</f>
        <v>0</v>
      </c>
      <c r="N8" s="21">
        <f>N5</f>
        <v>11650.484709176515</v>
      </c>
      <c r="O8" s="21">
        <f>O5</f>
        <v>164.15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0.21054441331514798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3356.1078977110956</v>
      </c>
      <c r="C12" s="23">
        <f ca="1">C10*C8</f>
        <v>0</v>
      </c>
      <c r="D12" s="23">
        <f>D8*D10</f>
        <v>2881.8984953075219</v>
      </c>
      <c r="E12" s="23">
        <f>E10*E8</f>
        <v>767.59254528269992</v>
      </c>
      <c r="F12" s="23">
        <f>F10*F8</f>
        <v>9163.4671273677432</v>
      </c>
      <c r="G12" s="23"/>
      <c r="H12" s="23"/>
      <c r="I12" s="23"/>
      <c r="J12" s="23">
        <f>J10*J8</f>
        <v>802.60261450059227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259</v>
      </c>
      <c r="C18" s="166" t="s">
        <v>111</v>
      </c>
      <c r="D18" s="228"/>
      <c r="E18" s="15"/>
    </row>
    <row r="19" spans="1:7">
      <c r="A19" s="171" t="s">
        <v>72</v>
      </c>
      <c r="B19" s="37">
        <f>aantalw2001_ander</f>
        <v>0</v>
      </c>
      <c r="C19" s="166" t="s">
        <v>111</v>
      </c>
      <c r="D19" s="229"/>
      <c r="E19" s="15"/>
    </row>
    <row r="20" spans="1:7">
      <c r="A20" s="171" t="s">
        <v>73</v>
      </c>
      <c r="B20" s="37">
        <f>aantalw2001_propaan</f>
        <v>91</v>
      </c>
      <c r="C20" s="167">
        <f>IF(ISERROR(B20/SUM($B$20,$B$21,$B$22)*100),0,B20/SUM($B$20,$B$21,$B$22)*100)</f>
        <v>18.127490039840637</v>
      </c>
      <c r="D20" s="229"/>
      <c r="E20" s="15"/>
    </row>
    <row r="21" spans="1:7">
      <c r="A21" s="171" t="s">
        <v>74</v>
      </c>
      <c r="B21" s="37">
        <f>aantalw2001_elektriciteit</f>
        <v>319</v>
      </c>
      <c r="C21" s="167">
        <f>IF(ISERROR(B21/SUM($B$20,$B$21,$B$22)*100),0,B21/SUM($B$20,$B$21,$B$22)*100)</f>
        <v>63.545816733067731</v>
      </c>
      <c r="D21" s="229"/>
      <c r="E21" s="15"/>
    </row>
    <row r="22" spans="1:7">
      <c r="A22" s="171" t="s">
        <v>75</v>
      </c>
      <c r="B22" s="37">
        <f>aantalw2001_hout</f>
        <v>92</v>
      </c>
      <c r="C22" s="167">
        <f>IF(ISERROR(B22/SUM($B$20,$B$21,$B$22)*100),0,B22/SUM($B$20,$B$21,$B$22)*100)</f>
        <v>18.326693227091635</v>
      </c>
      <c r="D22" s="229"/>
      <c r="E22" s="15"/>
    </row>
    <row r="23" spans="1:7">
      <c r="A23" s="171" t="s">
        <v>76</v>
      </c>
      <c r="B23" s="37">
        <f>aantalw2001_niet_gespec</f>
        <v>51</v>
      </c>
      <c r="C23" s="166" t="s">
        <v>111</v>
      </c>
      <c r="D23" s="228"/>
      <c r="E23" s="15"/>
    </row>
    <row r="24" spans="1:7">
      <c r="A24" s="171" t="s">
        <v>77</v>
      </c>
      <c r="B24" s="37">
        <f>aantalw2001_steenkool</f>
        <v>133</v>
      </c>
      <c r="C24" s="166" t="s">
        <v>111</v>
      </c>
      <c r="D24" s="229"/>
      <c r="E24" s="15"/>
    </row>
    <row r="25" spans="1:7">
      <c r="A25" s="171" t="s">
        <v>78</v>
      </c>
      <c r="B25" s="37">
        <f>aantalw2001_stookolie</f>
        <v>1944</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3269</v>
      </c>
      <c r="C28" s="36"/>
      <c r="D28" s="228"/>
    </row>
    <row r="29" spans="1:7" s="15" customFormat="1">
      <c r="A29" s="230" t="s">
        <v>794</v>
      </c>
      <c r="B29" s="37">
        <f>SUM(HH_hh_gas_aantal,HH_rest_gas_aantal)</f>
        <v>946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946</v>
      </c>
      <c r="C32" s="167">
        <f>IF(ISERROR(B32/SUM($B$32,$B$34,$B$35,$B$36,$B$38,$B$39)*100),0,B32/SUM($B$32,$B$34,$B$35,$B$36,$B$38,$B$39)*100)</f>
        <v>29.406279142057816</v>
      </c>
      <c r="D32" s="233"/>
      <c r="G32" s="15"/>
    </row>
    <row r="33" spans="1:7">
      <c r="A33" s="171" t="s">
        <v>72</v>
      </c>
      <c r="B33" s="34" t="s">
        <v>111</v>
      </c>
      <c r="C33" s="167"/>
      <c r="D33" s="233"/>
      <c r="G33" s="15"/>
    </row>
    <row r="34" spans="1:7">
      <c r="A34" s="171" t="s">
        <v>73</v>
      </c>
      <c r="B34" s="33">
        <f>IF((($B$28-$B$32-$B$39-$B$77-$B$38)*C20/100)&lt;0,0,($B$28-$B$32-$B$39-$B$77-$B$38)*C20/100)</f>
        <v>159.70318725099605</v>
      </c>
      <c r="C34" s="167">
        <f>IF(ISERROR(B34/SUM($B$32,$B$34,$B$35,$B$36,$B$38,$B$39)*100),0,B34/SUM($B$32,$B$34,$B$35,$B$36,$B$38,$B$39)*100)</f>
        <v>4.9643514843331076</v>
      </c>
      <c r="D34" s="233"/>
      <c r="G34" s="15"/>
    </row>
    <row r="35" spans="1:7">
      <c r="A35" s="171" t="s">
        <v>74</v>
      </c>
      <c r="B35" s="33">
        <f>IF((($B$28-$B$32-$B$39-$B$77-$B$38)*C21/100)&lt;0,0,($B$28-$B$32-$B$39-$B$77-$B$38)*C21/100)</f>
        <v>559.83864541832691</v>
      </c>
      <c r="C35" s="167">
        <f>IF(ISERROR(B35/SUM($B$32,$B$34,$B$35,$B$36,$B$38,$B$39)*100),0,B35/SUM($B$32,$B$34,$B$35,$B$36,$B$38,$B$39)*100)</f>
        <v>17.402506851673202</v>
      </c>
      <c r="D35" s="233"/>
      <c r="G35" s="15"/>
    </row>
    <row r="36" spans="1:7">
      <c r="A36" s="171" t="s">
        <v>75</v>
      </c>
      <c r="B36" s="33">
        <f>IF((($B$28-$B$32-$B$39-$B$77-$B$38)*C22/100)&lt;0,0,($B$28-$B$32-$B$39-$B$77-$B$38)*C22/100)</f>
        <v>161.45816733067736</v>
      </c>
      <c r="C36" s="167">
        <f>IF(ISERROR(B36/SUM($B$32,$B$34,$B$35,$B$36,$B$38,$B$39)*100),0,B36/SUM($B$32,$B$34,$B$35,$B$36,$B$38,$B$39)*100)</f>
        <v>5.0189047973477576</v>
      </c>
      <c r="D36" s="233"/>
      <c r="G36" s="15"/>
    </row>
    <row r="37" spans="1:7">
      <c r="A37" s="171" t="s">
        <v>76</v>
      </c>
      <c r="B37" s="34" t="s">
        <v>111</v>
      </c>
      <c r="C37" s="167"/>
      <c r="D37" s="173"/>
      <c r="G37" s="15"/>
    </row>
    <row r="38" spans="1:7">
      <c r="A38" s="171" t="s">
        <v>77</v>
      </c>
      <c r="B38" s="33">
        <f>IF((B24-(B29-B18)*0.1)&lt;0,0,B24-(B29-B18)*0.1)</f>
        <v>64.3</v>
      </c>
      <c r="C38" s="167">
        <f>IF(ISERROR(B38/SUM($B$32,$B$34,$B$35,$B$36,$B$38,$B$39)*100),0,B38/SUM($B$32,$B$34,$B$35,$B$36,$B$38,$B$39)*100)</f>
        <v>1.9987566055331054</v>
      </c>
      <c r="D38" s="234"/>
      <c r="G38" s="15"/>
    </row>
    <row r="39" spans="1:7">
      <c r="A39" s="171" t="s">
        <v>78</v>
      </c>
      <c r="B39" s="33">
        <f>IF((B25-(B29-B18))&lt;0,0,B25-(B29-B18)*0.9)</f>
        <v>1325.6999999999998</v>
      </c>
      <c r="C39" s="167">
        <f>IF(ISERROR(B39/SUM($B$32,$B$34,$B$35,$B$36,$B$38,$B$39)*100),0,B39/SUM($B$32,$B$34,$B$35,$B$36,$B$38,$B$39)*100)</f>
        <v>41.209201119055017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946</v>
      </c>
      <c r="C44" s="34" t="s">
        <v>111</v>
      </c>
      <c r="D44" s="174"/>
    </row>
    <row r="45" spans="1:7">
      <c r="A45" s="171" t="s">
        <v>72</v>
      </c>
      <c r="B45" s="33" t="str">
        <f t="shared" si="0"/>
        <v>-</v>
      </c>
      <c r="C45" s="34" t="s">
        <v>111</v>
      </c>
      <c r="D45" s="174"/>
    </row>
    <row r="46" spans="1:7">
      <c r="A46" s="171" t="s">
        <v>73</v>
      </c>
      <c r="B46" s="33">
        <f t="shared" si="0"/>
        <v>159.70318725099605</v>
      </c>
      <c r="C46" s="34" t="s">
        <v>111</v>
      </c>
      <c r="D46" s="174"/>
    </row>
    <row r="47" spans="1:7">
      <c r="A47" s="171" t="s">
        <v>74</v>
      </c>
      <c r="B47" s="33">
        <f t="shared" si="0"/>
        <v>559.83864541832691</v>
      </c>
      <c r="C47" s="34" t="s">
        <v>111</v>
      </c>
      <c r="D47" s="174"/>
    </row>
    <row r="48" spans="1:7">
      <c r="A48" s="171" t="s">
        <v>75</v>
      </c>
      <c r="B48" s="33">
        <f t="shared" si="0"/>
        <v>161.45816733067736</v>
      </c>
      <c r="C48" s="33">
        <f>B48*10</f>
        <v>1614.5816733067736</v>
      </c>
      <c r="D48" s="234"/>
    </row>
    <row r="49" spans="1:6">
      <c r="A49" s="171" t="s">
        <v>76</v>
      </c>
      <c r="B49" s="33" t="str">
        <f t="shared" si="0"/>
        <v>-</v>
      </c>
      <c r="C49" s="34" t="s">
        <v>111</v>
      </c>
      <c r="D49" s="234"/>
    </row>
    <row r="50" spans="1:6">
      <c r="A50" s="171" t="s">
        <v>77</v>
      </c>
      <c r="B50" s="33">
        <f t="shared" si="0"/>
        <v>64.3</v>
      </c>
      <c r="C50" s="33">
        <f>B50*2</f>
        <v>128.6</v>
      </c>
      <c r="D50" s="234"/>
    </row>
    <row r="51" spans="1:6">
      <c r="A51" s="171" t="s">
        <v>78</v>
      </c>
      <c r="B51" s="33">
        <f t="shared" si="0"/>
        <v>1325.6999999999998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11325.992386907474</v>
      </c>
      <c r="C5" s="17">
        <f>IF(ISERROR('Eigen informatie GS &amp; warmtenet'!B58),0,'Eigen informatie GS &amp; warmtenet'!B58)</f>
        <v>0</v>
      </c>
      <c r="D5" s="30">
        <f>SUM(D6:D12)</f>
        <v>37932.071639190966</v>
      </c>
      <c r="E5" s="17">
        <f>SUM(E6:E12)</f>
        <v>213.4462833973337</v>
      </c>
      <c r="F5" s="17">
        <f>SUM(F6:F12)</f>
        <v>1960.4791213617027</v>
      </c>
      <c r="G5" s="18"/>
      <c r="H5" s="17"/>
      <c r="I5" s="17"/>
      <c r="J5" s="17">
        <f>SUM(J6:J12)</f>
        <v>1.3733188165516278E-2</v>
      </c>
      <c r="K5" s="17"/>
      <c r="L5" s="17"/>
      <c r="M5" s="17"/>
      <c r="N5" s="17">
        <f>SUM(N6:N12)</f>
        <v>555.91255441545877</v>
      </c>
      <c r="O5" s="17">
        <f>B38*B39*B40</f>
        <v>4.6900000000000004</v>
      </c>
      <c r="P5" s="17">
        <f>B46*B47*B48/1000-B46*B47*B48/1000/B49</f>
        <v>57.2</v>
      </c>
      <c r="R5" s="32"/>
    </row>
    <row r="6" spans="1:18">
      <c r="A6" s="32" t="s">
        <v>54</v>
      </c>
      <c r="B6" s="37">
        <f>B26</f>
        <v>2031.2457454931798</v>
      </c>
      <c r="C6" s="33"/>
      <c r="D6" s="37">
        <f>IF(ISERROR(TER_kantoor_gas_kWh/1000),0,TER_kantoor_gas_kWh/1000)*0.902</f>
        <v>1719.310055238263</v>
      </c>
      <c r="E6" s="33">
        <f>$C$26*'E Balans VL '!I12/100/3.6*1000000</f>
        <v>1.2731172751000242E-2</v>
      </c>
      <c r="F6" s="33">
        <f>$C$26*('E Balans VL '!L12+'E Balans VL '!N12)/100/3.6*1000000</f>
        <v>305.23947712823184</v>
      </c>
      <c r="G6" s="34"/>
      <c r="H6" s="33"/>
      <c r="I6" s="33"/>
      <c r="J6" s="33">
        <f>$C$26*('E Balans VL '!D12+'E Balans VL '!E12)/100/3.6*1000000</f>
        <v>0</v>
      </c>
      <c r="K6" s="33"/>
      <c r="L6" s="33"/>
      <c r="M6" s="33"/>
      <c r="N6" s="33">
        <f>$C$26*'E Balans VL '!Y12/100/3.6*1000000</f>
        <v>1.9425853903313302</v>
      </c>
      <c r="O6" s="33"/>
      <c r="P6" s="33"/>
      <c r="R6" s="32"/>
    </row>
    <row r="7" spans="1:18">
      <c r="A7" s="32" t="s">
        <v>53</v>
      </c>
      <c r="B7" s="37">
        <f t="shared" ref="B7:B12" si="0">B27</f>
        <v>1132.6282794332399</v>
      </c>
      <c r="C7" s="33"/>
      <c r="D7" s="37">
        <f>IF(ISERROR(TER_horeca_gas_kWh/1000),0,TER_horeca_gas_kWh/1000)*0.902</f>
        <v>411.82246210062124</v>
      </c>
      <c r="E7" s="33">
        <f>$C$27*'E Balans VL '!I9/100/3.6*1000000</f>
        <v>16.219048301627453</v>
      </c>
      <c r="F7" s="33">
        <f>$C$27*('E Balans VL '!L9+'E Balans VL '!N9)/100/3.6*1000000</f>
        <v>143.42809569605757</v>
      </c>
      <c r="G7" s="34"/>
      <c r="H7" s="33"/>
      <c r="I7" s="33"/>
      <c r="J7" s="33">
        <f>$C$27*('E Balans VL '!D9+'E Balans VL '!E9)/100/3.6*1000000</f>
        <v>0</v>
      </c>
      <c r="K7" s="33"/>
      <c r="L7" s="33"/>
      <c r="M7" s="33"/>
      <c r="N7" s="33">
        <f>$C$27*'E Balans VL '!Y9/100/3.6*1000000</f>
        <v>0.32560565802710972</v>
      </c>
      <c r="O7" s="33"/>
      <c r="P7" s="33"/>
      <c r="R7" s="32"/>
    </row>
    <row r="8" spans="1:18">
      <c r="A8" s="6" t="s">
        <v>52</v>
      </c>
      <c r="B8" s="37">
        <f t="shared" si="0"/>
        <v>4242.7112303998701</v>
      </c>
      <c r="C8" s="33"/>
      <c r="D8" s="37">
        <f>IF(ISERROR(TER_handel_gas_kWh/1000),0,TER_handel_gas_kWh/1000)*0.902</f>
        <v>502.48358272054867</v>
      </c>
      <c r="E8" s="33">
        <f>$C$28*'E Balans VL '!I13/100/3.6*1000000</f>
        <v>153.88261313889399</v>
      </c>
      <c r="F8" s="33">
        <f>$C$28*('E Balans VL '!L13+'E Balans VL '!N13)/100/3.6*1000000</f>
        <v>817.18914315754591</v>
      </c>
      <c r="G8" s="34"/>
      <c r="H8" s="33"/>
      <c r="I8" s="33"/>
      <c r="J8" s="33">
        <f>$C$28*('E Balans VL '!D13+'E Balans VL '!E13)/100/3.6*1000000</f>
        <v>0</v>
      </c>
      <c r="K8" s="33"/>
      <c r="L8" s="33"/>
      <c r="M8" s="33"/>
      <c r="N8" s="33">
        <f>$C$28*'E Balans VL '!Y13/100/3.6*1000000</f>
        <v>5.8771312584205271</v>
      </c>
      <c r="O8" s="33"/>
      <c r="P8" s="33"/>
      <c r="R8" s="32"/>
    </row>
    <row r="9" spans="1:18">
      <c r="A9" s="32" t="s">
        <v>51</v>
      </c>
      <c r="B9" s="37">
        <f t="shared" si="0"/>
        <v>209.24306988300501</v>
      </c>
      <c r="C9" s="33"/>
      <c r="D9" s="37">
        <f>IF(ISERROR(TER_gezond_gas_kWh/1000),0,TER_gezond_gas_kWh/1000)*0.902</f>
        <v>162.43054845636746</v>
      </c>
      <c r="E9" s="33">
        <f>$C$29*'E Balans VL '!I10/100/3.6*1000000</f>
        <v>1.3100682076764417E-2</v>
      </c>
      <c r="F9" s="33">
        <f>$C$29*('E Balans VL '!L10+'E Balans VL '!N10)/100/3.6*1000000</f>
        <v>31.083695115595475</v>
      </c>
      <c r="G9" s="34"/>
      <c r="H9" s="33"/>
      <c r="I9" s="33"/>
      <c r="J9" s="33">
        <f>$C$29*('E Balans VL '!D10+'E Balans VL '!E10)/100/3.6*1000000</f>
        <v>0</v>
      </c>
      <c r="K9" s="33"/>
      <c r="L9" s="33"/>
      <c r="M9" s="33"/>
      <c r="N9" s="33">
        <f>$C$29*'E Balans VL '!Y10/100/3.6*1000000</f>
        <v>3.2365919951807016</v>
      </c>
      <c r="O9" s="33"/>
      <c r="P9" s="33"/>
      <c r="R9" s="32"/>
    </row>
    <row r="10" spans="1:18">
      <c r="A10" s="32" t="s">
        <v>50</v>
      </c>
      <c r="B10" s="37">
        <f t="shared" si="0"/>
        <v>247.30244556517599</v>
      </c>
      <c r="C10" s="33"/>
      <c r="D10" s="37">
        <f>IF(ISERROR(TER_ander_gas_kWh/1000),0,TER_ander_gas_kWh/1000)*0.902</f>
        <v>476.02617356794849</v>
      </c>
      <c r="E10" s="33">
        <f>$C$30*'E Balans VL '!I14/100/3.6*1000000</f>
        <v>0.29477567801749216</v>
      </c>
      <c r="F10" s="33">
        <f>$C$30*('E Balans VL '!L14+'E Balans VL '!N14)/100/3.6*1000000</f>
        <v>64.705313963060604</v>
      </c>
      <c r="G10" s="34"/>
      <c r="H10" s="33"/>
      <c r="I10" s="33"/>
      <c r="J10" s="33">
        <f>$C$30*('E Balans VL '!D14+'E Balans VL '!E14)/100/3.6*1000000</f>
        <v>5.3679666944003567E-3</v>
      </c>
      <c r="K10" s="33"/>
      <c r="L10" s="33"/>
      <c r="M10" s="33"/>
      <c r="N10" s="33">
        <f>$C$30*'E Balans VL '!Y14/100/3.6*1000000</f>
        <v>210.00318536828408</v>
      </c>
      <c r="O10" s="33"/>
      <c r="P10" s="33"/>
      <c r="R10" s="32"/>
    </row>
    <row r="11" spans="1:18">
      <c r="A11" s="32" t="s">
        <v>55</v>
      </c>
      <c r="B11" s="37">
        <f t="shared" si="0"/>
        <v>8.335788789521601</v>
      </c>
      <c r="C11" s="33"/>
      <c r="D11" s="37">
        <f>IF(ISERROR(TER_onderwijs_gas_kWh/1000),0,TER_onderwijs_gas_kWh/1000)*0.902</f>
        <v>0</v>
      </c>
      <c r="E11" s="33">
        <f>$C$31*'E Balans VL '!I11/100/3.6*1000000</f>
        <v>0.12577362676935505</v>
      </c>
      <c r="F11" s="33">
        <f>$C$31*('E Balans VL '!L11+'E Balans VL '!N11)/100/3.6*1000000</f>
        <v>1.4605633641118059</v>
      </c>
      <c r="G11" s="34"/>
      <c r="H11" s="33"/>
      <c r="I11" s="33"/>
      <c r="J11" s="33">
        <f>$C$31*('E Balans VL '!D11+'E Balans VL '!E11)/100/3.6*1000000</f>
        <v>0</v>
      </c>
      <c r="K11" s="33"/>
      <c r="L11" s="33"/>
      <c r="M11" s="33"/>
      <c r="N11" s="33">
        <f>$C$31*'E Balans VL '!Y11/100/3.6*1000000</f>
        <v>2.3457543364510461E-2</v>
      </c>
      <c r="O11" s="33"/>
      <c r="P11" s="33"/>
      <c r="R11" s="32"/>
    </row>
    <row r="12" spans="1:18">
      <c r="A12" s="32" t="s">
        <v>260</v>
      </c>
      <c r="B12" s="37">
        <f t="shared" si="0"/>
        <v>3454.5258273434802</v>
      </c>
      <c r="C12" s="33"/>
      <c r="D12" s="37">
        <f>IF(ISERROR(TER_rest_gas_kWh/1000),0,TER_rest_gas_kWh/1000)*0.902</f>
        <v>34659.998817107218</v>
      </c>
      <c r="E12" s="33">
        <f>$C$32*'E Balans VL '!I8/100/3.6*1000000</f>
        <v>42.898240797197666</v>
      </c>
      <c r="F12" s="33">
        <f>$C$32*('E Balans VL '!L8+'E Balans VL '!N8)/100/3.6*1000000</f>
        <v>597.37283293709936</v>
      </c>
      <c r="G12" s="34"/>
      <c r="H12" s="33"/>
      <c r="I12" s="33"/>
      <c r="J12" s="33">
        <f>$C$32*('E Balans VL '!D8+'E Balans VL '!E8)/100/3.6*1000000</f>
        <v>8.3652214711159214E-3</v>
      </c>
      <c r="K12" s="33"/>
      <c r="L12" s="33"/>
      <c r="M12" s="33"/>
      <c r="N12" s="33">
        <f>$C$32*'E Balans VL '!Y8/100/3.6*1000000</f>
        <v>334.5039972018505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11325.992386907474</v>
      </c>
      <c r="C16" s="21">
        <f t="shared" ca="1" si="1"/>
        <v>0</v>
      </c>
      <c r="D16" s="21">
        <f t="shared" ca="1" si="1"/>
        <v>37932.071639190966</v>
      </c>
      <c r="E16" s="21">
        <f t="shared" si="1"/>
        <v>213.4462833973337</v>
      </c>
      <c r="F16" s="21">
        <f t="shared" ca="1" si="1"/>
        <v>1960.4791213617027</v>
      </c>
      <c r="G16" s="21">
        <f t="shared" si="1"/>
        <v>0</v>
      </c>
      <c r="H16" s="21">
        <f t="shared" si="1"/>
        <v>0</v>
      </c>
      <c r="I16" s="21">
        <f t="shared" si="1"/>
        <v>0</v>
      </c>
      <c r="J16" s="21">
        <f t="shared" si="1"/>
        <v>1.3733188165516278E-2</v>
      </c>
      <c r="K16" s="21">
        <f t="shared" si="1"/>
        <v>0</v>
      </c>
      <c r="L16" s="21">
        <f t="shared" ca="1" si="1"/>
        <v>0</v>
      </c>
      <c r="M16" s="21">
        <f t="shared" si="1"/>
        <v>0</v>
      </c>
      <c r="N16" s="21">
        <f t="shared" ca="1" si="1"/>
        <v>555.91255441545877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0.21054441331514798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2384.6244223132667</v>
      </c>
      <c r="C20" s="23">
        <f t="shared" ref="C20:P20" ca="1" si="2">C16*C18</f>
        <v>0</v>
      </c>
      <c r="D20" s="23">
        <f t="shared" ca="1" si="2"/>
        <v>7662.2784711165759</v>
      </c>
      <c r="E20" s="23">
        <f t="shared" si="2"/>
        <v>48.452306331194755</v>
      </c>
      <c r="F20" s="23">
        <f t="shared" ca="1" si="2"/>
        <v>523.44792540357469</v>
      </c>
      <c r="G20" s="23">
        <f t="shared" si="2"/>
        <v>0</v>
      </c>
      <c r="H20" s="23">
        <f t="shared" si="2"/>
        <v>0</v>
      </c>
      <c r="I20" s="23">
        <f t="shared" si="2"/>
        <v>0</v>
      </c>
      <c r="J20" s="23">
        <f t="shared" si="2"/>
        <v>4.8615486105927624E-3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2031.2457454931798</v>
      </c>
      <c r="C26" s="39">
        <f>IF(ISERROR(B26*3.6/1000000/'E Balans VL '!Z12*100),0,B26*3.6/1000000/'E Balans VL '!Z12*100)</f>
        <v>4.2937317306550725E-2</v>
      </c>
      <c r="D26" s="237" t="s">
        <v>754</v>
      </c>
      <c r="F26" s="6"/>
    </row>
    <row r="27" spans="1:18">
      <c r="A27" s="231" t="s">
        <v>53</v>
      </c>
      <c r="B27" s="33">
        <f>IF(ISERROR(TER_horeca_ele_kWh/1000),0,TER_horeca_ele_kWh/1000)</f>
        <v>1132.6282794332399</v>
      </c>
      <c r="C27" s="39">
        <f>IF(ISERROR(B27*3.6/1000000/'E Balans VL '!Z9*100),0,B27*3.6/1000000/'E Balans VL '!Z9*100)</f>
        <v>8.9284665115610923E-2</v>
      </c>
      <c r="D27" s="237" t="s">
        <v>754</v>
      </c>
      <c r="F27" s="6"/>
    </row>
    <row r="28" spans="1:18">
      <c r="A28" s="171" t="s">
        <v>52</v>
      </c>
      <c r="B28" s="33">
        <f>IF(ISERROR(TER_handel_ele_kWh/1000),0,TER_handel_ele_kWh/1000)</f>
        <v>4242.7112303998701</v>
      </c>
      <c r="C28" s="39">
        <f>IF(ISERROR(B28*3.6/1000000/'E Balans VL '!Z13*100),0,B28*3.6/1000000/'E Balans VL '!Z13*100)</f>
        <v>0.12314062238049395</v>
      </c>
      <c r="D28" s="237" t="s">
        <v>754</v>
      </c>
      <c r="F28" s="6"/>
    </row>
    <row r="29" spans="1:18">
      <c r="A29" s="231" t="s">
        <v>51</v>
      </c>
      <c r="B29" s="33">
        <f>IF(ISERROR(TER_gezond_ele_kWh/1000),0,TER_gezond_ele_kWh/1000)</f>
        <v>209.24306988300501</v>
      </c>
      <c r="C29" s="39">
        <f>IF(ISERROR(B29*3.6/1000000/'E Balans VL '!Z10*100),0,B29*3.6/1000000/'E Balans VL '!Z10*100)</f>
        <v>2.2036731120581382E-2</v>
      </c>
      <c r="D29" s="237" t="s">
        <v>754</v>
      </c>
      <c r="F29" s="6"/>
    </row>
    <row r="30" spans="1:18">
      <c r="A30" s="231" t="s">
        <v>50</v>
      </c>
      <c r="B30" s="33">
        <f>IF(ISERROR(TER_ander_ele_kWh/1000),0,TER_ander_ele_kWh/1000)</f>
        <v>247.30244556517599</v>
      </c>
      <c r="C30" s="39">
        <f>IF(ISERROR(B30*3.6/1000000/'E Balans VL '!Z14*100),0,B30*3.6/1000000/'E Balans VL '!Z14*100)</f>
        <v>1.8241082098711368E-2</v>
      </c>
      <c r="D30" s="237" t="s">
        <v>754</v>
      </c>
      <c r="F30" s="6"/>
    </row>
    <row r="31" spans="1:18">
      <c r="A31" s="231" t="s">
        <v>55</v>
      </c>
      <c r="B31" s="33">
        <f>IF(ISERROR(TER_onderwijs_ele_kWh/1000),0,TER_onderwijs_ele_kWh/1000)</f>
        <v>8.335788789521601</v>
      </c>
      <c r="C31" s="39">
        <f>IF(ISERROR(B31*3.6/1000000/'E Balans VL '!Z11*100),0,B31*3.6/1000000/'E Balans VL '!Z11*100)</f>
        <v>2.0701668277807762E-3</v>
      </c>
      <c r="D31" s="237" t="s">
        <v>754</v>
      </c>
    </row>
    <row r="32" spans="1:18">
      <c r="A32" s="231" t="s">
        <v>260</v>
      </c>
      <c r="B32" s="33">
        <f>IF(ISERROR(TER_rest_ele_kWh/1000),0,TER_rest_ele_kWh/1000)</f>
        <v>3454.5258273434802</v>
      </c>
      <c r="C32" s="39">
        <f>IF(ISERROR(B32*3.6/1000000/'E Balans VL '!Z8*100),0,B32*3.6/1000000/'E Balans VL '!Z8*100)</f>
        <v>2.8426162142120775E-2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124898.5662299597</v>
      </c>
      <c r="C5" s="17">
        <f>IF(ISERROR('Eigen informatie GS &amp; warmtenet'!B59),0,'Eigen informatie GS &amp; warmtenet'!B59)</f>
        <v>0</v>
      </c>
      <c r="D5" s="30">
        <f>SUM(D6:D15)</f>
        <v>124674.72152145435</v>
      </c>
      <c r="E5" s="17">
        <f>SUM(E6:E15)</f>
        <v>6511.6582851281928</v>
      </c>
      <c r="F5" s="17">
        <f>SUM(F6:F15)</f>
        <v>23740.701721650272</v>
      </c>
      <c r="G5" s="18"/>
      <c r="H5" s="17"/>
      <c r="I5" s="17"/>
      <c r="J5" s="17">
        <f>SUM(J6:J15)</f>
        <v>394.87876534023104</v>
      </c>
      <c r="K5" s="17"/>
      <c r="L5" s="17"/>
      <c r="M5" s="17"/>
      <c r="N5" s="17">
        <f>SUM(N6:N15)</f>
        <v>28990.60861282824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691.57147008634001</v>
      </c>
      <c r="C8" s="33"/>
      <c r="D8" s="37">
        <f>IF( ISERROR(IND_metaal_Gas_kWH/1000),0,IND_metaal_Gas_kWH/1000)*0.902</f>
        <v>0</v>
      </c>
      <c r="E8" s="33">
        <f>C30*'E Balans VL '!I18/100/3.6*1000000</f>
        <v>6.3583317413660918</v>
      </c>
      <c r="F8" s="33">
        <f>C30*'E Balans VL '!L18/100/3.6*1000000+C30*'E Balans VL '!N18/100/3.6*1000000</f>
        <v>64.846379149189289</v>
      </c>
      <c r="G8" s="34"/>
      <c r="H8" s="33"/>
      <c r="I8" s="33"/>
      <c r="J8" s="40">
        <f>C30*'E Balans VL '!D18/100/3.6*1000000+C30*'E Balans VL '!E18/100/3.6*1000000</f>
        <v>0</v>
      </c>
      <c r="K8" s="33"/>
      <c r="L8" s="33"/>
      <c r="M8" s="33"/>
      <c r="N8" s="33">
        <f>C30*'E Balans VL '!Y18/100/3.6*1000000</f>
        <v>9.8664098907634141</v>
      </c>
      <c r="O8" s="33"/>
      <c r="P8" s="33"/>
      <c r="R8" s="32"/>
    </row>
    <row r="9" spans="1:18">
      <c r="A9" s="6" t="s">
        <v>33</v>
      </c>
      <c r="B9" s="37">
        <f t="shared" si="0"/>
        <v>1338.89732252657</v>
      </c>
      <c r="C9" s="33"/>
      <c r="D9" s="37">
        <f>IF( ISERROR(IND_andere_gas_kWh/1000),0,IND_andere_gas_kWh/1000)*0.902</f>
        <v>262.6123454336485</v>
      </c>
      <c r="E9" s="33">
        <f>C31*'E Balans VL '!I19/100/3.6*1000000</f>
        <v>391.38575263100671</v>
      </c>
      <c r="F9" s="33">
        <f>C31*'E Balans VL '!L19/100/3.6*1000000+C31*'E Balans VL '!N19/100/3.6*1000000</f>
        <v>1075.9053438652156</v>
      </c>
      <c r="G9" s="34"/>
      <c r="H9" s="33"/>
      <c r="I9" s="33"/>
      <c r="J9" s="40">
        <f>C31*'E Balans VL '!D19/100/3.6*1000000+C31*'E Balans VL '!E19/100/3.6*1000000</f>
        <v>0</v>
      </c>
      <c r="K9" s="33"/>
      <c r="L9" s="33"/>
      <c r="M9" s="33"/>
      <c r="N9" s="33">
        <f>C31*'E Balans VL '!Y19/100/3.6*1000000</f>
        <v>442.39244018802373</v>
      </c>
      <c r="O9" s="33"/>
      <c r="P9" s="33"/>
      <c r="R9" s="32"/>
    </row>
    <row r="10" spans="1:18">
      <c r="A10" s="6" t="s">
        <v>41</v>
      </c>
      <c r="B10" s="37">
        <f t="shared" si="0"/>
        <v>11576.374462726601</v>
      </c>
      <c r="C10" s="33"/>
      <c r="D10" s="37">
        <f>IF( ISERROR(IND_voed_gas_kWh/1000),0,IND_voed_gas_kWh/1000)*0.902</f>
        <v>38.636465468433251</v>
      </c>
      <c r="E10" s="33">
        <f>C32*'E Balans VL '!I20/100/3.6*1000000</f>
        <v>24.48999966971007</v>
      </c>
      <c r="F10" s="33">
        <f>C32*'E Balans VL '!L20/100/3.6*1000000+C32*'E Balans VL '!N20/100/3.6*1000000</f>
        <v>736.03771325991067</v>
      </c>
      <c r="G10" s="34"/>
      <c r="H10" s="33"/>
      <c r="I10" s="33"/>
      <c r="J10" s="40">
        <f>C32*'E Balans VL '!D20/100/3.6*1000000+C32*'E Balans VL '!E20/100/3.6*1000000</f>
        <v>0</v>
      </c>
      <c r="K10" s="33"/>
      <c r="L10" s="33"/>
      <c r="M10" s="33"/>
      <c r="N10" s="33">
        <f>C32*'E Balans VL '!Y20/100/3.6*1000000</f>
        <v>798.88407638270257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1034.4974998191899</v>
      </c>
      <c r="C13" s="33"/>
      <c r="D13" s="37">
        <f>IF( ISERROR(IND_papier_gas_kWh/1000),0,IND_papier_gas_kWh/1000)*0.902</f>
        <v>0</v>
      </c>
      <c r="E13" s="33">
        <f>C35*'E Balans VL '!I23/100/3.6*1000000</f>
        <v>1.4677153645018475</v>
      </c>
      <c r="F13" s="33">
        <f>C35*'E Balans VL '!L23/100/3.6*1000000+C35*'E Balans VL '!N23/100/3.6*1000000</f>
        <v>25.255973931988709</v>
      </c>
      <c r="G13" s="34"/>
      <c r="H13" s="33"/>
      <c r="I13" s="33"/>
      <c r="J13" s="40">
        <f>C35*'E Balans VL '!D23/100/3.6*1000000+C35*'E Balans VL '!E23/100/3.6*1000000</f>
        <v>0.15999475080141826</v>
      </c>
      <c r="K13" s="33"/>
      <c r="L13" s="33"/>
      <c r="M13" s="33"/>
      <c r="N13" s="33">
        <f>C35*'E Balans VL '!Y23/100/3.6*1000000</f>
        <v>3007.0393495960498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110257.225474801</v>
      </c>
      <c r="C15" s="33"/>
      <c r="D15" s="37">
        <f>IF( ISERROR(IND_rest_gas_kWh/1000),0,IND_rest_gas_kWh/1000)*0.902</f>
        <v>124373.47271055228</v>
      </c>
      <c r="E15" s="33">
        <f>C37*'E Balans VL '!I15/100/3.6*1000000</f>
        <v>6087.9564857216083</v>
      </c>
      <c r="F15" s="33">
        <f>C37*'E Balans VL '!L15/100/3.6*1000000+C37*'E Balans VL '!N15/100/3.6*1000000</f>
        <v>21838.656311443967</v>
      </c>
      <c r="G15" s="34"/>
      <c r="H15" s="33"/>
      <c r="I15" s="33"/>
      <c r="J15" s="40">
        <f>C37*'E Balans VL '!D15/100/3.6*1000000+C37*'E Balans VL '!E15/100/3.6*1000000</f>
        <v>394.7187705894296</v>
      </c>
      <c r="K15" s="33"/>
      <c r="L15" s="33"/>
      <c r="M15" s="33"/>
      <c r="N15" s="33">
        <f>C37*'E Balans VL '!Y15/100/3.6*1000000</f>
        <v>24732.426336770703</v>
      </c>
      <c r="O15" s="33"/>
      <c r="P15" s="33"/>
      <c r="R15" s="32"/>
    </row>
    <row r="16" spans="1:18">
      <c r="A16" s="16" t="s">
        <v>488</v>
      </c>
      <c r="B16" s="247">
        <f>'lokale energieproductie'!N90+'lokale energieproductie'!N59</f>
        <v>1143</v>
      </c>
      <c r="C16" s="247">
        <f>'lokale energieproductie'!O90+'lokale energieproductie'!O59</f>
        <v>1632.8571428571429</v>
      </c>
      <c r="D16" s="310">
        <f>('lokale energieproductie'!P59+'lokale energieproductie'!P90)*(-1)</f>
        <v>-3265.7142857142858</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126041.5662299597</v>
      </c>
      <c r="C18" s="21">
        <f>C5+C16</f>
        <v>1632.8571428571429</v>
      </c>
      <c r="D18" s="21">
        <f>MAX((D5+D16),0)</f>
        <v>121409.00723574006</v>
      </c>
      <c r="E18" s="21">
        <f>MAX((E5+E16),0)</f>
        <v>6511.6582851281928</v>
      </c>
      <c r="F18" s="21">
        <f>MAX((F5+F16),0)</f>
        <v>23740.701721650272</v>
      </c>
      <c r="G18" s="21"/>
      <c r="H18" s="21"/>
      <c r="I18" s="21"/>
      <c r="J18" s="21">
        <f>MAX((J5+J16),0)</f>
        <v>394.87876534023104</v>
      </c>
      <c r="K18" s="21"/>
      <c r="L18" s="21">
        <f>MAX((L5+L16),0)</f>
        <v>0</v>
      </c>
      <c r="M18" s="21"/>
      <c r="N18" s="21">
        <f>MAX((N5+N16),0)</f>
        <v>28990.60861282824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0.21054441331514798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26537.347615209233</v>
      </c>
      <c r="C22" s="23">
        <f ca="1">C18*C20</f>
        <v>388.04369747899159</v>
      </c>
      <c r="D22" s="23">
        <f>D18*D20</f>
        <v>24524.619461619495</v>
      </c>
      <c r="E22" s="23">
        <f>E18*E20</f>
        <v>1478.1464307240999</v>
      </c>
      <c r="F22" s="23">
        <f>F18*F20</f>
        <v>6338.7673596806226</v>
      </c>
      <c r="G22" s="23"/>
      <c r="H22" s="23"/>
      <c r="I22" s="23"/>
      <c r="J22" s="23">
        <f>J18*J20</f>
        <v>139.78708293044178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691.57147008634001</v>
      </c>
      <c r="C30" s="39">
        <f>IF(ISERROR(B30*3.6/1000000/'E Balans VL '!Z18*100),0,B30*3.6/1000000/'E Balans VL '!Z18*100)</f>
        <v>3.919312851502494E-2</v>
      </c>
      <c r="D30" s="237" t="s">
        <v>754</v>
      </c>
    </row>
    <row r="31" spans="1:18">
      <c r="A31" s="6" t="s">
        <v>33</v>
      </c>
      <c r="B31" s="37">
        <f>IF( ISERROR(IND_ander_ele_kWh/1000),0,IND_ander_ele_kWh/1000)</f>
        <v>1338.89732252657</v>
      </c>
      <c r="C31" s="39">
        <f>IF(ISERROR(B31*3.6/1000000/'E Balans VL '!Z19*100),0,B31*3.6/1000000/'E Balans VL '!Z19*100)</f>
        <v>6.072680747838663E-2</v>
      </c>
      <c r="D31" s="237" t="s">
        <v>754</v>
      </c>
    </row>
    <row r="32" spans="1:18">
      <c r="A32" s="171" t="s">
        <v>41</v>
      </c>
      <c r="B32" s="37">
        <f>IF( ISERROR(IND_voed_ele_kWh/1000),0,IND_voed_ele_kWh/1000)</f>
        <v>11576.374462726601</v>
      </c>
      <c r="C32" s="39">
        <f>IF(ISERROR(B32*3.6/1000000/'E Balans VL '!Z20*100),0,B32*3.6/1000000/'E Balans VL '!Z20*100)</f>
        <v>0.35810981443491496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1034.4974998191899</v>
      </c>
      <c r="C35" s="39">
        <f>IF(ISERROR(B35*3.6/1000000/'E Balans VL '!Z22*100),0,B35*3.6/1000000/'E Balans VL '!Z22*100)</f>
        <v>0.18607382426719729</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110257.225474801</v>
      </c>
      <c r="C37" s="39">
        <f>IF(ISERROR(B37*3.6/1000000/'E Balans VL '!Z15*100),0,B37*3.6/1000000/'E Balans VL '!Z15*100)</f>
        <v>0.87392392063870505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2458.6000408270379</v>
      </c>
      <c r="C5" s="17">
        <f>'Eigen informatie GS &amp; warmtenet'!B60</f>
        <v>0</v>
      </c>
      <c r="D5" s="30">
        <f>IF(ISERROR(SUM(LB_lb_gas_kWh,LB_rest_gas_kWh)/1000),0,SUM(LB_lb_gas_kWh,LB_rest_gas_kWh)/1000)*0.902</f>
        <v>693.87580337338409</v>
      </c>
      <c r="E5" s="17">
        <f>B17*'E Balans VL '!I25/3.6*1000000/100</f>
        <v>72.265764631181142</v>
      </c>
      <c r="F5" s="17">
        <f>B17*('E Balans VL '!L25/3.6*1000000+'E Balans VL '!N25/3.6*1000000)/100</f>
        <v>10242.394914312523</v>
      </c>
      <c r="G5" s="18"/>
      <c r="H5" s="17"/>
      <c r="I5" s="17"/>
      <c r="J5" s="17">
        <f>('E Balans VL '!D25+'E Balans VL '!E25)/3.6*1000000*landbouw!B17/100</f>
        <v>356.19834687557636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2458.6000408270379</v>
      </c>
      <c r="C8" s="21">
        <f>C5+C6</f>
        <v>0</v>
      </c>
      <c r="D8" s="21">
        <f>MAX((D5+D6),0)</f>
        <v>693.87580337338409</v>
      </c>
      <c r="E8" s="21">
        <f>MAX((E5+E6),0)</f>
        <v>72.265764631181142</v>
      </c>
      <c r="F8" s="21">
        <f>MAX((F5+F6),0)</f>
        <v>10242.394914312523</v>
      </c>
      <c r="G8" s="21"/>
      <c r="H8" s="21"/>
      <c r="I8" s="21"/>
      <c r="J8" s="21">
        <f>MAX((J5+J6),0)</f>
        <v>356.19834687557636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0.21054441331514798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517.64450317252761</v>
      </c>
      <c r="C12" s="23">
        <f ca="1">C8*C10</f>
        <v>0</v>
      </c>
      <c r="D12" s="23">
        <f>D8*D10</f>
        <v>140.16291228142359</v>
      </c>
      <c r="E12" s="23">
        <f>E8*E10</f>
        <v>16.404328571278121</v>
      </c>
      <c r="F12" s="23">
        <f>F8*F10</f>
        <v>2734.7194421214435</v>
      </c>
      <c r="G12" s="23"/>
      <c r="H12" s="23"/>
      <c r="I12" s="23"/>
      <c r="J12" s="23">
        <f>J8*J10</f>
        <v>126.09421479395402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0.34888305941574327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407.41663172004871</v>
      </c>
      <c r="C26" s="247">
        <f>B26*'GWP N2O_CH4'!B5</f>
        <v>8555.7492661210235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127.24395811038099</v>
      </c>
      <c r="C27" s="247">
        <f>B27*'GWP N2O_CH4'!B5</f>
        <v>2672.1231203180009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5.4921424381029462</v>
      </c>
      <c r="C28" s="247">
        <f>B28*'GWP N2O_CH4'!B4</f>
        <v>1702.5641558119132</v>
      </c>
      <c r="D28" s="50"/>
    </row>
    <row r="29" spans="1:4">
      <c r="A29" s="41" t="s">
        <v>277</v>
      </c>
      <c r="B29" s="247">
        <f>B34*'ha_N2O bodem landbouw'!B4</f>
        <v>19.963292560566117</v>
      </c>
      <c r="C29" s="247">
        <f>B29*'GWP N2O_CH4'!B4</f>
        <v>6188.620693775496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4.5555545657544657E-3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3.5572357999737116E-4</v>
      </c>
      <c r="C5" s="463" t="s">
        <v>211</v>
      </c>
      <c r="D5" s="448">
        <f>SUM(D6:D11)</f>
        <v>1.1512071496091816E-3</v>
      </c>
      <c r="E5" s="448">
        <f>SUM(E6:E11)</f>
        <v>1.8327034592333642E-3</v>
      </c>
      <c r="F5" s="461" t="s">
        <v>211</v>
      </c>
      <c r="G5" s="448">
        <f>SUM(G6:G11)</f>
        <v>0.91325848764815531</v>
      </c>
      <c r="H5" s="448">
        <f>SUM(H6:H11)</f>
        <v>0.13457307213100714</v>
      </c>
      <c r="I5" s="463" t="s">
        <v>211</v>
      </c>
      <c r="J5" s="463" t="s">
        <v>211</v>
      </c>
      <c r="K5" s="463" t="s">
        <v>211</v>
      </c>
      <c r="L5" s="463" t="s">
        <v>211</v>
      </c>
      <c r="M5" s="448">
        <f>SUM(M6:M11)</f>
        <v>5.7328109723693045E-2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7.7025550593591772E-5</v>
      </c>
      <c r="C6" s="449"/>
      <c r="D6" s="892">
        <f>vkm_2011_GW_PW*SUMIFS(TableVerdeelsleutelVkm[CNG],TableVerdeelsleutelVkm[Voertuigtype],"Lichte voertuigen")*SUMIFS(TableECFTransport[EnergieConsumptieFactor (PJ per km)],TableECFTransport[Index],CONCATENATE($A6,"_CNG_CNG"))</f>
        <v>2.3103244313599659E-4</v>
      </c>
      <c r="E6" s="892">
        <f>vkm_2011_GW_PW*SUMIFS(TableVerdeelsleutelVkm[LPG],TableVerdeelsleutelVkm[Voertuigtype],"Lichte voertuigen")*SUMIFS(TableECFTransport[EnergieConsumptieFactor (PJ per km)],TableECFTransport[Index],CONCATENATE($A6,"_LPG_LPG"))</f>
        <v>3.1562350349873826E-4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8.1605769598495442E-2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2.6277282023640301E-2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5.5429520294969642E-3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4.3875614171578745E-2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1.3372395642487075E-5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2.5639428642671384E-3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2.0839025456270872E-5</v>
      </c>
      <c r="C8" s="449"/>
      <c r="D8" s="451">
        <f>vkm_2011_NGW_PW*SUMIFS(TableVerdeelsleutelVkm[CNG],TableVerdeelsleutelVkm[Voertuigtype],"Lichte voertuigen")*SUMIFS(TableECFTransport[EnergieConsumptieFactor (PJ per km)],TableECFTransport[Index],CONCATENATE($A8,"_CNG_CNG"))</f>
        <v>1.1113479619699395E-4</v>
      </c>
      <c r="E8" s="451">
        <f>vkm_2011_NGW_PW*SUMIFS(TableVerdeelsleutelVkm[LPG],TableVerdeelsleutelVkm[Voertuigtype],"Lichte voertuigen")*SUMIFS(TableECFTransport[EnergieConsumptieFactor (PJ per km)],TableECFTransport[Index],CONCATENATE($A8,"_LPG_LPG"))</f>
        <v>1.406081925656288E-4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3.3878857718335861E-2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1.2283607184378391E-2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2.3417064333205897E-3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4.6040421892277724E-3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1.3210089348505813E-6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2.6904226801345983E-4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2.5785900394750854E-4</v>
      </c>
      <c r="C10" s="449"/>
      <c r="D10" s="451">
        <f>vkm_2011_SW_PW*SUMIFS(TableVerdeelsleutelVkm[CNG],TableVerdeelsleutelVkm[Voertuigtype],"Lichte voertuigen")*SUMIFS(TableECFTransport[EnergieConsumptieFactor (PJ per km)],TableECFTransport[Index],CONCATENATE($A10,"_CNG_CNG"))</f>
        <v>8.0903991027619112E-4</v>
      </c>
      <c r="E10" s="451">
        <f>vkm_2011_SW_PW*SUMIFS(TableVerdeelsleutelVkm[LPG],TableVerdeelsleutelVkm[Voertuigtype],"Lichte voertuigen")*SUMIFS(TableECFTransport[EnergieConsumptieFactor (PJ per km)],TableECFTransport[Index],CONCATENATE($A10,"_LPG_LPG"))</f>
        <v>1.3764717631689972E-3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0.31727986007920672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9.5855301270649299E-2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2.1364695197298129E-2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0.43201434389131071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1.4218824776180745E-4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2.5245770931296763E-2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98.812105554825322</v>
      </c>
      <c r="C14" s="21"/>
      <c r="D14" s="21">
        <f t="shared" ref="D14:M14" si="0">((D5)*10^9/3600)+D12</f>
        <v>319.77976378032821</v>
      </c>
      <c r="E14" s="21">
        <f t="shared" si="0"/>
        <v>509.08429423149005</v>
      </c>
      <c r="F14" s="21"/>
      <c r="G14" s="21">
        <f t="shared" si="0"/>
        <v>253682.91323559871</v>
      </c>
      <c r="H14" s="21">
        <f t="shared" si="0"/>
        <v>37381.408925279757</v>
      </c>
      <c r="I14" s="21"/>
      <c r="J14" s="21"/>
      <c r="K14" s="21"/>
      <c r="L14" s="21"/>
      <c r="M14" s="21">
        <f t="shared" si="0"/>
        <v>15924.474923248068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0.21054441331514798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20.804336792475173</v>
      </c>
      <c r="C18" s="23"/>
      <c r="D18" s="23">
        <f t="shared" ref="D18:M18" si="1">D14*D16</f>
        <v>64.595512283626306</v>
      </c>
      <c r="E18" s="23">
        <f t="shared" si="1"/>
        <v>115.56213479054824</v>
      </c>
      <c r="F18" s="23"/>
      <c r="G18" s="23">
        <f t="shared" si="1"/>
        <v>67733.337833904865</v>
      </c>
      <c r="H18" s="23">
        <f t="shared" si="1"/>
        <v>9307.97082239466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1.6431322778612109E-3</v>
      </c>
      <c r="H50" s="321">
        <f t="shared" si="2"/>
        <v>0</v>
      </c>
      <c r="I50" s="321">
        <f t="shared" si="2"/>
        <v>0</v>
      </c>
      <c r="J50" s="321">
        <f t="shared" si="2"/>
        <v>0</v>
      </c>
      <c r="K50" s="321">
        <f t="shared" si="2"/>
        <v>0</v>
      </c>
      <c r="L50" s="321">
        <f t="shared" si="2"/>
        <v>0</v>
      </c>
      <c r="M50" s="321">
        <f t="shared" si="2"/>
        <v>9.3322659649566224E-5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1.6431322778612109E-3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9.3322659649566224E-5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456.42563273922525</v>
      </c>
      <c r="H54" s="21">
        <f t="shared" si="3"/>
        <v>0</v>
      </c>
      <c r="I54" s="21">
        <f t="shared" si="3"/>
        <v>0</v>
      </c>
      <c r="J54" s="21">
        <f t="shared" si="3"/>
        <v>0</v>
      </c>
      <c r="K54" s="21">
        <f t="shared" si="3"/>
        <v>0</v>
      </c>
      <c r="L54" s="21">
        <f t="shared" si="3"/>
        <v>0</v>
      </c>
      <c r="M54" s="21">
        <f t="shared" si="3"/>
        <v>25.922961013768397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0.21054441331514798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121.86564394137315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12097.203386907473</v>
      </c>
      <c r="D10" s="1013">
        <f ca="1">tertiair!C16</f>
        <v>0</v>
      </c>
      <c r="E10" s="1013">
        <f ca="1">tertiair!D16</f>
        <v>37932.071639190966</v>
      </c>
      <c r="F10" s="1013">
        <f>tertiair!E16</f>
        <v>213.4462833973337</v>
      </c>
      <c r="G10" s="1013">
        <f ca="1">tertiair!F16</f>
        <v>1960.4791213617027</v>
      </c>
      <c r="H10" s="1013">
        <f>tertiair!G16</f>
        <v>0</v>
      </c>
      <c r="I10" s="1013">
        <f>tertiair!H16</f>
        <v>0</v>
      </c>
      <c r="J10" s="1013">
        <f>tertiair!I16</f>
        <v>0</v>
      </c>
      <c r="K10" s="1013">
        <f>tertiair!J16</f>
        <v>1.3733188165516278E-2</v>
      </c>
      <c r="L10" s="1013">
        <f>tertiair!K16</f>
        <v>0</v>
      </c>
      <c r="M10" s="1013">
        <f ca="1">tertiair!L16</f>
        <v>0</v>
      </c>
      <c r="N10" s="1013">
        <f>tertiair!M16</f>
        <v>0</v>
      </c>
      <c r="O10" s="1013">
        <f ca="1">tertiair!N16</f>
        <v>555.91255441545877</v>
      </c>
      <c r="P10" s="1013">
        <f>tertiair!O16</f>
        <v>4.6900000000000004</v>
      </c>
      <c r="Q10" s="1014">
        <f>tertiair!P16</f>
        <v>57.2</v>
      </c>
      <c r="R10" s="700">
        <f ca="1">SUM(C10:Q10)</f>
        <v>52821.016718461091</v>
      </c>
      <c r="S10" s="67"/>
    </row>
    <row r="11" spans="1:19" s="473" customFormat="1">
      <c r="A11" s="809" t="s">
        <v>225</v>
      </c>
      <c r="B11" s="814"/>
      <c r="C11" s="1013">
        <f>huishoudens!B8</f>
        <v>15940.142247743197</v>
      </c>
      <c r="D11" s="1013">
        <f>huishoudens!C8</f>
        <v>0</v>
      </c>
      <c r="E11" s="1013">
        <f>huishoudens!D8</f>
        <v>14266.824234195652</v>
      </c>
      <c r="F11" s="1013">
        <f>huishoudens!E8</f>
        <v>3381.4649571925106</v>
      </c>
      <c r="G11" s="1013">
        <f>huishoudens!F8</f>
        <v>34320.101600628252</v>
      </c>
      <c r="H11" s="1013">
        <f>huishoudens!G8</f>
        <v>0</v>
      </c>
      <c r="I11" s="1013">
        <f>huishoudens!H8</f>
        <v>0</v>
      </c>
      <c r="J11" s="1013">
        <f>huishoudens!I8</f>
        <v>0</v>
      </c>
      <c r="K11" s="1013">
        <f>huishoudens!J8</f>
        <v>2267.2390240129725</v>
      </c>
      <c r="L11" s="1013">
        <f>huishoudens!K8</f>
        <v>0</v>
      </c>
      <c r="M11" s="1013">
        <f>huishoudens!L8</f>
        <v>0</v>
      </c>
      <c r="N11" s="1013">
        <f>huishoudens!M8</f>
        <v>0</v>
      </c>
      <c r="O11" s="1013">
        <f>huishoudens!N8</f>
        <v>11650.484709176515</v>
      </c>
      <c r="P11" s="1013">
        <f>huishoudens!O8</f>
        <v>164.15</v>
      </c>
      <c r="Q11" s="1014">
        <f>huishoudens!P8</f>
        <v>991.4666666666667</v>
      </c>
      <c r="R11" s="700">
        <f>SUM(C11:Q11)</f>
        <v>82981.873439615752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126041.5662299597</v>
      </c>
      <c r="D13" s="1013">
        <f>industrie!C18</f>
        <v>1632.8571428571429</v>
      </c>
      <c r="E13" s="1013">
        <f>industrie!D18</f>
        <v>121409.00723574006</v>
      </c>
      <c r="F13" s="1013">
        <f>industrie!E18</f>
        <v>6511.6582851281928</v>
      </c>
      <c r="G13" s="1013">
        <f>industrie!F18</f>
        <v>23740.701721650272</v>
      </c>
      <c r="H13" s="1013">
        <f>industrie!G18</f>
        <v>0</v>
      </c>
      <c r="I13" s="1013">
        <f>industrie!H18</f>
        <v>0</v>
      </c>
      <c r="J13" s="1013">
        <f>industrie!I18</f>
        <v>0</v>
      </c>
      <c r="K13" s="1013">
        <f>industrie!J18</f>
        <v>394.87876534023104</v>
      </c>
      <c r="L13" s="1013">
        <f>industrie!K18</f>
        <v>0</v>
      </c>
      <c r="M13" s="1013">
        <f>industrie!L18</f>
        <v>0</v>
      </c>
      <c r="N13" s="1013">
        <f>industrie!M18</f>
        <v>0</v>
      </c>
      <c r="O13" s="1013">
        <f>industrie!N18</f>
        <v>28990.60861282824</v>
      </c>
      <c r="P13" s="1013">
        <f>industrie!O18</f>
        <v>0</v>
      </c>
      <c r="Q13" s="1014">
        <f>industrie!P18</f>
        <v>0</v>
      </c>
      <c r="R13" s="700">
        <f>SUM(C13:Q13)</f>
        <v>308721.27799350384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154078.91186461039</v>
      </c>
      <c r="D16" s="732">
        <f t="shared" ref="D16:R16" ca="1" si="0">SUM(D9:D15)</f>
        <v>1632.8571428571429</v>
      </c>
      <c r="E16" s="732">
        <f t="shared" ca="1" si="0"/>
        <v>173607.90310912667</v>
      </c>
      <c r="F16" s="732">
        <f t="shared" si="0"/>
        <v>10106.569525718038</v>
      </c>
      <c r="G16" s="732">
        <f t="shared" ca="1" si="0"/>
        <v>60021.28244364023</v>
      </c>
      <c r="H16" s="732">
        <f t="shared" si="0"/>
        <v>0</v>
      </c>
      <c r="I16" s="732">
        <f t="shared" si="0"/>
        <v>0</v>
      </c>
      <c r="J16" s="732">
        <f t="shared" si="0"/>
        <v>0</v>
      </c>
      <c r="K16" s="732">
        <f t="shared" si="0"/>
        <v>2662.1315225413691</v>
      </c>
      <c r="L16" s="732">
        <f t="shared" si="0"/>
        <v>0</v>
      </c>
      <c r="M16" s="732">
        <f t="shared" ca="1" si="0"/>
        <v>0</v>
      </c>
      <c r="N16" s="732">
        <f t="shared" si="0"/>
        <v>0</v>
      </c>
      <c r="O16" s="732">
        <f t="shared" ca="1" si="0"/>
        <v>41197.005876420211</v>
      </c>
      <c r="P16" s="732">
        <f t="shared" si="0"/>
        <v>168.84</v>
      </c>
      <c r="Q16" s="732">
        <f t="shared" si="0"/>
        <v>1048.6666666666667</v>
      </c>
      <c r="R16" s="732">
        <f t="shared" ca="1" si="0"/>
        <v>444524.16815158067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456.42563273922525</v>
      </c>
      <c r="I19" s="1013">
        <f>transport!H54</f>
        <v>0</v>
      </c>
      <c r="J19" s="1013">
        <f>transport!I54</f>
        <v>0</v>
      </c>
      <c r="K19" s="1013">
        <f>transport!J54</f>
        <v>0</v>
      </c>
      <c r="L19" s="1013">
        <f>transport!K54</f>
        <v>0</v>
      </c>
      <c r="M19" s="1013">
        <f>transport!L54</f>
        <v>0</v>
      </c>
      <c r="N19" s="1013">
        <f>transport!M54</f>
        <v>25.922961013768397</v>
      </c>
      <c r="O19" s="1013">
        <f>transport!N54</f>
        <v>0</v>
      </c>
      <c r="P19" s="1013">
        <f>transport!O54</f>
        <v>0</v>
      </c>
      <c r="Q19" s="1014">
        <f>transport!P54</f>
        <v>0</v>
      </c>
      <c r="R19" s="700">
        <f>SUM(C19:Q19)</f>
        <v>482.34859375299362</v>
      </c>
      <c r="S19" s="67"/>
    </row>
    <row r="20" spans="1:19" s="473" customFormat="1">
      <c r="A20" s="809" t="s">
        <v>307</v>
      </c>
      <c r="B20" s="814"/>
      <c r="C20" s="1013">
        <f>transport!B14</f>
        <v>98.812105554825322</v>
      </c>
      <c r="D20" s="1013">
        <f>transport!C14</f>
        <v>0</v>
      </c>
      <c r="E20" s="1013">
        <f>transport!D14</f>
        <v>319.77976378032821</v>
      </c>
      <c r="F20" s="1013">
        <f>transport!E14</f>
        <v>509.08429423149005</v>
      </c>
      <c r="G20" s="1013">
        <f>transport!F14</f>
        <v>0</v>
      </c>
      <c r="H20" s="1013">
        <f>transport!G14</f>
        <v>253682.91323559871</v>
      </c>
      <c r="I20" s="1013">
        <f>transport!H14</f>
        <v>37381.408925279757</v>
      </c>
      <c r="J20" s="1013">
        <f>transport!I14</f>
        <v>0</v>
      </c>
      <c r="K20" s="1013">
        <f>transport!J14</f>
        <v>0</v>
      </c>
      <c r="L20" s="1013">
        <f>transport!K14</f>
        <v>0</v>
      </c>
      <c r="M20" s="1013">
        <f>transport!L14</f>
        <v>0</v>
      </c>
      <c r="N20" s="1013">
        <f>transport!M14</f>
        <v>15924.474923248068</v>
      </c>
      <c r="O20" s="1013">
        <f>transport!N14</f>
        <v>0</v>
      </c>
      <c r="P20" s="1013">
        <f>transport!O14</f>
        <v>0</v>
      </c>
      <c r="Q20" s="1014">
        <f>transport!P14</f>
        <v>0</v>
      </c>
      <c r="R20" s="700">
        <f>SUM(C20:Q20)</f>
        <v>307916.47324769315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98.812105554825322</v>
      </c>
      <c r="D22" s="812">
        <f t="shared" ref="D22:R22" si="1">SUM(D18:D21)</f>
        <v>0</v>
      </c>
      <c r="E22" s="812">
        <f t="shared" si="1"/>
        <v>319.77976378032821</v>
      </c>
      <c r="F22" s="812">
        <f t="shared" si="1"/>
        <v>509.08429423149005</v>
      </c>
      <c r="G22" s="812">
        <f t="shared" si="1"/>
        <v>0</v>
      </c>
      <c r="H22" s="812">
        <f t="shared" si="1"/>
        <v>254139.33886833795</v>
      </c>
      <c r="I22" s="812">
        <f t="shared" si="1"/>
        <v>37381.408925279757</v>
      </c>
      <c r="J22" s="812">
        <f t="shared" si="1"/>
        <v>0</v>
      </c>
      <c r="K22" s="812">
        <f t="shared" si="1"/>
        <v>0</v>
      </c>
      <c r="L22" s="812">
        <f t="shared" si="1"/>
        <v>0</v>
      </c>
      <c r="M22" s="812">
        <f t="shared" si="1"/>
        <v>0</v>
      </c>
      <c r="N22" s="812">
        <f t="shared" si="1"/>
        <v>15950.397884261836</v>
      </c>
      <c r="O22" s="812">
        <f t="shared" si="1"/>
        <v>0</v>
      </c>
      <c r="P22" s="812">
        <f t="shared" si="1"/>
        <v>0</v>
      </c>
      <c r="Q22" s="812">
        <f t="shared" si="1"/>
        <v>0</v>
      </c>
      <c r="R22" s="812">
        <f t="shared" si="1"/>
        <v>308398.82184144616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2458.6000408270379</v>
      </c>
      <c r="D24" s="1013">
        <f>+landbouw!C8</f>
        <v>0</v>
      </c>
      <c r="E24" s="1013">
        <f>+landbouw!D8</f>
        <v>693.87580337338409</v>
      </c>
      <c r="F24" s="1013">
        <f>+landbouw!E8</f>
        <v>72.265764631181142</v>
      </c>
      <c r="G24" s="1013">
        <f>+landbouw!F8</f>
        <v>10242.394914312523</v>
      </c>
      <c r="H24" s="1013">
        <f>+landbouw!G8</f>
        <v>0</v>
      </c>
      <c r="I24" s="1013">
        <f>+landbouw!H8</f>
        <v>0</v>
      </c>
      <c r="J24" s="1013">
        <f>+landbouw!I8</f>
        <v>0</v>
      </c>
      <c r="K24" s="1013">
        <f>+landbouw!J8</f>
        <v>356.19834687557636</v>
      </c>
      <c r="L24" s="1013">
        <f>+landbouw!K8</f>
        <v>0</v>
      </c>
      <c r="M24" s="1013">
        <f>+landbouw!L8</f>
        <v>0</v>
      </c>
      <c r="N24" s="1013">
        <f>+landbouw!M8</f>
        <v>0</v>
      </c>
      <c r="O24" s="1013">
        <f>+landbouw!N8</f>
        <v>0</v>
      </c>
      <c r="P24" s="1013">
        <f>+landbouw!O8</f>
        <v>0</v>
      </c>
      <c r="Q24" s="1014">
        <f>+landbouw!P8</f>
        <v>0</v>
      </c>
      <c r="R24" s="700">
        <f>SUM(C24:Q24)</f>
        <v>13823.334870019704</v>
      </c>
      <c r="S24" s="67"/>
    </row>
    <row r="25" spans="1:19" s="473" customFormat="1" ht="15" thickBot="1">
      <c r="A25" s="831" t="s">
        <v>836</v>
      </c>
      <c r="B25" s="1016"/>
      <c r="C25" s="1017">
        <f>IF(Onbekend_ele_kWh="---",0,Onbekend_ele_kWh)/1000+IF(REST_rest_ele_kWh="---",0,REST_rest_ele_kWh)/1000</f>
        <v>610.604643971276</v>
      </c>
      <c r="D25" s="1017"/>
      <c r="E25" s="1017">
        <f>IF(onbekend_gas_kWh="---",0,onbekend_gas_kWh)/1000+IF(REST_rest_gas_kWh="---",0,REST_rest_gas_kWh)/1000</f>
        <v>561.96444988650592</v>
      </c>
      <c r="F25" s="1017"/>
      <c r="G25" s="1017"/>
      <c r="H25" s="1017"/>
      <c r="I25" s="1017"/>
      <c r="J25" s="1017"/>
      <c r="K25" s="1017"/>
      <c r="L25" s="1017"/>
      <c r="M25" s="1017"/>
      <c r="N25" s="1017"/>
      <c r="O25" s="1017"/>
      <c r="P25" s="1017"/>
      <c r="Q25" s="1018"/>
      <c r="R25" s="700">
        <f>SUM(C25:Q25)</f>
        <v>1172.5690938577818</v>
      </c>
      <c r="S25" s="67"/>
    </row>
    <row r="26" spans="1:19" s="473" customFormat="1" ht="15.75" thickBot="1">
      <c r="A26" s="705" t="s">
        <v>837</v>
      </c>
      <c r="B26" s="817"/>
      <c r="C26" s="812">
        <f>SUM(C24:C25)</f>
        <v>3069.2046847983138</v>
      </c>
      <c r="D26" s="812">
        <f t="shared" ref="D26:R26" si="2">SUM(D24:D25)</f>
        <v>0</v>
      </c>
      <c r="E26" s="812">
        <f t="shared" si="2"/>
        <v>1255.84025325989</v>
      </c>
      <c r="F26" s="812">
        <f t="shared" si="2"/>
        <v>72.265764631181142</v>
      </c>
      <c r="G26" s="812">
        <f t="shared" si="2"/>
        <v>10242.394914312523</v>
      </c>
      <c r="H26" s="812">
        <f t="shared" si="2"/>
        <v>0</v>
      </c>
      <c r="I26" s="812">
        <f t="shared" si="2"/>
        <v>0</v>
      </c>
      <c r="J26" s="812">
        <f t="shared" si="2"/>
        <v>0</v>
      </c>
      <c r="K26" s="812">
        <f t="shared" si="2"/>
        <v>356.19834687557636</v>
      </c>
      <c r="L26" s="812">
        <f t="shared" si="2"/>
        <v>0</v>
      </c>
      <c r="M26" s="812">
        <f t="shared" si="2"/>
        <v>0</v>
      </c>
      <c r="N26" s="812">
        <f t="shared" si="2"/>
        <v>0</v>
      </c>
      <c r="O26" s="812">
        <f t="shared" si="2"/>
        <v>0</v>
      </c>
      <c r="P26" s="812">
        <f t="shared" si="2"/>
        <v>0</v>
      </c>
      <c r="Q26" s="812">
        <f t="shared" si="2"/>
        <v>0</v>
      </c>
      <c r="R26" s="812">
        <f t="shared" si="2"/>
        <v>14995.903963877485</v>
      </c>
      <c r="S26" s="67"/>
    </row>
    <row r="27" spans="1:19" s="473" customFormat="1" ht="17.25" thickTop="1" thickBot="1">
      <c r="A27" s="706" t="s">
        <v>116</v>
      </c>
      <c r="B27" s="805"/>
      <c r="C27" s="707">
        <f ca="1">C22+C16+C26</f>
        <v>157246.92865496353</v>
      </c>
      <c r="D27" s="707">
        <f t="shared" ref="D27:R27" ca="1" si="3">D22+D16+D26</f>
        <v>1632.8571428571429</v>
      </c>
      <c r="E27" s="707">
        <f t="shared" ca="1" si="3"/>
        <v>175183.5231261669</v>
      </c>
      <c r="F27" s="707">
        <f t="shared" si="3"/>
        <v>10687.91958458071</v>
      </c>
      <c r="G27" s="707">
        <f t="shared" ca="1" si="3"/>
        <v>70263.677357952751</v>
      </c>
      <c r="H27" s="707">
        <f t="shared" si="3"/>
        <v>254139.33886833795</v>
      </c>
      <c r="I27" s="707">
        <f t="shared" si="3"/>
        <v>37381.408925279757</v>
      </c>
      <c r="J27" s="707">
        <f t="shared" si="3"/>
        <v>0</v>
      </c>
      <c r="K27" s="707">
        <f t="shared" si="3"/>
        <v>3018.3298694169453</v>
      </c>
      <c r="L27" s="707">
        <f t="shared" si="3"/>
        <v>0</v>
      </c>
      <c r="M27" s="707">
        <f t="shared" ca="1" si="3"/>
        <v>0</v>
      </c>
      <c r="N27" s="707">
        <f t="shared" si="3"/>
        <v>15950.397884261836</v>
      </c>
      <c r="O27" s="707">
        <f t="shared" ca="1" si="3"/>
        <v>41197.005876420211</v>
      </c>
      <c r="P27" s="707">
        <f t="shared" si="3"/>
        <v>168.84</v>
      </c>
      <c r="Q27" s="707">
        <f t="shared" si="3"/>
        <v>1048.6666666666667</v>
      </c>
      <c r="R27" s="707">
        <f t="shared" ca="1" si="3"/>
        <v>767918.8939569043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2546.9985898504551</v>
      </c>
      <c r="D40" s="1013">
        <f ca="1">tertiair!C20</f>
        <v>0</v>
      </c>
      <c r="E40" s="1013">
        <f ca="1">tertiair!D20</f>
        <v>7662.2784711165759</v>
      </c>
      <c r="F40" s="1013">
        <f>tertiair!E20</f>
        <v>48.452306331194755</v>
      </c>
      <c r="G40" s="1013">
        <f ca="1">tertiair!F20</f>
        <v>523.44792540357469</v>
      </c>
      <c r="H40" s="1013">
        <f>tertiair!G20</f>
        <v>0</v>
      </c>
      <c r="I40" s="1013">
        <f>tertiair!H20</f>
        <v>0</v>
      </c>
      <c r="J40" s="1013">
        <f>tertiair!I20</f>
        <v>0</v>
      </c>
      <c r="K40" s="1013">
        <f>tertiair!J20</f>
        <v>4.8615486105927624E-3</v>
      </c>
      <c r="L40" s="1013">
        <f>tertiair!K20</f>
        <v>0</v>
      </c>
      <c r="M40" s="1013">
        <f ca="1">tertiair!L20</f>
        <v>0</v>
      </c>
      <c r="N40" s="1013">
        <f>tertiair!M20</f>
        <v>0</v>
      </c>
      <c r="O40" s="1013">
        <f ca="1">tertiair!N20</f>
        <v>0</v>
      </c>
      <c r="P40" s="1013">
        <f>tertiair!O20</f>
        <v>0</v>
      </c>
      <c r="Q40" s="774">
        <f>tertiair!P20</f>
        <v>0</v>
      </c>
      <c r="R40" s="850">
        <f t="shared" ca="1" si="4"/>
        <v>10781.182154250411</v>
      </c>
    </row>
    <row r="41" spans="1:18">
      <c r="A41" s="822" t="s">
        <v>225</v>
      </c>
      <c r="B41" s="829"/>
      <c r="C41" s="1013">
        <f ca="1">huishoudens!B12</f>
        <v>3356.1078977110956</v>
      </c>
      <c r="D41" s="1013">
        <f ca="1">huishoudens!C12</f>
        <v>0</v>
      </c>
      <c r="E41" s="1013">
        <f>huishoudens!D12</f>
        <v>2881.8984953075219</v>
      </c>
      <c r="F41" s="1013">
        <f>huishoudens!E12</f>
        <v>767.59254528269992</v>
      </c>
      <c r="G41" s="1013">
        <f>huishoudens!F12</f>
        <v>9163.4671273677432</v>
      </c>
      <c r="H41" s="1013">
        <f>huishoudens!G12</f>
        <v>0</v>
      </c>
      <c r="I41" s="1013">
        <f>huishoudens!H12</f>
        <v>0</v>
      </c>
      <c r="J41" s="1013">
        <f>huishoudens!I12</f>
        <v>0</v>
      </c>
      <c r="K41" s="1013">
        <f>huishoudens!J12</f>
        <v>802.60261450059227</v>
      </c>
      <c r="L41" s="1013">
        <f>huishoudens!K12</f>
        <v>0</v>
      </c>
      <c r="M41" s="1013">
        <f>huishoudens!L12</f>
        <v>0</v>
      </c>
      <c r="N41" s="1013">
        <f>huishoudens!M12</f>
        <v>0</v>
      </c>
      <c r="O41" s="1013">
        <f>huishoudens!N12</f>
        <v>0</v>
      </c>
      <c r="P41" s="1013">
        <f>huishoudens!O12</f>
        <v>0</v>
      </c>
      <c r="Q41" s="774">
        <f>huishoudens!P12</f>
        <v>0</v>
      </c>
      <c r="R41" s="850">
        <f t="shared" ca="1" si="4"/>
        <v>16971.668680169652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26537.347615209233</v>
      </c>
      <c r="D43" s="1013">
        <f ca="1">industrie!C22</f>
        <v>388.04369747899159</v>
      </c>
      <c r="E43" s="1013">
        <f>industrie!D22</f>
        <v>24524.619461619495</v>
      </c>
      <c r="F43" s="1013">
        <f>industrie!E22</f>
        <v>1478.1464307240999</v>
      </c>
      <c r="G43" s="1013">
        <f>industrie!F22</f>
        <v>6338.7673596806226</v>
      </c>
      <c r="H43" s="1013">
        <f>industrie!G22</f>
        <v>0</v>
      </c>
      <c r="I43" s="1013">
        <f>industrie!H22</f>
        <v>0</v>
      </c>
      <c r="J43" s="1013">
        <f>industrie!I22</f>
        <v>0</v>
      </c>
      <c r="K43" s="1013">
        <f>industrie!J22</f>
        <v>139.78708293044178</v>
      </c>
      <c r="L43" s="1013">
        <f>industrie!K22</f>
        <v>0</v>
      </c>
      <c r="M43" s="1013">
        <f>industrie!L22</f>
        <v>0</v>
      </c>
      <c r="N43" s="1013">
        <f>industrie!M22</f>
        <v>0</v>
      </c>
      <c r="O43" s="1013">
        <f>industrie!N22</f>
        <v>0</v>
      </c>
      <c r="P43" s="1013">
        <f>industrie!O22</f>
        <v>0</v>
      </c>
      <c r="Q43" s="774">
        <f>industrie!P22</f>
        <v>0</v>
      </c>
      <c r="R43" s="849">
        <f t="shared" ca="1" si="4"/>
        <v>59406.711647642886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32440.454102770782</v>
      </c>
      <c r="D46" s="732">
        <f t="shared" ref="D46:Q46" ca="1" si="5">SUM(D39:D45)</f>
        <v>388.04369747899159</v>
      </c>
      <c r="E46" s="732">
        <f t="shared" ca="1" si="5"/>
        <v>35068.796428043592</v>
      </c>
      <c r="F46" s="732">
        <f t="shared" si="5"/>
        <v>2294.1912823379944</v>
      </c>
      <c r="G46" s="732">
        <f t="shared" ca="1" si="5"/>
        <v>16025.682412451941</v>
      </c>
      <c r="H46" s="732">
        <f t="shared" si="5"/>
        <v>0</v>
      </c>
      <c r="I46" s="732">
        <f t="shared" si="5"/>
        <v>0</v>
      </c>
      <c r="J46" s="732">
        <f t="shared" si="5"/>
        <v>0</v>
      </c>
      <c r="K46" s="732">
        <f t="shared" si="5"/>
        <v>942.39455897964467</v>
      </c>
      <c r="L46" s="732">
        <f t="shared" si="5"/>
        <v>0</v>
      </c>
      <c r="M46" s="732">
        <f t="shared" ca="1" si="5"/>
        <v>0</v>
      </c>
      <c r="N46" s="732">
        <f t="shared" si="5"/>
        <v>0</v>
      </c>
      <c r="O46" s="732">
        <f t="shared" ca="1" si="5"/>
        <v>0</v>
      </c>
      <c r="P46" s="732">
        <f t="shared" si="5"/>
        <v>0</v>
      </c>
      <c r="Q46" s="732">
        <f t="shared" si="5"/>
        <v>0</v>
      </c>
      <c r="R46" s="732">
        <f ca="1">SUM(R39:R45)</f>
        <v>87159.562482062945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121.86564394137315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121.86564394137315</v>
      </c>
    </row>
    <row r="50" spans="1:18">
      <c r="A50" s="825" t="s">
        <v>307</v>
      </c>
      <c r="B50" s="835"/>
      <c r="C50" s="703">
        <f ca="1">transport!B18</f>
        <v>20.804336792475173</v>
      </c>
      <c r="D50" s="703">
        <f>transport!C18</f>
        <v>0</v>
      </c>
      <c r="E50" s="703">
        <f>transport!D18</f>
        <v>64.595512283626306</v>
      </c>
      <c r="F50" s="703">
        <f>transport!E18</f>
        <v>115.56213479054824</v>
      </c>
      <c r="G50" s="703">
        <f>transport!F18</f>
        <v>0</v>
      </c>
      <c r="H50" s="703">
        <f>transport!G18</f>
        <v>67733.337833904865</v>
      </c>
      <c r="I50" s="703">
        <f>transport!H18</f>
        <v>9307.97082239466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77242.270640166185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20.804336792475173</v>
      </c>
      <c r="D52" s="732">
        <f t="shared" ref="D52:Q52" ca="1" si="6">SUM(D48:D51)</f>
        <v>0</v>
      </c>
      <c r="E52" s="732">
        <f t="shared" si="6"/>
        <v>64.595512283626306</v>
      </c>
      <c r="F52" s="732">
        <f t="shared" si="6"/>
        <v>115.56213479054824</v>
      </c>
      <c r="G52" s="732">
        <f t="shared" si="6"/>
        <v>0</v>
      </c>
      <c r="H52" s="732">
        <f t="shared" si="6"/>
        <v>67855.20347784624</v>
      </c>
      <c r="I52" s="732">
        <f t="shared" si="6"/>
        <v>9307.97082239466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77364.136284107561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517.64450317252761</v>
      </c>
      <c r="D54" s="703">
        <f ca="1">+landbouw!C12</f>
        <v>0</v>
      </c>
      <c r="E54" s="703">
        <f>+landbouw!D12</f>
        <v>140.16291228142359</v>
      </c>
      <c r="F54" s="703">
        <f>+landbouw!E12</f>
        <v>16.404328571278121</v>
      </c>
      <c r="G54" s="703">
        <f>+landbouw!F12</f>
        <v>2734.7194421214435</v>
      </c>
      <c r="H54" s="703">
        <f>+landbouw!G12</f>
        <v>0</v>
      </c>
      <c r="I54" s="703">
        <f>+landbouw!H12</f>
        <v>0</v>
      </c>
      <c r="J54" s="703">
        <f>+landbouw!I12</f>
        <v>0</v>
      </c>
      <c r="K54" s="703">
        <f>+landbouw!J12</f>
        <v>126.09421479395402</v>
      </c>
      <c r="L54" s="703">
        <f>+landbouw!K12</f>
        <v>0</v>
      </c>
      <c r="M54" s="703">
        <f>+landbouw!L12</f>
        <v>0</v>
      </c>
      <c r="N54" s="703">
        <f>+landbouw!M12</f>
        <v>0</v>
      </c>
      <c r="O54" s="703">
        <f>+landbouw!N12</f>
        <v>0</v>
      </c>
      <c r="P54" s="703">
        <f>+landbouw!O12</f>
        <v>0</v>
      </c>
      <c r="Q54" s="704">
        <f>+landbouw!P12</f>
        <v>0</v>
      </c>
      <c r="R54" s="731">
        <f ca="1">SUM(C54:Q54)</f>
        <v>3535.0254009406272</v>
      </c>
    </row>
    <row r="55" spans="1:18" ht="15" thickBot="1">
      <c r="A55" s="825" t="s">
        <v>836</v>
      </c>
      <c r="B55" s="835"/>
      <c r="C55" s="703">
        <f ca="1">C25*'EF ele_warmte'!B12</f>
        <v>128.55939653243712</v>
      </c>
      <c r="D55" s="703"/>
      <c r="E55" s="703">
        <f>E25*EF_CO2_aardgas</f>
        <v>113.5168188770742</v>
      </c>
      <c r="F55" s="703"/>
      <c r="G55" s="703"/>
      <c r="H55" s="703"/>
      <c r="I55" s="703"/>
      <c r="J55" s="703"/>
      <c r="K55" s="703"/>
      <c r="L55" s="703"/>
      <c r="M55" s="703"/>
      <c r="N55" s="703"/>
      <c r="O55" s="703"/>
      <c r="P55" s="703"/>
      <c r="Q55" s="704"/>
      <c r="R55" s="731">
        <f ca="1">SUM(C55:Q55)</f>
        <v>242.07621540951132</v>
      </c>
    </row>
    <row r="56" spans="1:18" ht="15.75" thickBot="1">
      <c r="A56" s="823" t="s">
        <v>837</v>
      </c>
      <c r="B56" s="836"/>
      <c r="C56" s="732">
        <f ca="1">SUM(C54:C55)</f>
        <v>646.20389970496467</v>
      </c>
      <c r="D56" s="732">
        <f t="shared" ref="D56:Q56" ca="1" si="7">SUM(D54:D55)</f>
        <v>0</v>
      </c>
      <c r="E56" s="732">
        <f t="shared" si="7"/>
        <v>253.67973115849779</v>
      </c>
      <c r="F56" s="732">
        <f t="shared" si="7"/>
        <v>16.404328571278121</v>
      </c>
      <c r="G56" s="732">
        <f t="shared" si="7"/>
        <v>2734.7194421214435</v>
      </c>
      <c r="H56" s="732">
        <f t="shared" si="7"/>
        <v>0</v>
      </c>
      <c r="I56" s="732">
        <f t="shared" si="7"/>
        <v>0</v>
      </c>
      <c r="J56" s="732">
        <f t="shared" si="7"/>
        <v>0</v>
      </c>
      <c r="K56" s="732">
        <f t="shared" si="7"/>
        <v>126.09421479395402</v>
      </c>
      <c r="L56" s="732">
        <f t="shared" si="7"/>
        <v>0</v>
      </c>
      <c r="M56" s="732">
        <f t="shared" si="7"/>
        <v>0</v>
      </c>
      <c r="N56" s="732">
        <f t="shared" si="7"/>
        <v>0</v>
      </c>
      <c r="O56" s="732">
        <f t="shared" si="7"/>
        <v>0</v>
      </c>
      <c r="P56" s="732">
        <f t="shared" si="7"/>
        <v>0</v>
      </c>
      <c r="Q56" s="733">
        <f t="shared" si="7"/>
        <v>0</v>
      </c>
      <c r="R56" s="734">
        <f ca="1">SUM(R54:R55)</f>
        <v>3777.1016163501386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33107.462339268226</v>
      </c>
      <c r="D61" s="740">
        <f t="shared" ref="D61:Q61" ca="1" si="8">D46+D52+D56</f>
        <v>388.04369747899159</v>
      </c>
      <c r="E61" s="740">
        <f t="shared" ca="1" si="8"/>
        <v>35387.071671485712</v>
      </c>
      <c r="F61" s="740">
        <f t="shared" si="8"/>
        <v>2426.1577456998207</v>
      </c>
      <c r="G61" s="740">
        <f t="shared" ca="1" si="8"/>
        <v>18760.401854573385</v>
      </c>
      <c r="H61" s="740">
        <f t="shared" si="8"/>
        <v>67855.20347784624</v>
      </c>
      <c r="I61" s="740">
        <f t="shared" si="8"/>
        <v>9307.97082239466</v>
      </c>
      <c r="J61" s="740">
        <f t="shared" si="8"/>
        <v>0</v>
      </c>
      <c r="K61" s="740">
        <f t="shared" si="8"/>
        <v>1068.4887737735987</v>
      </c>
      <c r="L61" s="740">
        <f t="shared" si="8"/>
        <v>0</v>
      </c>
      <c r="M61" s="740">
        <f t="shared" ca="1" si="8"/>
        <v>0</v>
      </c>
      <c r="N61" s="740">
        <f t="shared" si="8"/>
        <v>0</v>
      </c>
      <c r="O61" s="740">
        <f t="shared" ca="1" si="8"/>
        <v>0</v>
      </c>
      <c r="P61" s="740">
        <f t="shared" si="8"/>
        <v>0</v>
      </c>
      <c r="Q61" s="740">
        <f t="shared" si="8"/>
        <v>0</v>
      </c>
      <c r="R61" s="740">
        <f ca="1">R46+R52+R56</f>
        <v>168300.80038252065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0.21054441331514798</v>
      </c>
      <c r="D63" s="781">
        <f t="shared" ca="1" si="9"/>
        <v>0.23764705882352941</v>
      </c>
      <c r="E63" s="1024">
        <f t="shared" ca="1" si="9"/>
        <v>0.20199999999999999</v>
      </c>
      <c r="F63" s="781">
        <f t="shared" si="9"/>
        <v>0.22699999999999995</v>
      </c>
      <c r="G63" s="781">
        <f t="shared" ca="1" si="9"/>
        <v>0.26700000000000002</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7525.5044421448565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1143</v>
      </c>
      <c r="D76" s="1034">
        <f>'lokale energieproductie'!C8</f>
        <v>1344.7058823529412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271.63058823529417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7525.5044421448565</v>
      </c>
      <c r="C78" s="755">
        <f>SUM(C72:C77)</f>
        <v>1143</v>
      </c>
      <c r="D78" s="756">
        <f t="shared" ref="D78:H78" si="10">SUM(D76:D77)</f>
        <v>1344.7058823529412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271.63058823529417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1632.8571428571429</v>
      </c>
      <c r="D87" s="777">
        <f>'lokale energieproductie'!C17</f>
        <v>1921.0084033613443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388.04369747899159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1632.8571428571429</v>
      </c>
      <c r="D90" s="755">
        <f t="shared" ref="D90:H90" si="12">SUM(D87:D89)</f>
        <v>1921.0084033613443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388.04369747899159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7525.5044421448565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1143</v>
      </c>
      <c r="C8" s="570">
        <f>B101</f>
        <v>1344.7058823529412</v>
      </c>
      <c r="D8" s="1044"/>
      <c r="E8" s="1044">
        <f>E101</f>
        <v>0</v>
      </c>
      <c r="F8" s="1045"/>
      <c r="G8" s="571"/>
      <c r="H8" s="1044">
        <f>I101</f>
        <v>0</v>
      </c>
      <c r="I8" s="1044">
        <f>G101+F101</f>
        <v>0</v>
      </c>
      <c r="J8" s="1044">
        <f>H101+D101+C101</f>
        <v>0</v>
      </c>
      <c r="K8" s="1044"/>
      <c r="L8" s="1044"/>
      <c r="M8" s="1044"/>
      <c r="N8" s="572"/>
      <c r="O8" s="573">
        <f>C8*$C$12+D8*$D$12+E8*$E$12+F8*$F$12+G8*$G$12+H8*$H$12+I8*$I$12+J8*$J$12</f>
        <v>271.63058823529417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8668.5044421448565</v>
      </c>
      <c r="C10" s="583">
        <f t="shared" ref="C10:L10" si="0">SUM(C8:C9)</f>
        <v>1344.7058823529412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271.63058823529417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1632.8571428571429</v>
      </c>
      <c r="C17" s="595">
        <f>B102</f>
        <v>1921.0084033613443</v>
      </c>
      <c r="D17" s="596"/>
      <c r="E17" s="596">
        <f>E102</f>
        <v>0</v>
      </c>
      <c r="F17" s="1050"/>
      <c r="G17" s="597"/>
      <c r="H17" s="595">
        <f>I102</f>
        <v>0</v>
      </c>
      <c r="I17" s="596">
        <f>G102+F102</f>
        <v>0</v>
      </c>
      <c r="J17" s="596">
        <f>H102+D102+C102</f>
        <v>0</v>
      </c>
      <c r="K17" s="596"/>
      <c r="L17" s="596"/>
      <c r="M17" s="596"/>
      <c r="N17" s="1051"/>
      <c r="O17" s="598">
        <f>C17*$C$22+E17*$E$22+H17*$H$22+I17*$I$22+J17*$J$22+D17*$D$22+F17*$F$22+G17*$G$22+K17*$K$22+L17*$L$22</f>
        <v>388.04369747899159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1632.8571428571429</v>
      </c>
      <c r="C20" s="582">
        <f>SUM(C17:C19)</f>
        <v>1921.0084033613443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388.04369747899159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45017</v>
      </c>
      <c r="C28" s="796">
        <v>9770</v>
      </c>
      <c r="D28" s="653" t="s">
        <v>881</v>
      </c>
      <c r="E28" s="652" t="s">
        <v>882</v>
      </c>
      <c r="F28" s="652" t="s">
        <v>883</v>
      </c>
      <c r="G28" s="652" t="s">
        <v>884</v>
      </c>
      <c r="H28" s="652" t="s">
        <v>885</v>
      </c>
      <c r="I28" s="652" t="s">
        <v>886</v>
      </c>
      <c r="J28" s="795">
        <v>40577</v>
      </c>
      <c r="K28" s="795">
        <v>40582</v>
      </c>
      <c r="L28" s="652" t="s">
        <v>887</v>
      </c>
      <c r="M28" s="652">
        <v>254</v>
      </c>
      <c r="N28" s="652">
        <v>1143</v>
      </c>
      <c r="O28" s="652">
        <v>1632.8571428571429</v>
      </c>
      <c r="P28" s="652">
        <v>3265.7142857142858</v>
      </c>
      <c r="Q28" s="652">
        <v>0</v>
      </c>
      <c r="R28" s="652">
        <v>0</v>
      </c>
      <c r="S28" s="652">
        <v>0</v>
      </c>
      <c r="T28" s="652">
        <v>0</v>
      </c>
      <c r="U28" s="652">
        <v>0</v>
      </c>
      <c r="V28" s="652">
        <v>0</v>
      </c>
      <c r="W28" s="652">
        <v>0</v>
      </c>
      <c r="X28" s="652">
        <v>600</v>
      </c>
      <c r="Y28" s="652" t="s">
        <v>40</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254</v>
      </c>
      <c r="N58" s="610">
        <f>SUM(N28:N57)</f>
        <v>1143</v>
      </c>
      <c r="O58" s="610">
        <f t="shared" ref="O58:W58" si="2">SUM(O28:O57)</f>
        <v>1632.8571428571429</v>
      </c>
      <c r="P58" s="610">
        <f t="shared" si="2"/>
        <v>3265.7142857142858</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254</v>
      </c>
      <c r="N59" s="610">
        <f t="shared" si="3"/>
        <v>1143</v>
      </c>
      <c r="O59" s="610">
        <f t="shared" si="3"/>
        <v>1632.8571428571429</v>
      </c>
      <c r="P59" s="610">
        <f t="shared" si="3"/>
        <v>3265.7142857142858</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1344.7058823529412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1921.0084033613443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15940.142247743197</v>
      </c>
      <c r="C4" s="477">
        <f>huishoudens!C8</f>
        <v>0</v>
      </c>
      <c r="D4" s="477">
        <f>huishoudens!D8</f>
        <v>14266.824234195652</v>
      </c>
      <c r="E4" s="477">
        <f>huishoudens!E8</f>
        <v>3381.4649571925106</v>
      </c>
      <c r="F4" s="477">
        <f>huishoudens!F8</f>
        <v>34320.101600628252</v>
      </c>
      <c r="G4" s="477">
        <f>huishoudens!G8</f>
        <v>0</v>
      </c>
      <c r="H4" s="477">
        <f>huishoudens!H8</f>
        <v>0</v>
      </c>
      <c r="I4" s="477">
        <f>huishoudens!I8</f>
        <v>0</v>
      </c>
      <c r="J4" s="477">
        <f>huishoudens!J8</f>
        <v>2267.2390240129725</v>
      </c>
      <c r="K4" s="477">
        <f>huishoudens!K8</f>
        <v>0</v>
      </c>
      <c r="L4" s="477">
        <f>huishoudens!L8</f>
        <v>0</v>
      </c>
      <c r="M4" s="477">
        <f>huishoudens!M8</f>
        <v>0</v>
      </c>
      <c r="N4" s="477">
        <f>huishoudens!N8</f>
        <v>11650.484709176515</v>
      </c>
      <c r="O4" s="477">
        <f>huishoudens!O8</f>
        <v>164.15</v>
      </c>
      <c r="P4" s="478">
        <f>huishoudens!P8</f>
        <v>991.4666666666667</v>
      </c>
      <c r="Q4" s="479">
        <f>SUM(B4:P4)</f>
        <v>82981.873439615752</v>
      </c>
    </row>
    <row r="5" spans="1:17">
      <c r="A5" s="476" t="s">
        <v>156</v>
      </c>
      <c r="B5" s="477">
        <f ca="1">tertiair!B16</f>
        <v>11325.992386907474</v>
      </c>
      <c r="C5" s="477">
        <f ca="1">tertiair!C16</f>
        <v>0</v>
      </c>
      <c r="D5" s="477">
        <f ca="1">tertiair!D16</f>
        <v>37932.071639190966</v>
      </c>
      <c r="E5" s="477">
        <f>tertiair!E16</f>
        <v>213.4462833973337</v>
      </c>
      <c r="F5" s="477">
        <f ca="1">tertiair!F16</f>
        <v>1960.4791213617027</v>
      </c>
      <c r="G5" s="477">
        <f>tertiair!G16</f>
        <v>0</v>
      </c>
      <c r="H5" s="477">
        <f>tertiair!H16</f>
        <v>0</v>
      </c>
      <c r="I5" s="477">
        <f>tertiair!I16</f>
        <v>0</v>
      </c>
      <c r="J5" s="477">
        <f>tertiair!J16</f>
        <v>1.3733188165516278E-2</v>
      </c>
      <c r="K5" s="477">
        <f>tertiair!K16</f>
        <v>0</v>
      </c>
      <c r="L5" s="477">
        <f ca="1">tertiair!L16</f>
        <v>0</v>
      </c>
      <c r="M5" s="477">
        <f>tertiair!M16</f>
        <v>0</v>
      </c>
      <c r="N5" s="477">
        <f ca="1">tertiair!N16</f>
        <v>555.91255441545877</v>
      </c>
      <c r="O5" s="477">
        <f>tertiair!O16</f>
        <v>4.6900000000000004</v>
      </c>
      <c r="P5" s="478">
        <f>tertiair!P16</f>
        <v>57.2</v>
      </c>
      <c r="Q5" s="476">
        <f t="shared" ref="Q5:Q14" ca="1" si="0">SUM(B5:P5)</f>
        <v>52049.805718461095</v>
      </c>
    </row>
    <row r="6" spans="1:17">
      <c r="A6" s="476" t="s">
        <v>194</v>
      </c>
      <c r="B6" s="477">
        <f>'openbare verlichting'!B8</f>
        <v>771.21100000000001</v>
      </c>
      <c r="C6" s="477"/>
      <c r="D6" s="477"/>
      <c r="E6" s="477"/>
      <c r="F6" s="477"/>
      <c r="G6" s="477"/>
      <c r="H6" s="477"/>
      <c r="I6" s="477"/>
      <c r="J6" s="477"/>
      <c r="K6" s="477"/>
      <c r="L6" s="477"/>
      <c r="M6" s="477"/>
      <c r="N6" s="477"/>
      <c r="O6" s="477"/>
      <c r="P6" s="478"/>
      <c r="Q6" s="476">
        <f t="shared" si="0"/>
        <v>771.21100000000001</v>
      </c>
    </row>
    <row r="7" spans="1:17">
      <c r="A7" s="476" t="s">
        <v>112</v>
      </c>
      <c r="B7" s="477">
        <f>landbouw!B8</f>
        <v>2458.6000408270379</v>
      </c>
      <c r="C7" s="477">
        <f>landbouw!C8</f>
        <v>0</v>
      </c>
      <c r="D7" s="477">
        <f>landbouw!D8</f>
        <v>693.87580337338409</v>
      </c>
      <c r="E7" s="477">
        <f>landbouw!E8</f>
        <v>72.265764631181142</v>
      </c>
      <c r="F7" s="477">
        <f>landbouw!F8</f>
        <v>10242.394914312523</v>
      </c>
      <c r="G7" s="477">
        <f>landbouw!G8</f>
        <v>0</v>
      </c>
      <c r="H7" s="477">
        <f>landbouw!H8</f>
        <v>0</v>
      </c>
      <c r="I7" s="477">
        <f>landbouw!I8</f>
        <v>0</v>
      </c>
      <c r="J7" s="477">
        <f>landbouw!J8</f>
        <v>356.19834687557636</v>
      </c>
      <c r="K7" s="477">
        <f>landbouw!K8</f>
        <v>0</v>
      </c>
      <c r="L7" s="477">
        <f>landbouw!L8</f>
        <v>0</v>
      </c>
      <c r="M7" s="477">
        <f>landbouw!M8</f>
        <v>0</v>
      </c>
      <c r="N7" s="477">
        <f>landbouw!N8</f>
        <v>0</v>
      </c>
      <c r="O7" s="477">
        <f>landbouw!O8</f>
        <v>0</v>
      </c>
      <c r="P7" s="478">
        <f>landbouw!P8</f>
        <v>0</v>
      </c>
      <c r="Q7" s="476">
        <f t="shared" si="0"/>
        <v>13823.334870019704</v>
      </c>
    </row>
    <row r="8" spans="1:17">
      <c r="A8" s="476" t="s">
        <v>635</v>
      </c>
      <c r="B8" s="477">
        <f>industrie!B18</f>
        <v>126041.5662299597</v>
      </c>
      <c r="C8" s="477">
        <f>industrie!C18</f>
        <v>1632.8571428571429</v>
      </c>
      <c r="D8" s="477">
        <f>industrie!D18</f>
        <v>121409.00723574006</v>
      </c>
      <c r="E8" s="477">
        <f>industrie!E18</f>
        <v>6511.6582851281928</v>
      </c>
      <c r="F8" s="477">
        <f>industrie!F18</f>
        <v>23740.701721650272</v>
      </c>
      <c r="G8" s="477">
        <f>industrie!G18</f>
        <v>0</v>
      </c>
      <c r="H8" s="477">
        <f>industrie!H18</f>
        <v>0</v>
      </c>
      <c r="I8" s="477">
        <f>industrie!I18</f>
        <v>0</v>
      </c>
      <c r="J8" s="477">
        <f>industrie!J18</f>
        <v>394.87876534023104</v>
      </c>
      <c r="K8" s="477">
        <f>industrie!K18</f>
        <v>0</v>
      </c>
      <c r="L8" s="477">
        <f>industrie!L18</f>
        <v>0</v>
      </c>
      <c r="M8" s="477">
        <f>industrie!M18</f>
        <v>0</v>
      </c>
      <c r="N8" s="477">
        <f>industrie!N18</f>
        <v>28990.60861282824</v>
      </c>
      <c r="O8" s="477">
        <f>industrie!O18</f>
        <v>0</v>
      </c>
      <c r="P8" s="478">
        <f>industrie!P18</f>
        <v>0</v>
      </c>
      <c r="Q8" s="476">
        <f t="shared" si="0"/>
        <v>308721.27799350384</v>
      </c>
    </row>
    <row r="9" spans="1:17" s="482" customFormat="1">
      <c r="A9" s="480" t="s">
        <v>561</v>
      </c>
      <c r="B9" s="481">
        <f>transport!B14</f>
        <v>98.812105554825322</v>
      </c>
      <c r="C9" s="481">
        <f>transport!C14</f>
        <v>0</v>
      </c>
      <c r="D9" s="481">
        <f>transport!D14</f>
        <v>319.77976378032821</v>
      </c>
      <c r="E9" s="481">
        <f>transport!E14</f>
        <v>509.08429423149005</v>
      </c>
      <c r="F9" s="481">
        <f>transport!F14</f>
        <v>0</v>
      </c>
      <c r="G9" s="481">
        <f>transport!G14</f>
        <v>253682.91323559871</v>
      </c>
      <c r="H9" s="481">
        <f>transport!H14</f>
        <v>37381.408925279757</v>
      </c>
      <c r="I9" s="481">
        <f>transport!I14</f>
        <v>0</v>
      </c>
      <c r="J9" s="481">
        <f>transport!J14</f>
        <v>0</v>
      </c>
      <c r="K9" s="481">
        <f>transport!K14</f>
        <v>0</v>
      </c>
      <c r="L9" s="481">
        <f>transport!L14</f>
        <v>0</v>
      </c>
      <c r="M9" s="481">
        <f>transport!M14</f>
        <v>15924.474923248068</v>
      </c>
      <c r="N9" s="481">
        <f>transport!N14</f>
        <v>0</v>
      </c>
      <c r="O9" s="481">
        <f>transport!O14</f>
        <v>0</v>
      </c>
      <c r="P9" s="481">
        <f>transport!P14</f>
        <v>0</v>
      </c>
      <c r="Q9" s="480">
        <f>SUM(B9:P9)</f>
        <v>307916.47324769315</v>
      </c>
    </row>
    <row r="10" spans="1:17">
      <c r="A10" s="476" t="s">
        <v>551</v>
      </c>
      <c r="B10" s="477">
        <f>transport!B54</f>
        <v>0</v>
      </c>
      <c r="C10" s="477">
        <f>transport!C54</f>
        <v>0</v>
      </c>
      <c r="D10" s="477">
        <f>transport!D54</f>
        <v>0</v>
      </c>
      <c r="E10" s="477">
        <f>transport!E54</f>
        <v>0</v>
      </c>
      <c r="F10" s="477">
        <f>transport!F54</f>
        <v>0</v>
      </c>
      <c r="G10" s="477">
        <f>transport!G54</f>
        <v>456.42563273922525</v>
      </c>
      <c r="H10" s="477">
        <f>transport!H54</f>
        <v>0</v>
      </c>
      <c r="I10" s="477">
        <f>transport!I54</f>
        <v>0</v>
      </c>
      <c r="J10" s="477">
        <f>transport!J54</f>
        <v>0</v>
      </c>
      <c r="K10" s="477">
        <f>transport!K54</f>
        <v>0</v>
      </c>
      <c r="L10" s="477">
        <f>transport!L54</f>
        <v>0</v>
      </c>
      <c r="M10" s="477">
        <f>transport!M54</f>
        <v>25.922961013768397</v>
      </c>
      <c r="N10" s="477">
        <f>transport!N54</f>
        <v>0</v>
      </c>
      <c r="O10" s="477">
        <f>transport!O54</f>
        <v>0</v>
      </c>
      <c r="P10" s="478">
        <f>transport!P54</f>
        <v>0</v>
      </c>
      <c r="Q10" s="476">
        <f t="shared" si="0"/>
        <v>482.34859375299362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610.604643971276</v>
      </c>
      <c r="C14" s="484"/>
      <c r="D14" s="484">
        <f>'SEAP template'!E25</f>
        <v>561.96444988650592</v>
      </c>
      <c r="E14" s="484"/>
      <c r="F14" s="484"/>
      <c r="G14" s="484"/>
      <c r="H14" s="484"/>
      <c r="I14" s="484"/>
      <c r="J14" s="484"/>
      <c r="K14" s="484"/>
      <c r="L14" s="484"/>
      <c r="M14" s="484"/>
      <c r="N14" s="484"/>
      <c r="O14" s="484"/>
      <c r="P14" s="485"/>
      <c r="Q14" s="476">
        <f t="shared" si="0"/>
        <v>1172.5690938577818</v>
      </c>
    </row>
    <row r="15" spans="1:17" s="486" customFormat="1">
      <c r="A15" s="1039" t="s">
        <v>555</v>
      </c>
      <c r="B15" s="987">
        <f ca="1">SUM(B4:B14)</f>
        <v>157246.9286549635</v>
      </c>
      <c r="C15" s="987">
        <f t="shared" ref="C15:Q15" ca="1" si="1">SUM(C4:C14)</f>
        <v>1632.8571428571429</v>
      </c>
      <c r="D15" s="987">
        <f t="shared" ca="1" si="1"/>
        <v>175183.5231261669</v>
      </c>
      <c r="E15" s="987">
        <f t="shared" si="1"/>
        <v>10687.91958458071</v>
      </c>
      <c r="F15" s="987">
        <f t="shared" ca="1" si="1"/>
        <v>70263.677357952751</v>
      </c>
      <c r="G15" s="987">
        <f t="shared" si="1"/>
        <v>254139.33886833795</v>
      </c>
      <c r="H15" s="987">
        <f t="shared" si="1"/>
        <v>37381.408925279757</v>
      </c>
      <c r="I15" s="987">
        <f t="shared" si="1"/>
        <v>0</v>
      </c>
      <c r="J15" s="987">
        <f t="shared" si="1"/>
        <v>3018.3298694169457</v>
      </c>
      <c r="K15" s="987">
        <f t="shared" si="1"/>
        <v>0</v>
      </c>
      <c r="L15" s="987">
        <f t="shared" ca="1" si="1"/>
        <v>0</v>
      </c>
      <c r="M15" s="987">
        <f t="shared" si="1"/>
        <v>15950.397884261836</v>
      </c>
      <c r="N15" s="987">
        <f t="shared" ca="1" si="1"/>
        <v>41197.005876420211</v>
      </c>
      <c r="O15" s="987">
        <f t="shared" si="1"/>
        <v>168.84</v>
      </c>
      <c r="P15" s="987">
        <f t="shared" si="1"/>
        <v>1048.6666666666667</v>
      </c>
      <c r="Q15" s="987">
        <f t="shared" ca="1" si="1"/>
        <v>767918.8939569043</v>
      </c>
    </row>
    <row r="17" spans="1:17">
      <c r="A17" s="487" t="s">
        <v>556</v>
      </c>
      <c r="B17" s="786">
        <f ca="1">huishoudens!B10</f>
        <v>0.21054441331514798</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3356.1078977110956</v>
      </c>
      <c r="C22" s="477">
        <f t="shared" ref="C22:C32" ca="1" si="3">C4*$C$17</f>
        <v>0</v>
      </c>
      <c r="D22" s="477">
        <f t="shared" ref="D22:D32" si="4">D4*$D$17</f>
        <v>2881.8984953075219</v>
      </c>
      <c r="E22" s="477">
        <f t="shared" ref="E22:E32" si="5">E4*$E$17</f>
        <v>767.59254528269992</v>
      </c>
      <c r="F22" s="477">
        <f t="shared" ref="F22:F32" si="6">F4*$F$17</f>
        <v>9163.4671273677432</v>
      </c>
      <c r="G22" s="477">
        <f t="shared" ref="G22:G32" si="7">G4*$G$17</f>
        <v>0</v>
      </c>
      <c r="H22" s="477">
        <f t="shared" ref="H22:H32" si="8">H4*$H$17</f>
        <v>0</v>
      </c>
      <c r="I22" s="477">
        <f t="shared" ref="I22:I32" si="9">I4*$I$17</f>
        <v>0</v>
      </c>
      <c r="J22" s="477">
        <f t="shared" ref="J22:J32" si="10">J4*$J$17</f>
        <v>802.60261450059227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16971.668680169652</v>
      </c>
    </row>
    <row r="23" spans="1:17">
      <c r="A23" s="476" t="s">
        <v>156</v>
      </c>
      <c r="B23" s="477">
        <f t="shared" ca="1" si="2"/>
        <v>2384.6244223132667</v>
      </c>
      <c r="C23" s="477">
        <f t="shared" ca="1" si="3"/>
        <v>0</v>
      </c>
      <c r="D23" s="477">
        <f t="shared" ca="1" si="4"/>
        <v>7662.2784711165759</v>
      </c>
      <c r="E23" s="477">
        <f t="shared" si="5"/>
        <v>48.452306331194755</v>
      </c>
      <c r="F23" s="477">
        <f t="shared" ca="1" si="6"/>
        <v>523.44792540357469</v>
      </c>
      <c r="G23" s="477">
        <f t="shared" si="7"/>
        <v>0</v>
      </c>
      <c r="H23" s="477">
        <f t="shared" si="8"/>
        <v>0</v>
      </c>
      <c r="I23" s="477">
        <f t="shared" si="9"/>
        <v>0</v>
      </c>
      <c r="J23" s="477">
        <f t="shared" si="10"/>
        <v>4.8615486105927624E-3</v>
      </c>
      <c r="K23" s="477">
        <f t="shared" si="11"/>
        <v>0</v>
      </c>
      <c r="L23" s="477">
        <f t="shared" ca="1" si="12"/>
        <v>0</v>
      </c>
      <c r="M23" s="477">
        <f t="shared" si="13"/>
        <v>0</v>
      </c>
      <c r="N23" s="477">
        <f t="shared" ca="1" si="14"/>
        <v>0</v>
      </c>
      <c r="O23" s="477">
        <f t="shared" si="15"/>
        <v>0</v>
      </c>
      <c r="P23" s="478">
        <f t="shared" si="16"/>
        <v>0</v>
      </c>
      <c r="Q23" s="476">
        <f t="shared" ref="Q23:Q32" ca="1" si="17">SUM(B23:P23)</f>
        <v>10618.807986713222</v>
      </c>
    </row>
    <row r="24" spans="1:17">
      <c r="A24" s="476" t="s">
        <v>194</v>
      </c>
      <c r="B24" s="477">
        <f t="shared" ca="1" si="2"/>
        <v>162.37416753718858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162.37416753718858</v>
      </c>
    </row>
    <row r="25" spans="1:17">
      <c r="A25" s="476" t="s">
        <v>112</v>
      </c>
      <c r="B25" s="477">
        <f t="shared" ca="1" si="2"/>
        <v>517.64450317252761</v>
      </c>
      <c r="C25" s="477">
        <f t="shared" ca="1" si="3"/>
        <v>0</v>
      </c>
      <c r="D25" s="477">
        <f t="shared" si="4"/>
        <v>140.16291228142359</v>
      </c>
      <c r="E25" s="477">
        <f t="shared" si="5"/>
        <v>16.404328571278121</v>
      </c>
      <c r="F25" s="477">
        <f t="shared" si="6"/>
        <v>2734.7194421214435</v>
      </c>
      <c r="G25" s="477">
        <f t="shared" si="7"/>
        <v>0</v>
      </c>
      <c r="H25" s="477">
        <f t="shared" si="8"/>
        <v>0</v>
      </c>
      <c r="I25" s="477">
        <f t="shared" si="9"/>
        <v>0</v>
      </c>
      <c r="J25" s="477">
        <f t="shared" si="10"/>
        <v>126.09421479395402</v>
      </c>
      <c r="K25" s="477">
        <f t="shared" si="11"/>
        <v>0</v>
      </c>
      <c r="L25" s="477">
        <f t="shared" si="12"/>
        <v>0</v>
      </c>
      <c r="M25" s="477">
        <f t="shared" si="13"/>
        <v>0</v>
      </c>
      <c r="N25" s="477">
        <f t="shared" si="14"/>
        <v>0</v>
      </c>
      <c r="O25" s="477">
        <f t="shared" si="15"/>
        <v>0</v>
      </c>
      <c r="P25" s="478">
        <f t="shared" si="16"/>
        <v>0</v>
      </c>
      <c r="Q25" s="476">
        <f t="shared" ca="1" si="17"/>
        <v>3535.0254009406272</v>
      </c>
    </row>
    <row r="26" spans="1:17">
      <c r="A26" s="476" t="s">
        <v>635</v>
      </c>
      <c r="B26" s="477">
        <f t="shared" ca="1" si="2"/>
        <v>26537.347615209233</v>
      </c>
      <c r="C26" s="477">
        <f t="shared" ca="1" si="3"/>
        <v>388.04369747899159</v>
      </c>
      <c r="D26" s="477">
        <f t="shared" si="4"/>
        <v>24524.619461619495</v>
      </c>
      <c r="E26" s="477">
        <f t="shared" si="5"/>
        <v>1478.1464307240999</v>
      </c>
      <c r="F26" s="477">
        <f t="shared" si="6"/>
        <v>6338.7673596806226</v>
      </c>
      <c r="G26" s="477">
        <f t="shared" si="7"/>
        <v>0</v>
      </c>
      <c r="H26" s="477">
        <f t="shared" si="8"/>
        <v>0</v>
      </c>
      <c r="I26" s="477">
        <f t="shared" si="9"/>
        <v>0</v>
      </c>
      <c r="J26" s="477">
        <f t="shared" si="10"/>
        <v>139.78708293044178</v>
      </c>
      <c r="K26" s="477">
        <f t="shared" si="11"/>
        <v>0</v>
      </c>
      <c r="L26" s="477">
        <f t="shared" si="12"/>
        <v>0</v>
      </c>
      <c r="M26" s="477">
        <f t="shared" si="13"/>
        <v>0</v>
      </c>
      <c r="N26" s="477">
        <f t="shared" si="14"/>
        <v>0</v>
      </c>
      <c r="O26" s="477">
        <f t="shared" si="15"/>
        <v>0</v>
      </c>
      <c r="P26" s="478">
        <f t="shared" si="16"/>
        <v>0</v>
      </c>
      <c r="Q26" s="476">
        <f t="shared" ca="1" si="17"/>
        <v>59406.711647642886</v>
      </c>
    </row>
    <row r="27" spans="1:17" s="482" customFormat="1">
      <c r="A27" s="480" t="s">
        <v>561</v>
      </c>
      <c r="B27" s="780">
        <f t="shared" ca="1" si="2"/>
        <v>20.804336792475173</v>
      </c>
      <c r="C27" s="481">
        <f t="shared" ca="1" si="3"/>
        <v>0</v>
      </c>
      <c r="D27" s="481">
        <f t="shared" si="4"/>
        <v>64.595512283626306</v>
      </c>
      <c r="E27" s="481">
        <f t="shared" si="5"/>
        <v>115.56213479054824</v>
      </c>
      <c r="F27" s="481">
        <f t="shared" si="6"/>
        <v>0</v>
      </c>
      <c r="G27" s="481">
        <f t="shared" si="7"/>
        <v>67733.337833904865</v>
      </c>
      <c r="H27" s="481">
        <f t="shared" si="8"/>
        <v>9307.97082239466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77242.270640166185</v>
      </c>
    </row>
    <row r="28" spans="1:17">
      <c r="A28" s="476" t="s">
        <v>551</v>
      </c>
      <c r="B28" s="477">
        <f t="shared" ca="1" si="2"/>
        <v>0</v>
      </c>
      <c r="C28" s="477">
        <f t="shared" ca="1" si="3"/>
        <v>0</v>
      </c>
      <c r="D28" s="477">
        <f t="shared" si="4"/>
        <v>0</v>
      </c>
      <c r="E28" s="477">
        <f t="shared" si="5"/>
        <v>0</v>
      </c>
      <c r="F28" s="477">
        <f t="shared" si="6"/>
        <v>0</v>
      </c>
      <c r="G28" s="477">
        <f t="shared" si="7"/>
        <v>121.86564394137315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121.86564394137315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128.55939653243712</v>
      </c>
      <c r="C32" s="477">
        <f t="shared" ca="1" si="3"/>
        <v>0</v>
      </c>
      <c r="D32" s="477">
        <f t="shared" si="4"/>
        <v>113.5168188770742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242.07621540951132</v>
      </c>
    </row>
    <row r="33" spans="1:17" s="486" customFormat="1">
      <c r="A33" s="1039" t="s">
        <v>555</v>
      </c>
      <c r="B33" s="987">
        <f ca="1">SUM(B22:B32)</f>
        <v>33107.462339268226</v>
      </c>
      <c r="C33" s="987">
        <f t="shared" ref="C33:Q33" ca="1" si="18">SUM(C22:C32)</f>
        <v>388.04369747899159</v>
      </c>
      <c r="D33" s="987">
        <f t="shared" ca="1" si="18"/>
        <v>35387.071671485719</v>
      </c>
      <c r="E33" s="987">
        <f t="shared" si="18"/>
        <v>2426.1577456998207</v>
      </c>
      <c r="F33" s="987">
        <f t="shared" ca="1" si="18"/>
        <v>18760.401854573385</v>
      </c>
      <c r="G33" s="987">
        <f t="shared" si="18"/>
        <v>67855.20347784624</v>
      </c>
      <c r="H33" s="987">
        <f t="shared" si="18"/>
        <v>9307.97082239466</v>
      </c>
      <c r="I33" s="987">
        <f t="shared" si="18"/>
        <v>0</v>
      </c>
      <c r="J33" s="987">
        <f t="shared" si="18"/>
        <v>1068.4887737735987</v>
      </c>
      <c r="K33" s="987">
        <f t="shared" si="18"/>
        <v>0</v>
      </c>
      <c r="L33" s="987">
        <f t="shared" ca="1" si="18"/>
        <v>0</v>
      </c>
      <c r="M33" s="987">
        <f t="shared" si="18"/>
        <v>0</v>
      </c>
      <c r="N33" s="987">
        <f t="shared" ca="1" si="18"/>
        <v>0</v>
      </c>
      <c r="O33" s="987">
        <f t="shared" si="18"/>
        <v>0</v>
      </c>
      <c r="P33" s="987">
        <f t="shared" si="18"/>
        <v>0</v>
      </c>
      <c r="Q33" s="987">
        <f t="shared" ca="1" si="18"/>
        <v>168300.80038252063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7525.5044421448565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1143</v>
      </c>
      <c r="D8" s="1056">
        <f>'SEAP template'!D76</f>
        <v>1344.7058823529412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271.63058823529417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7525.5044421448565</v>
      </c>
      <c r="C10" s="1060">
        <f>SUM(C4:C9)</f>
        <v>1143</v>
      </c>
      <c r="D10" s="1060">
        <f t="shared" ref="D10:H10" si="0">SUM(D8:D9)</f>
        <v>1344.7058823529412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271.63058823529417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0.21054441331514798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1632.8571428571429</v>
      </c>
      <c r="D17" s="1057">
        <f>'SEAP template'!D87</f>
        <v>1921.0084033613443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388.04369747899159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1632.8571428571429</v>
      </c>
      <c r="D20" s="1060">
        <f t="shared" ref="D20:H20" si="2">SUM(D17:D19)</f>
        <v>1921.0084033613443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388.04369747899159</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0.21054441331514798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2019-08-12T08:34:49Z</dcterms:modified>
</cp:coreProperties>
</file>