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G10"/>
  <c r="P22" i="14"/>
  <c r="O22"/>
  <c r="G77"/>
  <c r="G9" i="61" s="1"/>
  <c r="H20"/>
  <c r="O10"/>
  <c r="G20"/>
  <c r="K20"/>
  <c r="Q11" i="48"/>
  <c r="O25"/>
  <c r="B98" i="18"/>
  <c r="E102" s="1"/>
  <c r="E17" s="1"/>
  <c r="L78" i="14"/>
  <c r="L8" i="61"/>
  <c r="L10" s="1"/>
  <c r="K78" i="14"/>
  <c r="K8" i="61"/>
  <c r="K10" s="1"/>
  <c r="L90" i="14"/>
  <c r="L18" i="61"/>
  <c r="L20" s="1"/>
  <c r="E88" i="14"/>
  <c r="O30" i="48"/>
  <c r="N20" i="61"/>
  <c r="K90" i="14"/>
  <c r="K22"/>
  <c r="I9" i="18"/>
  <c r="I77" i="14" s="1"/>
  <c r="I9" i="61" s="1"/>
  <c r="B10" i="18"/>
  <c r="H9"/>
  <c r="M77" i="14" s="1"/>
  <c r="M9" i="61" s="1"/>
  <c r="L13" i="15"/>
  <c r="B13"/>
  <c r="H90" i="14"/>
  <c r="N13" i="15"/>
  <c r="F77" i="14"/>
  <c r="F9" i="61" s="1"/>
  <c r="I101" i="18"/>
  <c r="H8" s="1"/>
  <c r="E101"/>
  <c r="E8" s="1"/>
  <c r="G101"/>
  <c r="I8" s="1"/>
  <c r="F101"/>
  <c r="H101"/>
  <c r="D101"/>
  <c r="C101"/>
  <c r="B101"/>
  <c r="C8" s="1"/>
  <c r="I102"/>
  <c r="H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H78" i="14"/>
  <c r="H9" i="61"/>
  <c r="H10" s="1"/>
  <c r="O9" i="18"/>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E11"/>
  <c r="D4" i="48"/>
  <c r="D22" s="1"/>
  <c r="H29"/>
  <c r="H32"/>
  <c r="H28"/>
  <c r="H30"/>
  <c r="H25"/>
  <c r="H24"/>
  <c r="H26"/>
  <c r="H22"/>
  <c r="H23"/>
  <c r="D11" i="14"/>
  <c r="C4" i="48"/>
  <c r="G23"/>
  <c r="G32"/>
  <c r="G30"/>
  <c r="G24"/>
  <c r="G22"/>
  <c r="G26"/>
  <c r="G25"/>
  <c r="G29"/>
  <c r="C11" i="14"/>
  <c r="B4" i="48"/>
  <c r="F24"/>
  <c r="F31"/>
  <c r="F27"/>
  <c r="F29"/>
  <c r="F30"/>
  <c r="F32"/>
  <c r="F28"/>
  <c r="N30"/>
  <c r="N32"/>
  <c r="N24"/>
  <c r="N31"/>
  <c r="N27"/>
  <c r="N29"/>
  <c r="N28"/>
  <c r="C19" i="14"/>
  <c r="B10" i="48"/>
  <c r="E29"/>
  <c r="E31"/>
  <c r="E24"/>
  <c r="E30"/>
  <c r="E28"/>
  <c r="E32"/>
  <c r="M29"/>
  <c r="M25"/>
  <c r="M22"/>
  <c r="M26"/>
  <c r="M24"/>
  <c r="M30"/>
  <c r="M32"/>
  <c r="M23"/>
  <c r="B8" i="9"/>
  <c r="B6" i="48" s="1"/>
  <c r="Q6" s="1"/>
  <c r="I25"/>
  <c r="I27"/>
  <c r="I31"/>
  <c r="I24"/>
  <c r="I28"/>
  <c r="I30"/>
  <c r="I22"/>
  <c r="I32"/>
  <c r="I26"/>
  <c r="I29"/>
  <c r="K5"/>
  <c r="L10" i="14"/>
  <c r="L16" s="1"/>
  <c r="L27" s="1"/>
  <c r="D30" i="48"/>
  <c r="D28"/>
  <c r="D29"/>
  <c r="D31"/>
  <c r="D32"/>
  <c r="D24"/>
  <c r="L29"/>
  <c r="L32"/>
  <c r="L27"/>
  <c r="L30"/>
  <c r="L28"/>
  <c r="L24"/>
  <c r="L31"/>
  <c r="L22"/>
  <c r="P5"/>
  <c r="P23" s="1"/>
  <c r="Q10" i="14"/>
  <c r="K32" i="48"/>
  <c r="K24"/>
  <c r="K27"/>
  <c r="K31"/>
  <c r="K22"/>
  <c r="K26"/>
  <c r="K25"/>
  <c r="K29"/>
  <c r="K28"/>
  <c r="K30"/>
  <c r="B7"/>
  <c r="C24" i="14"/>
  <c r="C26" s="1"/>
  <c r="J30" i="48"/>
  <c r="J32"/>
  <c r="J24"/>
  <c r="J29"/>
  <c r="J27"/>
  <c r="J31"/>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B9" i="48"/>
  <c r="C20" i="14"/>
  <c r="J7" i="48"/>
  <c r="J25" s="1"/>
  <c r="K24" i="14"/>
  <c r="K26" s="1"/>
  <c r="P22" i="48"/>
  <c r="P33" s="1"/>
  <c r="P15"/>
  <c r="C22" i="14"/>
  <c r="F4" i="48"/>
  <c r="F22" s="1"/>
  <c r="G11" i="14"/>
  <c r="J10"/>
  <c r="J16" s="1"/>
  <c r="J27" s="1"/>
  <c r="I5" i="48"/>
  <c r="O22"/>
  <c r="L61" i="14"/>
  <c r="L63" s="1"/>
  <c r="E9" i="48"/>
  <c r="E27" s="1"/>
  <c r="F20" i="14"/>
  <c r="F22" s="1"/>
  <c r="G13" i="48"/>
  <c r="G31" s="1"/>
  <c r="H18" i="14"/>
  <c r="K23" i="48"/>
  <c r="K33" s="1"/>
  <c r="K15"/>
  <c r="Q16" i="14"/>
  <c r="Q27" s="1"/>
  <c r="J6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J63"/>
  <c r="M10" i="48"/>
  <c r="M28" s="1"/>
  <c r="N19" i="14"/>
  <c r="E4" i="48"/>
  <c r="F11" i="14"/>
  <c r="O8" i="48"/>
  <c r="P13" i="14"/>
  <c r="I23" i="48"/>
  <c r="I33" s="1"/>
  <c r="I15"/>
  <c r="K11" i="14"/>
  <c r="J4" i="48"/>
  <c r="N4"/>
  <c r="N22" s="1"/>
  <c r="O11" i="14"/>
  <c r="P16"/>
  <c r="P27" s="1"/>
  <c r="P46"/>
  <c r="P61" s="1"/>
  <c r="Q63"/>
  <c r="M14" i="22"/>
  <c r="N20" i="14" s="1"/>
  <c r="N22" s="1"/>
  <c r="N27" s="1"/>
  <c r="I20"/>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J22" i="48" l="1"/>
  <c r="E22"/>
  <c r="Q4"/>
  <c r="G9"/>
  <c r="H20" i="14"/>
  <c r="G28" i="48"/>
  <c r="Q10"/>
  <c r="Q7"/>
  <c r="M18" i="22"/>
  <c r="N50" i="14" s="1"/>
  <c r="N52" s="1"/>
  <c r="N61" s="1"/>
  <c r="R11"/>
  <c r="J5" i="48"/>
  <c r="J23" s="1"/>
  <c r="K10" i="14"/>
  <c r="O26" i="48"/>
  <c r="O33" s="1"/>
  <c r="O15"/>
  <c r="H22" i="14"/>
  <c r="H27" s="1"/>
  <c r="R19"/>
  <c r="E5" i="48"/>
  <c r="E23" s="1"/>
  <c r="F10" i="14"/>
  <c r="P63"/>
  <c r="M15" i="48"/>
  <c r="M27"/>
  <c r="M33" s="1"/>
  <c r="H15"/>
  <c r="H27"/>
  <c r="H33" s="1"/>
  <c r="N63" i="14"/>
  <c r="R20"/>
  <c r="R22" s="1"/>
  <c r="R24"/>
  <c r="R26" s="1"/>
  <c r="N18" i="16"/>
  <c r="E20" i="15"/>
  <c r="F40" i="14" s="1"/>
  <c r="F18" i="16"/>
  <c r="J18"/>
  <c r="E18"/>
  <c r="G18" i="22"/>
  <c r="H50" i="14" s="1"/>
  <c r="H52" s="1"/>
  <c r="H61" s="1"/>
  <c r="H63" s="1"/>
  <c r="H18" i="22"/>
  <c r="I50" i="14" s="1"/>
  <c r="I52" s="1"/>
  <c r="I61" s="1"/>
  <c r="I63" s="1"/>
  <c r="G27" i="48" l="1"/>
  <c r="G33" s="1"/>
  <c r="G15"/>
  <c r="K16" i="14"/>
  <c r="K27" s="1"/>
  <c r="K13"/>
  <c r="J8" i="48"/>
  <c r="J26" s="1"/>
  <c r="E8"/>
  <c r="E26" s="1"/>
  <c r="E33" s="1"/>
  <c r="F13" i="14"/>
  <c r="F16" s="1"/>
  <c r="F27" s="1"/>
  <c r="F63" s="1"/>
  <c r="F46"/>
  <c r="F61" s="1"/>
  <c r="Q9" i="48"/>
  <c r="J33"/>
  <c r="J15"/>
  <c r="E15"/>
  <c r="N8"/>
  <c r="N26" s="1"/>
  <c r="O13" i="14"/>
  <c r="F8" i="48"/>
  <c r="G13" i="14"/>
  <c r="E22" i="16"/>
  <c r="F43" i="14" s="1"/>
  <c r="F22" i="16"/>
  <c r="G43" i="14" s="1"/>
  <c r="N22" i="16"/>
  <c r="O43" i="14" s="1"/>
  <c r="J22" i="16"/>
  <c r="K43" i="14" s="1"/>
  <c r="K46" s="1"/>
  <c r="K61" s="1"/>
  <c r="R13" l="1"/>
  <c r="K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<sst xmlns="http://schemas.openxmlformats.org/spreadsheetml/2006/main" count="2383" uniqueCount="881">
  <si>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</si>
  <si>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</si>
  <si>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</si>
  <si>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</si>
  <si>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</si>
  <si>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</si>
  <si>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</si>
  <si>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</si>
  <si>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</si>
  <si>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</si>
  <si>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</si>
  <si>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</si>
  <si>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</si>
  <si>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</si>
  <si>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</si>
  <si>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</si>
  <si>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</si>
  <si>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</si>
  <si>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</si>
  <si>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</si>
  <si>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</si>
  <si>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</si>
  <si>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</si>
  <si>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</si>
  <si>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</si>
  <si>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</si>
  <si>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</si>
  <si>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</si>
  <si>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</si>
  <si>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</si>
  <si>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</si>
  <si>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</si>
  <si>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</si>
  <si>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</si>
  <si>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</si>
  <si>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</si>
  <si>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</si>
  <si>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</si>
  <si>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</si>
  <si>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</si>
  <si>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</si>
  <si>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</si>
  <si>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</si>
  <si>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</si>
  <si>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</si>
  <si>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</si>
  <si>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</si>
  <si>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</si>
  <si>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</si>
  <si>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</si>
  <si>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</si>
  <si>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</si>
  <si>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</si>
  <si>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</si>
  <si>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</si>
  <si>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</si>
  <si>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</si>
  <si>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</si>
  <si>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</si>
  <si>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</si>
  <si>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</si>
  <si>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</si>
  <si>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</si>
  <si>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</si>
  <si>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</si>
  <si>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</si>
  <si>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</si>
  <si>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</si>
  <si>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</si>
  <si>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</si>
  <si>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</si>
  <si>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</si>
  <si>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</si>
  <si>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</si>
  <si>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</si>
  <si>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</si>
  <si>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</si>
  <si>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</si>
  <si>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</si>
  <si>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</si>
  <si>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</si>
  <si>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</si>
  <si>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</si>
  <si>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</si>
  <si>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</si>
  <si>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</si>
  <si>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</si>
  <si>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</si>
  <si>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</si>
  <si>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</si>
  <si>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</si>
  <si>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</si>
  <si>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</si>
  <si>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</si>
  <si>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</si>
  <si>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</si>
  <si>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</si>
  <si>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</si>
  <si>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</si>
  <si>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</si>
  <si>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</si>
  <si>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</si>
  <si>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</si>
  <si>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</si>
  <si>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</si>
  <si>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</si>
  <si>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</si>
  <si>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</si>
  <si>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</si>
  <si>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</si>
  <si>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</si>
  <si>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</si>
  <si>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</si>
  <si>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</si>
  <si>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</si>
  <si>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</si>
  <si>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</si>
  <si>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</si>
  <si>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</si>
  <si>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</si>
  <si>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</si>
  <si>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</si>
  <si>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</si>
  <si>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</si>
  <si>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</si>
  <si>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</si>
  <si>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</si>
  <si>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</si>
  <si>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</si>
  <si>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</si>
  <si>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</si>
  <si>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</si>
  <si>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</si>
  <si>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</si>
  <si>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</si>
  <si>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</si>
  <si>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</si>
  <si>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</si>
  <si>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</si>
  <si>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</si>
  <si>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</si>
  <si>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</si>
  <si>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</si>
  <si>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</si>
  <si>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</si>
  <si>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</si>
  <si>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</si>
  <si>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</si>
  <si>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</si>
  <si>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</si>
  <si>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</si>
  <si>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</si>
  <si>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</si>
  <si>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</si>
  <si>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</si>
  <si>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</si>
  <si>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</si>
  <si>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</si>
  <si>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</si>
  <si>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</si>
  <si>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</si>
  <si>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</si>
  <si>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</si>
  <si>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</si>
  <si>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</si>
  <si>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</si>
  <si>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</si>
  <si>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</si>
  <si>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</si>
  <si>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</si>
  <si>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</si>
  <si>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</si>
  <si>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</si>
  <si>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</si>
  <si>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</si>
  <si>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</si>
  <si>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</si>
  <si>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</si>
  <si>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</si>
  <si>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</si>
  <si>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</si>
  <si>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</si>
  <si>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</si>
  <si>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</si>
  <si>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</si>
  <si>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</si>
  <si>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</si>
  <si>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</si>
  <si>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</si>
  <si>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</si>
  <si>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</si>
  <si>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</si>
  <si>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</si>
  <si>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</si>
  <si>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</si>
  <si>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</si>
  <si>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</si>
  <si>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</si>
  <si>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</si>
  <si>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</si>
  <si>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</si>
  <si>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</si>
  <si>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</si>
  <si>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</si>
  <si>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</si>
  <si>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</si>
  <si>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</si>
  <si>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</si>
  <si>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</si>
  <si>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</si>
  <si>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</si>
  <si>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</si>
  <si>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</si>
  <si>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</si>
  <si>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</si>
  <si>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</si>
  <si>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</si>
  <si>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</si>
  <si>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</si>
  <si>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</si>
  <si>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</si>
  <si>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</si>
  <si>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</si>
  <si>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</si>
  <si>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</si>
  <si>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</si>
  <si>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</si>
  <si>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</si>
  <si>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</si>
  <si>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</si>
  <si>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</si>
  <si>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</si>
  <si>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</si>
  <si>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</si>
  <si>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</si>
  <si>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</si>
  <si>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</si>
  <si>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</si>
  <si>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</si>
  <si>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</si>
  <si>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</si>
  <si>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</si>
  <si>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</si>
  <si>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</si>
  <si>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</si>
  <si>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</si>
  <si>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</si>
  <si>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</si>
  <si>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</si>
  <si>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</si>
  <si>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</si>
  <si>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</si>
  <si>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</si>
  <si>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</si>
  <si>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</si>
  <si>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</si>
  <si>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</si>
  <si>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</si>
  <si>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</si>
  <si>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</si>
  <si>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</si>
  <si>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</si>
  <si>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</si>
  <si>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</si>
  <si>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</si>
  <si>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</si>
  <si>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</si>
  <si>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</si>
  <si>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</si>
  <si>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</si>
  <si>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</si>
  <si>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</si>
  <si>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</si>
  <si>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</si>
  <si>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</si>
  <si>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</si>
  <si>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</si>
  <si>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</si>
  <si>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</si>
  <si>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</si>
  <si>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</si>
  <si>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</si>
  <si>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</si>
  <si>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</si>
  <si>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</si>
  <si>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</si>
  <si>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</si>
  <si>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</si>
  <si>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</si>
  <si>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</si>
  <si>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</si>
  <si>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</si>
  <si>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</si>
  <si>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</si>
  <si>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</si>
  <si>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</si>
  <si>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</si>
  <si>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</si>
  <si>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</si>
  <si>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</si>
  <si>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</si>
  <si>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</si>
  <si>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</si>
  <si>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</si>
  <si>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</si>
  <si>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</si>
  <si>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</si>
  <si>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</si>
  <si>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</si>
  <si>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</si>
  <si>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</si>
  <si>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</si>
  <si>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</si>
  <si>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</si>
  <si>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</si>
  <si>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</si>
  <si>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</si>
  <si>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</si>
  <si>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</si>
  <si>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</si>
  <si>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</si>
  <si>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</si>
  <si>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</si>
  <si>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</si>
  <si>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</si>
  <si>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</si>
  <si>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</si>
  <si>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</si>
  <si>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</si>
  <si>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</si>
  <si>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</si>
  <si>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</si>
  <si>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</si>
  <si>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</si>
  <si>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</si>
  <si>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</si>
  <si>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</si>
  <si>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</si>
  <si>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</si>
  <si>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</si>
  <si>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</si>
  <si>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</si>
  <si>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</si>
  <si>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</si>
  <si>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</si>
  <si>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</si>
  <si>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</si>
  <si>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</si>
  <si>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</si>
  <si>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</si>
  <si>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</si>
  <si>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</si>
  <si>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</si>
  <si>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</si>
  <si>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</si>
  <si>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</si>
  <si>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</si>
  <si>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</si>
  <si>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</si>
  <si>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</si>
  <si>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</si>
  <si>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</si>
  <si>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</si>
  <si>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</si>
  <si>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</si>
  <si>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</si>
  <si>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</si>
  <si>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</si>
  <si>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</si>
  <si>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</si>
  <si>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</si>
  <si>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</si>
  <si>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</si>
  <si>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</si>
  <si>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</si>
  <si>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</si>
  <si>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</si>
  <si>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</si>
  <si>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</si>
  <si>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</si>
  <si>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</si>
  <si>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</si>
  <si>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</si>
  <si>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</si>
  <si>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</si>
  <si>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</si>
  <si>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</si>
  <si>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</si>
  <si>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</si>
  <si>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</si>
  <si>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</si>
  <si>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</si>
  <si>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</si>
  <si>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</si>
  <si>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</si>
  <si>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</si>
  <si>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</si>
  <si>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</si>
  <si>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</si>
  <si>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</si>
  <si>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</si>
  <si>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</si>
  <si>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</si>
  <si>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</si>
  <si>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</si>
  <si>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</si>
  <si>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</si>
  <si>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</si>
  <si>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</si>
  <si>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</si>
  <si>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</si>
  <si>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</si>
  <si>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</si>
  <si>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</si>
  <si>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</si>
  <si>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</si>
  <si>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</si>
  <si>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</si>
  <si>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</si>
  <si>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</si>
  <si>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</si>
  <si>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</si>
  <si>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</si>
  <si>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</si>
  <si>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</si>
  <si>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</si>
  <si>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</si>
  <si>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</si>
  <si>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</si>
  <si>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</si>
  <si>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</si>
  <si>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</si>
  <si>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</si>
  <si>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</si>
  <si>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</si>
  <si>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</si>
  <si>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</si>
  <si>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</si>
  <si>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</si>
  <si>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</si>
  <si>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</si>
  <si>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</si>
  <si>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</si>
  <si>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</si>
  <si>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</si>
  <si>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</si>
  <si>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</si>
  <si>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</si>
  <si>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</si>
  <si>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</si>
  <si>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</si>
  <si>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</si>
  <si>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</si>
  <si>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</si>
  <si>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</si>
  <si>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</si>
  <si>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</si>
  <si>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</si>
  <si>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</si>
  <si>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</si>
  <si>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</si>
  <si>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</si>
  <si>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</si>
  <si>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</si>
  <si>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</si>
  <si>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</si>
  <si>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</si>
  <si>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</si>
  <si>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</si>
  <si>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</si>
  <si>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</si>
  <si>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</si>
  <si>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</si>
  <si>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</si>
  <si>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</si>
  <si>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</si>
  <si>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</si>
  <si>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</si>
  <si>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</si>
  <si>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</si>
  <si>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</si>
  <si>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</si>
  <si>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</si>
  <si>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</si>
  <si>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</si>
  <si>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</si>
  <si>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</si>
  <si>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</si>
  <si>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</si>
  <si>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</si>
  <si>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</si>
  <si>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</si>
  <si>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</si>
  <si>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</si>
  <si>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</si>
  <si>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</si>
  <si>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</si>
  <si>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</si>
  <si>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</si>
  <si>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</si>
  <si>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</si>
  <si>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</si>
  <si>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</si>
  <si>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</si>
  <si>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</si>
  <si>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</si>
  <si>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</si>
  <si>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</si>
  <si>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</si>
  <si>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</si>
  <si>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</si>
  <si>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</si>
  <si>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</si>
  <si>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</si>
  <si>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</si>
  <si>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</si>
  <si>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</si>
  <si>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</si>
  <si>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</si>
  <si>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</si>
  <si>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</si>
  <si>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</si>
  <si>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</si>
  <si>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</si>
  <si>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</si>
  <si>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</si>
  <si>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</si>
  <si>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</si>
  <si>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</si>
  <si>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</si>
  <si>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</si>
  <si>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</si>
  <si>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</si>
  <si>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</si>
  <si>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</si>
  <si>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</si>
  <si>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</si>
  <si>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</si>
  <si>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</si>
  <si>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</si>
  <si>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</si>
  <si>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</si>
  <si>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</si>
  <si>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</si>
  <si>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</si>
  <si>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</si>
  <si>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</si>
  <si>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</si>
  <si>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</si>
  <si>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</si>
  <si>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</si>
  <si>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</si>
  <si>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</si>
  <si>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</si>
  <si>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</si>
  <si>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</si>
  <si>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</si>
  <si>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</si>
  <si>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</si>
  <si>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</si>
  <si>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</si>
  <si>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</si>
  <si>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</si>
  <si>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</si>
  <si>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</si>
  <si>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</si>
  <si>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</si>
  <si>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</si>
  <si>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</si>
  <si>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</si>
  <si>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</si>
  <si>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</si>
  <si>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</si>
  <si>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</si>
  <si>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</si>
  <si>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</si>
  <si>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</si>
  <si>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</si>
  <si>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</si>
  <si>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</si>
  <si>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</si>
  <si>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</si>
  <si>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</si>
  <si>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</si>
  <si>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</si>
  <si>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</si>
  <si>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</si>
  <si>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</si>
  <si>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</si>
  <si>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</si>
  <si>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</si>
  <si>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</si>
  <si>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</si>
  <si>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</si>
  <si>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</si>
  <si>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</si>
  <si>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</si>
  <si>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</si>
  <si>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</si>
  <si>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</si>
  <si>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</si>
  <si>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</si>
  <si>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</si>
  <si>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</si>
  <si>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</si>
  <si>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</si>
  <si>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</si>
  <si>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</si>
  <si>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</si>
  <si>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</si>
  <si>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</si>
  <si>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</si>
  <si>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</si>
  <si>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</si>
  <si>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</si>
  <si>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</si>
  <si>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</si>
  <si>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</si>
  <si>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</si>
  <si>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</si>
  <si>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</si>
  <si>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</si>
  <si>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</si>
  <si>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</si>
  <si>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</si>
  <si>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</si>
  <si>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</si>
  <si>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</si>
  <si>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</si>
  <si>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</si>
  <si>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</si>
  <si>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</si>
  <si>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</si>
  <si>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</si>
  <si>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</si>
  <si>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</si>
  <si>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</si>
  <si>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</si>
  <si>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</si>
  <si>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</si>
  <si>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</si>
  <si>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</si>
  <si>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</si>
  <si>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</si>
  <si>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</si>
  <si>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</si>
  <si>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</si>
  <si>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</si>
  <si>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</si>
  <si>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</si>
  <si>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</si>
  <si>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</si>
  <si>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</si>
  <si>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</si>
  <si>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</si>
  <si>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</si>
  <si>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</si>
  <si>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</si>
  <si>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</si>
  <si>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</si>
  <si>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</si>
  <si>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</si>
  <si>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</si>
  <si>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</si>
  <si>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</si>
  <si>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</si>
  <si>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</si>
  <si>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</si>
  <si>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</si>
  <si>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</si>
  <si>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</si>
  <si>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</si>
  <si>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</si>
  <si>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</si>
  <si>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</si>
  <si>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</si>
  <si>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</si>
  <si>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</si>
  <si>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</si>
  <si>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</si>
  <si>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</si>
  <si>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</si>
  <si>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</si>
  <si>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</si>
  <si>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</si>
  <si>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</si>
  <si>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</si>
  <si>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</si>
  <si>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</si>
  <si>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</si>
  <si>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</si>
  <si>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</si>
  <si>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</si>
  <si>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</si>
  <si>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</si>
  <si>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</si>
  <si>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</si>
  <si>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</si>
  <si>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</si>
  <si>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</si>
  <si>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</si>
  <si>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</si>
  <si>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</si>
  <si>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</si>
  <si>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</si>
  <si>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</si>
  <si>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</si>
  <si>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</si>
  <si>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</si>
  <si>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</si>
  <si>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</si>
  <si>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</si>
  <si>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</si>
  <si>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</si>
  <si>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</si>
  <si>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</si>
  <si>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</si>
  <si>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</si>
  <si>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</si>
  <si>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</si>
  <si>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</si>
  <si>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</si>
  <si>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</si>
  <si>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</si>
  <si>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</si>
  <si>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</si>
  <si>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</si>
  <si>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</si>
  <si>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</si>
  <si>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</si>
  <si>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</si>
  <si>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</si>
  <si>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</si>
  <si>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</si>
  <si>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</si>
  <si>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</si>
  <si>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</si>
  <si>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</si>
  <si>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</si>
  <si>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</si>
  <si>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</si>
  <si>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</si>
  <si>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</si>
  <si>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</si>
  <si>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</si>
  <si>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</si>
  <si>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</si>
  <si>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</si>
  <si>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</si>
  <si>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</si>
  <si>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</si>
  <si>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</si>
  <si>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</si>
  <si>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</si>
  <si>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</si>
  <si>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</si>
  <si>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</si>
  <si>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</si>
  <si>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</si>
  <si>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</si>
  <si>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</si>
  <si>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</si>
  <si>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</si>
  <si>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</si>
  <si>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</si>
  <si>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</si>
  <si>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</si>
  <si>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</si>
  <si>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</si>
  <si>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</si>
  <si>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</si>
  <si>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</si>
  <si>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</si>
  <si>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</si>
  <si>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</si>
  <si>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</si>
  <si>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</si>
  <si>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</si>
  <si>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</si>
  <si>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</si>
  <si>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</si>
  <si>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</si>
  <si>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</si>
  <si>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</si>
  <si>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</si>
  <si>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</si>
  <si>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</si>
  <si>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</si>
  <si>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</si>
  <si>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</si>
  <si>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</si>
  <si>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</si>
  <si>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</si>
  <si>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</si>
  <si>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</si>
  <si>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</si>
  <si>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</si>
  <si>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</si>
  <si>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</si>
  <si>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</si>
  <si>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</si>
  <si>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</si>
  <si>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</si>
  <si>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</si>
  <si>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</si>
  <si>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</si>
  <si>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</si>
  <si>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</si>
  <si>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</si>
  <si>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</si>
  <si>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</si>
  <si>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</si>
  <si>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</si>
  <si>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</si>
  <si>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</si>
  <si>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</si>
  <si>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</si>
  <si>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</si>
  <si>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</si>
  <si>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</si>
  <si>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</si>
  <si>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</si>
  <si>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</si>
  <si>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</si>
  <si>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</si>
  <si>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</si>
  <si>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</si>
  <si>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</si>
  <si>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</si>
  <si>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</si>
  <si>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</si>
  <si>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</si>
  <si>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</si>
  <si>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</si>
  <si>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</si>
  <si>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</si>
  <si>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</si>
  <si>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</si>
  <si>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</si>
  <si>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</si>
  <si>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</si>
  <si>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</si>
  <si>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</si>
  <si>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</si>
  <si>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</si>
  <si>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</si>
  <si>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</si>
  <si>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</si>
  <si>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</si>
  <si>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</si>
  <si>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</si>
  <si>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</si>
  <si>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</si>
  <si>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</si>
  <si>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</si>
  <si>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</si>
  <si>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</si>
  <si>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</si>
  <si>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</si>
  <si>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</si>
  <si>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</si>
  <si>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</si>
  <si>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</si>
  <si>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</si>
  <si>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</si>
  <si>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</si>
  <si>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</si>
  <si>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</si>
  <si>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</si>
  <si>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</si>
  <si>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</si>
  <si>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</si>
  <si>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</si>
  <si>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44081</t>
  </si>
  <si>
    <t>ZULTE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</si>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</sst>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132151.51883181487</c:v>
                </c:pt>
                <c:pt idx="1">
                  <c:v>31948.946464221837</c:v>
                </c:pt>
                <c:pt idx="2">
                  <c:v>999.64800000000002</c:v>
                </c:pt>
                <c:pt idx="3">
                  <c:v>6256.7868303812247</c:v>
                </c:pt>
                <c:pt idx="4">
                  <c:v>65257.528768133154</c:v>
                </c:pt>
                <c:pt idx="5">
                  <c:v>67762.740422816278</c:v>
                </c:pt>
                <c:pt idx="6">
                  <c:v>612.44013435723059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132151.51883181487</c:v>
                </c:pt>
                <c:pt idx="1">
                  <c:v>31948.946464221837</c:v>
                </c:pt>
                <c:pt idx="2">
                  <c:v>999.64800000000002</c:v>
                </c:pt>
                <c:pt idx="3">
                  <c:v>6256.7868303812247</c:v>
                </c:pt>
                <c:pt idx="4">
                  <c:v>65257.528768133154</c:v>
                </c:pt>
                <c:pt idx="5">
                  <c:v>67762.740422816278</c:v>
                </c:pt>
                <c:pt idx="6">
                  <c:v>612.44013435723059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25868.76125757023</c:v>
                </c:pt>
                <c:pt idx="2">
                  <c:v>6253.4354070506824</c:v>
                </c:pt>
                <c:pt idx="3">
                  <c:v>204.71575507948504</c:v>
                </c:pt>
                <c:pt idx="4">
                  <c:v>1607.8103060168678</c:v>
                </c:pt>
                <c:pt idx="5">
                  <c:v>12894.769366706103</c:v>
                </c:pt>
                <c:pt idx="6">
                  <c:v>16958.988272309329</c:v>
                </c:pt>
                <c:pt idx="7">
                  <c:v>154.73334496172515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25868.76125757023</c:v>
                </c:pt>
                <c:pt idx="2">
                  <c:v>6253.4354070506824</c:v>
                </c:pt>
                <c:pt idx="3">
                  <c:v>204.71575507948504</c:v>
                </c:pt>
                <c:pt idx="4">
                  <c:v>1607.8103060168678</c:v>
                </c:pt>
                <c:pt idx="5">
                  <c:v>12894.769366706103</c:v>
                </c:pt>
                <c:pt idx="6">
                  <c:v>16958.988272309329</c:v>
                </c:pt>
                <c:pt idx="7">
                  <c:v>154.73334496172515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44081</v>
      </c>
      <c r="B6" s="415"/>
      <c r="C6" s="416"/>
    </row>
    <row r="7" spans="1:7" s="413" customFormat="1" ht="15.75" customHeight="1">
      <c r="A7" s="417" t="str">
        <f>txtMunicipality</f>
        <v>ZULTE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0.20478784039930559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0.20478784039930559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6411</v>
      </c>
      <c r="C9" s="342">
        <v>6321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1784.05</v>
      </c>
    </row>
    <row r="15" spans="1:6">
      <c r="A15" s="348" t="s">
        <v>184</v>
      </c>
      <c r="B15" s="334">
        <v>20</v>
      </c>
    </row>
    <row r="16" spans="1:6">
      <c r="A16" s="348" t="s">
        <v>6</v>
      </c>
      <c r="B16" s="334">
        <v>521</v>
      </c>
    </row>
    <row r="17" spans="1:6">
      <c r="A17" s="348" t="s">
        <v>7</v>
      </c>
      <c r="B17" s="334">
        <v>824</v>
      </c>
    </row>
    <row r="18" spans="1:6">
      <c r="A18" s="348" t="s">
        <v>8</v>
      </c>
      <c r="B18" s="334">
        <v>754</v>
      </c>
    </row>
    <row r="19" spans="1:6">
      <c r="A19" s="348" t="s">
        <v>9</v>
      </c>
      <c r="B19" s="334">
        <v>739</v>
      </c>
    </row>
    <row r="20" spans="1:6">
      <c r="A20" s="348" t="s">
        <v>10</v>
      </c>
      <c r="B20" s="334">
        <v>598</v>
      </c>
    </row>
    <row r="21" spans="1:6">
      <c r="A21" s="348" t="s">
        <v>11</v>
      </c>
      <c r="B21" s="334">
        <v>1472</v>
      </c>
    </row>
    <row r="22" spans="1:6">
      <c r="A22" s="348" t="s">
        <v>12</v>
      </c>
      <c r="B22" s="334">
        <v>14626</v>
      </c>
    </row>
    <row r="23" spans="1:6">
      <c r="A23" s="348" t="s">
        <v>13</v>
      </c>
      <c r="B23" s="334">
        <v>97</v>
      </c>
    </row>
    <row r="24" spans="1:6">
      <c r="A24" s="348" t="s">
        <v>14</v>
      </c>
      <c r="B24" s="334">
        <v>109</v>
      </c>
    </row>
    <row r="25" spans="1:6">
      <c r="A25" s="348" t="s">
        <v>15</v>
      </c>
      <c r="B25" s="334">
        <v>790</v>
      </c>
    </row>
    <row r="26" spans="1:6">
      <c r="A26" s="348" t="s">
        <v>16</v>
      </c>
      <c r="B26" s="334">
        <v>153</v>
      </c>
    </row>
    <row r="27" spans="1:6">
      <c r="A27" s="348" t="s">
        <v>17</v>
      </c>
      <c r="B27" s="334">
        <v>10</v>
      </c>
    </row>
    <row r="28" spans="1:6" s="356" customFormat="1">
      <c r="A28" s="355" t="s">
        <v>18</v>
      </c>
      <c r="B28" s="355">
        <v>84396</v>
      </c>
    </row>
    <row r="29" spans="1:6">
      <c r="A29" s="355" t="s">
        <v>744</v>
      </c>
      <c r="B29" s="355">
        <v>64</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25759.000794160002</v>
      </c>
    </row>
    <row r="39" spans="1:6">
      <c r="A39" s="348" t="s">
        <v>30</v>
      </c>
      <c r="B39" s="348" t="s">
        <v>31</v>
      </c>
      <c r="C39" s="334">
        <v>2940</v>
      </c>
      <c r="D39" s="334">
        <v>43140735.194131799</v>
      </c>
      <c r="E39" s="334">
        <v>6148</v>
      </c>
      <c r="F39" s="334">
        <v>26342454.035842899</v>
      </c>
    </row>
    <row r="40" spans="1:6">
      <c r="A40" s="348" t="s">
        <v>30</v>
      </c>
      <c r="B40" s="348" t="s">
        <v>29</v>
      </c>
      <c r="C40" s="334">
        <v>0</v>
      </c>
      <c r="D40" s="334">
        <v>0</v>
      </c>
      <c r="E40" s="334">
        <v>0</v>
      </c>
      <c r="F40" s="334">
        <v>0</v>
      </c>
    </row>
    <row r="41" spans="1:6">
      <c r="A41" s="348" t="s">
        <v>32</v>
      </c>
      <c r="B41" s="348" t="s">
        <v>33</v>
      </c>
      <c r="C41" s="334">
        <v>75</v>
      </c>
      <c r="D41" s="334">
        <v>1163824.50135596</v>
      </c>
      <c r="E41" s="334">
        <v>217</v>
      </c>
      <c r="F41" s="334">
        <v>5511800.4449006002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27</v>
      </c>
      <c r="F44" s="334">
        <v>2421662.9235257702</v>
      </c>
    </row>
    <row r="45" spans="1:6">
      <c r="A45" s="348" t="s">
        <v>32</v>
      </c>
      <c r="B45" s="348" t="s">
        <v>37</v>
      </c>
      <c r="C45" s="334">
        <v>12</v>
      </c>
      <c r="D45" s="334">
        <v>303492.971122052</v>
      </c>
      <c r="E45" s="334">
        <v>24</v>
      </c>
      <c r="F45" s="334">
        <v>469523.9753927</v>
      </c>
    </row>
    <row r="46" spans="1:6">
      <c r="A46" s="348" t="s">
        <v>32</v>
      </c>
      <c r="B46" s="348" t="s">
        <v>38</v>
      </c>
      <c r="C46" s="334">
        <v>0</v>
      </c>
      <c r="D46" s="334">
        <v>0</v>
      </c>
      <c r="E46" s="334">
        <v>0</v>
      </c>
      <c r="F46" s="334">
        <v>0</v>
      </c>
    </row>
    <row r="47" spans="1:6">
      <c r="A47" s="348" t="s">
        <v>32</v>
      </c>
      <c r="B47" s="348" t="s">
        <v>39</v>
      </c>
      <c r="C47" s="334">
        <v>3</v>
      </c>
      <c r="D47" s="334">
        <v>80639.5204234626</v>
      </c>
      <c r="E47" s="334">
        <v>6</v>
      </c>
      <c r="F47" s="334">
        <v>49375.8363602807</v>
      </c>
    </row>
    <row r="48" spans="1:6">
      <c r="A48" s="348" t="s">
        <v>32</v>
      </c>
      <c r="B48" s="348" t="s">
        <v>29</v>
      </c>
      <c r="C48" s="334">
        <v>33</v>
      </c>
      <c r="D48" s="334">
        <v>26224070.630471401</v>
      </c>
      <c r="E48" s="334">
        <v>30</v>
      </c>
      <c r="F48" s="334">
        <v>6141722.7307921303</v>
      </c>
    </row>
    <row r="49" spans="1:6">
      <c r="A49" s="348" t="s">
        <v>32</v>
      </c>
      <c r="B49" s="348" t="s">
        <v>40</v>
      </c>
      <c r="C49" s="334">
        <v>0</v>
      </c>
      <c r="D49" s="334">
        <v>0</v>
      </c>
      <c r="E49" s="334">
        <v>13</v>
      </c>
      <c r="F49" s="334">
        <v>2970084.76760402</v>
      </c>
    </row>
    <row r="50" spans="1:6">
      <c r="A50" s="348" t="s">
        <v>32</v>
      </c>
      <c r="B50" s="348" t="s">
        <v>41</v>
      </c>
      <c r="C50" s="334">
        <v>0</v>
      </c>
      <c r="D50" s="334">
        <v>0</v>
      </c>
      <c r="E50" s="334">
        <v>13</v>
      </c>
      <c r="F50" s="334">
        <v>9382327.1269313097</v>
      </c>
    </row>
    <row r="51" spans="1:6">
      <c r="A51" s="348" t="s">
        <v>42</v>
      </c>
      <c r="B51" s="348" t="s">
        <v>43</v>
      </c>
      <c r="C51" s="334">
        <v>0</v>
      </c>
      <c r="D51" s="334">
        <v>0</v>
      </c>
      <c r="E51" s="334">
        <v>73</v>
      </c>
      <c r="F51" s="334">
        <v>1085654.8876713701</v>
      </c>
    </row>
    <row r="52" spans="1:6">
      <c r="A52" s="348" t="s">
        <v>42</v>
      </c>
      <c r="B52" s="348" t="s">
        <v>29</v>
      </c>
      <c r="C52" s="334">
        <v>3</v>
      </c>
      <c r="D52" s="334">
        <v>64974.012351587902</v>
      </c>
      <c r="E52" s="334">
        <v>7</v>
      </c>
      <c r="F52" s="334">
        <v>75005.745075986197</v>
      </c>
    </row>
    <row r="53" spans="1:6">
      <c r="A53" s="348" t="s">
        <v>44</v>
      </c>
      <c r="B53" s="348" t="s">
        <v>45</v>
      </c>
      <c r="C53" s="334">
        <v>65</v>
      </c>
      <c r="D53" s="334">
        <v>780365.95754235797</v>
      </c>
      <c r="E53" s="334">
        <v>206</v>
      </c>
      <c r="F53" s="334">
        <v>971881.315035059</v>
      </c>
    </row>
    <row r="54" spans="1:6">
      <c r="A54" s="348" t="s">
        <v>46</v>
      </c>
      <c r="B54" s="348" t="s">
        <v>47</v>
      </c>
      <c r="C54" s="334">
        <v>0</v>
      </c>
      <c r="D54" s="334">
        <v>0</v>
      </c>
      <c r="E54" s="334">
        <v>1</v>
      </c>
      <c r="F54" s="334">
        <v>999648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1979427.9817169199</v>
      </c>
      <c r="E57" s="334">
        <v>118</v>
      </c>
      <c r="F57" s="334">
        <v>2112787.19855823</v>
      </c>
    </row>
    <row r="58" spans="1:6">
      <c r="A58" s="348" t="s">
        <v>49</v>
      </c>
      <c r="B58" s="348" t="s">
        <v>51</v>
      </c>
      <c r="C58" s="334">
        <v>15</v>
      </c>
      <c r="D58" s="334">
        <v>246342.404039727</v>
      </c>
      <c r="E58" s="334">
        <v>34</v>
      </c>
      <c r="F58" s="334">
        <v>266136.33198595297</v>
      </c>
    </row>
    <row r="59" spans="1:6">
      <c r="A59" s="348" t="s">
        <v>49</v>
      </c>
      <c r="B59" s="348" t="s">
        <v>52</v>
      </c>
      <c r="C59" s="334">
        <v>48</v>
      </c>
      <c r="D59" s="334">
        <v>1606256.7017588301</v>
      </c>
      <c r="E59" s="334">
        <v>186</v>
      </c>
      <c r="F59" s="334">
        <v>5505687.0587108601</v>
      </c>
    </row>
    <row r="60" spans="1:6">
      <c r="A60" s="348" t="s">
        <v>49</v>
      </c>
      <c r="B60" s="348" t="s">
        <v>53</v>
      </c>
      <c r="C60" s="334">
        <v>26</v>
      </c>
      <c r="D60" s="334">
        <v>853040.63234236103</v>
      </c>
      <c r="E60" s="334">
        <v>55</v>
      </c>
      <c r="F60" s="334">
        <v>899002.73488530202</v>
      </c>
    </row>
    <row r="61" spans="1:6">
      <c r="A61" s="348" t="s">
        <v>49</v>
      </c>
      <c r="B61" s="348" t="s">
        <v>54</v>
      </c>
      <c r="C61" s="334">
        <v>105</v>
      </c>
      <c r="D61" s="334">
        <v>2250044.30722949</v>
      </c>
      <c r="E61" s="334">
        <v>260</v>
      </c>
      <c r="F61" s="334">
        <v>2484093.9367136601</v>
      </c>
    </row>
    <row r="62" spans="1:6">
      <c r="A62" s="348" t="s">
        <v>49</v>
      </c>
      <c r="B62" s="348" t="s">
        <v>55</v>
      </c>
      <c r="C62" s="334">
        <v>3</v>
      </c>
      <c r="D62" s="334">
        <v>285535.28147580102</v>
      </c>
      <c r="E62" s="334">
        <v>8</v>
      </c>
      <c r="F62" s="334">
        <v>214995.344921282</v>
      </c>
    </row>
    <row r="63" spans="1:6">
      <c r="A63" s="348" t="s">
        <v>49</v>
      </c>
      <c r="B63" s="348" t="s">
        <v>29</v>
      </c>
      <c r="C63" s="334">
        <v>86</v>
      </c>
      <c r="D63" s="334">
        <v>7125331.9594004797</v>
      </c>
      <c r="E63" s="334">
        <v>111</v>
      </c>
      <c r="F63" s="334">
        <v>2588961.5044213799</v>
      </c>
    </row>
    <row r="64" spans="1:6">
      <c r="A64" s="348" t="s">
        <v>56</v>
      </c>
      <c r="B64" s="348" t="s">
        <v>57</v>
      </c>
      <c r="C64" s="334">
        <v>0</v>
      </c>
      <c r="D64" s="334">
        <v>0</v>
      </c>
      <c r="E64" s="334">
        <v>0</v>
      </c>
      <c r="F64" s="334">
        <v>0</v>
      </c>
    </row>
    <row r="65" spans="1:6">
      <c r="A65" s="348" t="s">
        <v>56</v>
      </c>
      <c r="B65" s="348" t="s">
        <v>29</v>
      </c>
      <c r="C65" s="334">
        <v>2</v>
      </c>
      <c r="D65" s="334">
        <v>30239.491906591898</v>
      </c>
      <c r="E65" s="334">
        <v>3</v>
      </c>
      <c r="F65" s="334">
        <v>81232.768130093202</v>
      </c>
    </row>
    <row r="66" spans="1:6">
      <c r="A66" s="348" t="s">
        <v>56</v>
      </c>
      <c r="B66" s="348" t="s">
        <v>58</v>
      </c>
      <c r="C66" s="334">
        <v>0</v>
      </c>
      <c r="D66" s="334">
        <v>0</v>
      </c>
      <c r="E66" s="334">
        <v>9</v>
      </c>
      <c r="F66" s="334">
        <v>115125.708490834</v>
      </c>
    </row>
    <row r="67" spans="1:6">
      <c r="A67" s="355" t="s">
        <v>56</v>
      </c>
      <c r="B67" s="355" t="s">
        <v>59</v>
      </c>
      <c r="C67" s="334">
        <v>0</v>
      </c>
      <c r="D67" s="334">
        <v>0</v>
      </c>
      <c r="E67" s="334">
        <v>0</v>
      </c>
      <c r="F67" s="334">
        <v>0</v>
      </c>
    </row>
    <row r="68" spans="1:6">
      <c r="A68" s="341" t="s">
        <v>56</v>
      </c>
      <c r="B68" s="341" t="s">
        <v>60</v>
      </c>
      <c r="C68" s="334">
        <v>0</v>
      </c>
      <c r="D68" s="334">
        <v>0</v>
      </c>
      <c r="E68" s="334">
        <v>23</v>
      </c>
      <c r="F68" s="334">
        <v>347865.85369143798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47494417</v>
      </c>
      <c r="E73" s="475">
        <v>47932112.858759746</v>
      </c>
    </row>
    <row r="74" spans="1:6">
      <c r="A74" s="348" t="s">
        <v>64</v>
      </c>
      <c r="B74" s="348" t="s">
        <v>657</v>
      </c>
      <c r="C74" s="1295" t="s">
        <v>659</v>
      </c>
      <c r="D74" s="475">
        <v>5788574</v>
      </c>
      <c r="E74" s="475">
        <v>6069385.998628011</v>
      </c>
    </row>
    <row r="75" spans="1:6">
      <c r="A75" s="348" t="s">
        <v>65</v>
      </c>
      <c r="B75" s="348" t="s">
        <v>656</v>
      </c>
      <c r="C75" s="1295" t="s">
        <v>660</v>
      </c>
      <c r="D75" s="475">
        <v>22827653</v>
      </c>
      <c r="E75" s="475">
        <v>23412896.871956382</v>
      </c>
    </row>
    <row r="76" spans="1:6">
      <c r="A76" s="348" t="s">
        <v>65</v>
      </c>
      <c r="B76" s="348" t="s">
        <v>657</v>
      </c>
      <c r="C76" s="1295" t="s">
        <v>661</v>
      </c>
      <c r="D76" s="475">
        <v>876528</v>
      </c>
      <c r="E76" s="475">
        <v>926377.34112431563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166104</v>
      </c>
      <c r="C83" s="475">
        <v>165466.34807567831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3470.5798157402419</v>
      </c>
    </row>
    <row r="92" spans="1:6">
      <c r="A92" s="341" t="s">
        <v>69</v>
      </c>
      <c r="B92" s="342">
        <v>1957.269605832731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635</v>
      </c>
    </row>
    <row r="98" spans="1:6">
      <c r="A98" s="348" t="s">
        <v>72</v>
      </c>
      <c r="B98" s="334">
        <v>2</v>
      </c>
    </row>
    <row r="99" spans="1:6">
      <c r="A99" s="348" t="s">
        <v>73</v>
      </c>
      <c r="B99" s="334">
        <v>149</v>
      </c>
    </row>
    <row r="100" spans="1:6">
      <c r="A100" s="348" t="s">
        <v>74</v>
      </c>
      <c r="B100" s="334">
        <v>667</v>
      </c>
    </row>
    <row r="101" spans="1:6">
      <c r="A101" s="348" t="s">
        <v>75</v>
      </c>
      <c r="B101" s="334">
        <v>111</v>
      </c>
    </row>
    <row r="102" spans="1:6">
      <c r="A102" s="348" t="s">
        <v>76</v>
      </c>
      <c r="B102" s="334">
        <v>139</v>
      </c>
    </row>
    <row r="103" spans="1:6">
      <c r="A103" s="348" t="s">
        <v>77</v>
      </c>
      <c r="B103" s="334">
        <v>171</v>
      </c>
    </row>
    <row r="104" spans="1:6">
      <c r="A104" s="348" t="s">
        <v>78</v>
      </c>
      <c r="B104" s="334">
        <v>3582</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59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224</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73991.050650417164</v>
      </c>
      <c r="C3" s="43" t="s">
        <v>170</v>
      </c>
      <c r="D3" s="43"/>
      <c r="E3" s="154"/>
      <c r="F3" s="43"/>
      <c r="G3" s="43"/>
      <c r="H3" s="43"/>
      <c r="I3" s="43"/>
      <c r="J3" s="43"/>
      <c r="K3" s="96"/>
    </row>
    <row r="4" spans="1:11">
      <c r="A4" s="383" t="s">
        <v>171</v>
      </c>
      <c r="B4" s="49">
        <f>IF(ISERROR('SEAP template'!B78+'SEAP template'!C78),0,'SEAP template'!B78+'SEAP template'!C78)</f>
        <v>5427.8494215729734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0.20478784039930559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999.64800000000002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999.64800000000002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0.20478784039930559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204.71575507948504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26342.4540358429</v>
      </c>
      <c r="C5" s="17">
        <f>IF(ISERROR('Eigen informatie GS &amp; warmtenet'!B57),0,'Eigen informatie GS &amp; warmtenet'!B57)</f>
        <v>0</v>
      </c>
      <c r="D5" s="30">
        <f>(SUM(HH_hh_gas_kWh,HH_rest_gas_kWh)/1000)*0.902</f>
        <v>38912.943145106881</v>
      </c>
      <c r="E5" s="17">
        <f>B46*B57</f>
        <v>6532.5983705889848</v>
      </c>
      <c r="F5" s="17">
        <f>B51*B62</f>
        <v>39026.592112051818</v>
      </c>
      <c r="G5" s="18"/>
      <c r="H5" s="17"/>
      <c r="I5" s="17"/>
      <c r="J5" s="17">
        <f>B50*B61+C50*C61</f>
        <v>0</v>
      </c>
      <c r="K5" s="17"/>
      <c r="L5" s="17"/>
      <c r="M5" s="17"/>
      <c r="N5" s="17">
        <f>B48*B59+C48*C59</f>
        <v>16584.994685817393</v>
      </c>
      <c r="O5" s="17">
        <f>B69*B70*B71</f>
        <v>442.4233333333334</v>
      </c>
      <c r="P5" s="17">
        <f>B77*B78*B79/1000-B77*B78*B79/1000/B80</f>
        <v>838.93333333333339</v>
      </c>
    </row>
    <row r="6" spans="1:16">
      <c r="A6" s="16" t="s">
        <v>621</v>
      </c>
      <c r="B6" s="788">
        <f>kWh_PV_kleiner_dan_10kW</f>
        <v>3470.5798157402419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29813.033851583143</v>
      </c>
      <c r="C8" s="21">
        <f>C5</f>
        <v>0</v>
      </c>
      <c r="D8" s="21">
        <f>D5</f>
        <v>38912.943145106881</v>
      </c>
      <c r="E8" s="21">
        <f>E5</f>
        <v>6532.5983705889848</v>
      </c>
      <c r="F8" s="21">
        <f>F5</f>
        <v>39026.592112051818</v>
      </c>
      <c r="G8" s="21"/>
      <c r="H8" s="21"/>
      <c r="I8" s="21"/>
      <c r="J8" s="21">
        <f>J5</f>
        <v>0</v>
      </c>
      <c r="K8" s="21"/>
      <c r="L8" s="21">
        <f>L5</f>
        <v>0</v>
      </c>
      <c r="M8" s="21">
        <f>M5</f>
        <v>0</v>
      </c>
      <c r="N8" s="21">
        <f>N5</f>
        <v>16584.994685817393</v>
      </c>
      <c r="O8" s="21">
        <f>O5</f>
        <v>442.4233333333334</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0.20478784039930559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6105.3468182171036</v>
      </c>
      <c r="C12" s="23">
        <f ca="1">C10*C8</f>
        <v>0</v>
      </c>
      <c r="D12" s="23">
        <f>D8*D10</f>
        <v>7860.4145153115905</v>
      </c>
      <c r="E12" s="23">
        <f>E10*E8</f>
        <v>1482.8998301236995</v>
      </c>
      <c r="F12" s="23">
        <f>F10*F8</f>
        <v>10420.100093917836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v>
      </c>
      <c r="C18" s="166" t="s">
        <v>111</v>
      </c>
      <c r="D18" s="228"/>
      <c r="E18" s="15"/>
    </row>
    <row r="19" spans="1:7">
      <c r="A19" s="171" t="s">
        <v>72</v>
      </c>
      <c r="B19" s="37">
        <f>aantalw2001_ander</f>
        <v>2</v>
      </c>
      <c r="C19" s="166" t="s">
        <v>111</v>
      </c>
      <c r="D19" s="229"/>
      <c r="E19" s="15"/>
    </row>
    <row r="20" spans="1:7">
      <c r="A20" s="171" t="s">
        <v>73</v>
      </c>
      <c r="B20" s="37">
        <f>aantalw2001_propaan</f>
        <v>149</v>
      </c>
      <c r="C20" s="167">
        <f>IF(ISERROR(B20/SUM($B$20,$B$21,$B$22)*100),0,B20/SUM($B$20,$B$21,$B$22)*100)</f>
        <v>16.073354908306364</v>
      </c>
      <c r="D20" s="229"/>
      <c r="E20" s="15"/>
    </row>
    <row r="21" spans="1:7">
      <c r="A21" s="171" t="s">
        <v>74</v>
      </c>
      <c r="B21" s="37">
        <f>aantalw2001_elektriciteit</f>
        <v>667</v>
      </c>
      <c r="C21" s="167">
        <f>IF(ISERROR(B21/SUM($B$20,$B$21,$B$22)*100),0,B21/SUM($B$20,$B$21,$B$22)*100)</f>
        <v>71.952535059331183</v>
      </c>
      <c r="D21" s="229"/>
      <c r="E21" s="15"/>
    </row>
    <row r="22" spans="1:7">
      <c r="A22" s="171" t="s">
        <v>75</v>
      </c>
      <c r="B22" s="37">
        <f>aantalw2001_hout</f>
        <v>111</v>
      </c>
      <c r="C22" s="167">
        <f>IF(ISERROR(B22/SUM($B$20,$B$21,$B$22)*100),0,B22/SUM($B$20,$B$21,$B$22)*100)</f>
        <v>11.974110032362459</v>
      </c>
      <c r="D22" s="229"/>
      <c r="E22" s="15"/>
    </row>
    <row r="23" spans="1:7">
      <c r="A23" s="171" t="s">
        <v>76</v>
      </c>
      <c r="B23" s="37">
        <f>aantalw2001_niet_gespec</f>
        <v>139</v>
      </c>
      <c r="C23" s="166" t="s">
        <v>111</v>
      </c>
      <c r="D23" s="228"/>
      <c r="E23" s="15"/>
    </row>
    <row r="24" spans="1:7">
      <c r="A24" s="171" t="s">
        <v>77</v>
      </c>
      <c r="B24" s="37">
        <f>aantalw2001_steenkool</f>
        <v>171</v>
      </c>
      <c r="C24" s="166" t="s">
        <v>111</v>
      </c>
      <c r="D24" s="229"/>
      <c r="E24" s="15"/>
    </row>
    <row r="25" spans="1:7">
      <c r="A25" s="171" t="s">
        <v>78</v>
      </c>
      <c r="B25" s="37">
        <f>aantalw2001_stookolie</f>
        <v>3582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6411</v>
      </c>
      <c r="C28" s="36"/>
      <c r="D28" s="228"/>
    </row>
    <row r="29" spans="1:7" s="15" customFormat="1">
      <c r="A29" s="230" t="s">
        <v>794</v>
      </c>
      <c r="B29" s="37">
        <f>SUM(HH_hh_gas_aantal,HH_rest_gas_aantal)</f>
        <v>2940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2940</v>
      </c>
      <c r="C32" s="167">
        <f>IF(ISERROR(B32/SUM($B$32,$B$34,$B$35,$B$36,$B$38,$B$39)*100),0,B32/SUM($B$32,$B$34,$B$35,$B$36,$B$38,$B$39)*100)</f>
        <v>46.175592900895239</v>
      </c>
      <c r="D32" s="233"/>
      <c r="G32" s="15"/>
    </row>
    <row r="33" spans="1:7">
      <c r="A33" s="171" t="s">
        <v>72</v>
      </c>
      <c r="B33" s="34" t="s">
        <v>111</v>
      </c>
      <c r="C33" s="167"/>
      <c r="D33" s="233"/>
      <c r="G33" s="15"/>
    </row>
    <row r="34" spans="1:7">
      <c r="A34" s="171" t="s">
        <v>73</v>
      </c>
      <c r="B34" s="33">
        <f>IF((($B$28-$B$32-$B$39-$B$77-$B$38)*C20/100)&lt;0,0,($B$28-$B$32-$B$39-$B$77-$B$38)*C20/100)</f>
        <v>308.52804746494064</v>
      </c>
      <c r="C34" s="167">
        <f>IF(ISERROR(B34/SUM($B$32,$B$34,$B$35,$B$36,$B$38,$B$39)*100),0,B34/SUM($B$32,$B$34,$B$35,$B$36,$B$38,$B$39)*100)</f>
        <v>4.845736570833056</v>
      </c>
      <c r="D34" s="233"/>
      <c r="G34" s="15"/>
    </row>
    <row r="35" spans="1:7">
      <c r="A35" s="171" t="s">
        <v>74</v>
      </c>
      <c r="B35" s="33">
        <f>IF((($B$28-$B$32-$B$39-$B$77-$B$38)*C21/100)&lt;0,0,($B$28-$B$32-$B$39-$B$77-$B$38)*C21/100)</f>
        <v>1381.1289104638622</v>
      </c>
      <c r="C35" s="167">
        <f>IF(ISERROR(B35/SUM($B$32,$B$34,$B$35,$B$36,$B$38,$B$39)*100),0,B35/SUM($B$32,$B$34,$B$35,$B$36,$B$38,$B$39)*100)</f>
        <v>21.691988541917105</v>
      </c>
      <c r="D35" s="233"/>
      <c r="G35" s="15"/>
    </row>
    <row r="36" spans="1:7">
      <c r="A36" s="171" t="s">
        <v>75</v>
      </c>
      <c r="B36" s="33">
        <f>IF((($B$28-$B$32-$B$39-$B$77-$B$38)*C22/100)&lt;0,0,($B$28-$B$32-$B$39-$B$77-$B$38)*C22/100)</f>
        <v>229.8430420711974</v>
      </c>
      <c r="C36" s="167">
        <f>IF(ISERROR(B36/SUM($B$32,$B$34,$B$35,$B$36,$B$38,$B$39)*100),0,B36/SUM($B$32,$B$34,$B$35,$B$36,$B$38,$B$39)*100)</f>
        <v>3.6099111366608669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1507.5</v>
      </c>
      <c r="C39" s="167">
        <f>IF(ISERROR(B39/SUM($B$32,$B$34,$B$35,$B$36,$B$38,$B$39)*100),0,B39/SUM($B$32,$B$34,$B$35,$B$36,$B$38,$B$39)*100)</f>
        <v>23.676770849693735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2940</v>
      </c>
      <c r="C44" s="34" t="s">
        <v>111</v>
      </c>
      <c r="D44" s="174"/>
    </row>
    <row r="45" spans="1:7">
      <c r="A45" s="171" t="s">
        <v>72</v>
      </c>
      <c r="B45" s="33" t="str">
        <f t="shared" si="0"/>
        <v>-</v>
      </c>
      <c r="C45" s="34" t="s">
        <v>111</v>
      </c>
      <c r="D45" s="174"/>
    </row>
    <row r="46" spans="1:7">
      <c r="A46" s="171" t="s">
        <v>73</v>
      </c>
      <c r="B46" s="33">
        <f t="shared" si="0"/>
        <v>308.52804746494064</v>
      </c>
      <c r="C46" s="34" t="s">
        <v>111</v>
      </c>
      <c r="D46" s="174"/>
    </row>
    <row r="47" spans="1:7">
      <c r="A47" s="171" t="s">
        <v>74</v>
      </c>
      <c r="B47" s="33">
        <f t="shared" si="0"/>
        <v>1381.1289104638622</v>
      </c>
      <c r="C47" s="34" t="s">
        <v>111</v>
      </c>
      <c r="D47" s="174"/>
    </row>
    <row r="48" spans="1:7">
      <c r="A48" s="171" t="s">
        <v>75</v>
      </c>
      <c r="B48" s="33">
        <f t="shared" si="0"/>
        <v>229.8430420711974</v>
      </c>
      <c r="C48" s="33">
        <f>B48*10</f>
        <v>2298.430420711974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1507.5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14071.664110196667</v>
      </c>
      <c r="C5" s="17">
        <f>IF(ISERROR('Eigen informatie GS &amp; warmtenet'!B58),0,'Eigen informatie GS &amp; warmtenet'!B58)</f>
        <v>0</v>
      </c>
      <c r="D5" s="30">
        <f>SUM(D6:D12)</f>
        <v>12940.073299703176</v>
      </c>
      <c r="E5" s="17">
        <f>SUM(E6:E12)</f>
        <v>250.50837095870659</v>
      </c>
      <c r="F5" s="17">
        <f>SUM(F6:F12)</f>
        <v>2625.2848033177415</v>
      </c>
      <c r="G5" s="18"/>
      <c r="H5" s="17"/>
      <c r="I5" s="17"/>
      <c r="J5" s="17">
        <f>SUM(J6:J12)</f>
        <v>5.2129563802890556E-2</v>
      </c>
      <c r="K5" s="17"/>
      <c r="L5" s="17"/>
      <c r="M5" s="17"/>
      <c r="N5" s="17">
        <f>SUM(N6:N12)</f>
        <v>2059.8004171484154</v>
      </c>
      <c r="O5" s="17">
        <f>B38*B39*B40</f>
        <v>1.5633333333333335</v>
      </c>
      <c r="P5" s="17">
        <f>B46*B47*B48/1000-B46*B47*B48/1000/B49</f>
        <v>0</v>
      </c>
      <c r="R5" s="32"/>
    </row>
    <row r="6" spans="1:18">
      <c r="A6" s="32" t="s">
        <v>54</v>
      </c>
      <c r="B6" s="37">
        <f>B26</f>
        <v>2484.0939367136602</v>
      </c>
      <c r="C6" s="33"/>
      <c r="D6" s="37">
        <f>IF(ISERROR(TER_kantoor_gas_kWh/1000),0,TER_kantoor_gas_kWh/1000)*0.902</f>
        <v>2029.5399651210003</v>
      </c>
      <c r="E6" s="33">
        <f>$C$26*'E Balans VL '!I12/100/3.6*1000000</f>
        <v>1.5569474598621406E-2</v>
      </c>
      <c r="F6" s="33">
        <f>$C$26*('E Balans VL '!L12+'E Balans VL '!N12)/100/3.6*1000000</f>
        <v>373.28990648336816</v>
      </c>
      <c r="G6" s="34"/>
      <c r="H6" s="33"/>
      <c r="I6" s="33"/>
      <c r="J6" s="33">
        <f>$C$26*('E Balans VL '!D12+'E Balans VL '!E12)/100/3.6*1000000</f>
        <v>0</v>
      </c>
      <c r="K6" s="33"/>
      <c r="L6" s="33"/>
      <c r="M6" s="33"/>
      <c r="N6" s="33">
        <f>$C$26*'E Balans VL '!Y12/100/3.6*1000000</f>
        <v>2.3756675431209158</v>
      </c>
      <c r="O6" s="33"/>
      <c r="P6" s="33"/>
      <c r="R6" s="32"/>
    </row>
    <row r="7" spans="1:18">
      <c r="A7" s="32" t="s">
        <v>53</v>
      </c>
      <c r="B7" s="37">
        <f t="shared" ref="B7:B12" si="0">B27</f>
        <v>899.00273488530206</v>
      </c>
      <c r="C7" s="33"/>
      <c r="D7" s="37">
        <f>IF(ISERROR(TER_horeca_gas_kWh/1000),0,TER_horeca_gas_kWh/1000)*0.902</f>
        <v>769.44265037280968</v>
      </c>
      <c r="E7" s="33">
        <f>$C$27*'E Balans VL '!I9/100/3.6*1000000</f>
        <v>12.873569418287982</v>
      </c>
      <c r="F7" s="33">
        <f>$C$27*('E Balans VL '!L9+'E Balans VL '!N9)/100/3.6*1000000</f>
        <v>113.84339648897736</v>
      </c>
      <c r="G7" s="34"/>
      <c r="H7" s="33"/>
      <c r="I7" s="33"/>
      <c r="J7" s="33">
        <f>$C$27*('E Balans VL '!D9+'E Balans VL '!E9)/100/3.6*1000000</f>
        <v>0</v>
      </c>
      <c r="K7" s="33"/>
      <c r="L7" s="33"/>
      <c r="M7" s="33"/>
      <c r="N7" s="33">
        <f>$C$27*'E Balans VL '!Y9/100/3.6*1000000</f>
        <v>0.25844346497067466</v>
      </c>
      <c r="O7" s="33"/>
      <c r="P7" s="33"/>
      <c r="R7" s="32"/>
    </row>
    <row r="8" spans="1:18">
      <c r="A8" s="6" t="s">
        <v>52</v>
      </c>
      <c r="B8" s="37">
        <f t="shared" si="0"/>
        <v>5505.6870587108597</v>
      </c>
      <c r="C8" s="33"/>
      <c r="D8" s="37">
        <f>IF(ISERROR(TER_handel_gas_kWh/1000),0,TER_handel_gas_kWh/1000)*0.902</f>
        <v>1448.8435449864648</v>
      </c>
      <c r="E8" s="33">
        <f>$C$28*'E Balans VL '!I13/100/3.6*1000000</f>
        <v>199.69059068853201</v>
      </c>
      <c r="F8" s="33">
        <f>$C$28*('E Balans VL '!L13+'E Balans VL '!N13)/100/3.6*1000000</f>
        <v>1060.4510761335682</v>
      </c>
      <c r="G8" s="34"/>
      <c r="H8" s="33"/>
      <c r="I8" s="33"/>
      <c r="J8" s="33">
        <f>$C$28*('E Balans VL '!D13+'E Balans VL '!E13)/100/3.6*1000000</f>
        <v>0</v>
      </c>
      <c r="K8" s="33"/>
      <c r="L8" s="33"/>
      <c r="M8" s="33"/>
      <c r="N8" s="33">
        <f>$C$28*'E Balans VL '!Y13/100/3.6*1000000</f>
        <v>7.6266433784090708</v>
      </c>
      <c r="O8" s="33"/>
      <c r="P8" s="33"/>
      <c r="R8" s="32"/>
    </row>
    <row r="9" spans="1:18">
      <c r="A9" s="32" t="s">
        <v>51</v>
      </c>
      <c r="B9" s="37">
        <f t="shared" si="0"/>
        <v>266.13633198595295</v>
      </c>
      <c r="C9" s="33"/>
      <c r="D9" s="37">
        <f>IF(ISERROR(TER_gezond_gas_kWh/1000),0,TER_gezond_gas_kWh/1000)*0.902</f>
        <v>222.20084844383376</v>
      </c>
      <c r="E9" s="33">
        <f>$C$29*'E Balans VL '!I10/100/3.6*1000000</f>
        <v>1.6662762003891732E-2</v>
      </c>
      <c r="F9" s="33">
        <f>$C$29*('E Balans VL '!L10+'E Balans VL '!N10)/100/3.6*1000000</f>
        <v>39.535362424474563</v>
      </c>
      <c r="G9" s="34"/>
      <c r="H9" s="33"/>
      <c r="I9" s="33"/>
      <c r="J9" s="33">
        <f>$C$29*('E Balans VL '!D10+'E Balans VL '!E10)/100/3.6*1000000</f>
        <v>0</v>
      </c>
      <c r="K9" s="33"/>
      <c r="L9" s="33"/>
      <c r="M9" s="33"/>
      <c r="N9" s="33">
        <f>$C$29*'E Balans VL '!Y10/100/3.6*1000000</f>
        <v>4.1166224631196293</v>
      </c>
      <c r="O9" s="33"/>
      <c r="P9" s="33"/>
      <c r="R9" s="32"/>
    </row>
    <row r="10" spans="1:18">
      <c r="A10" s="32" t="s">
        <v>50</v>
      </c>
      <c r="B10" s="37">
        <f t="shared" si="0"/>
        <v>2112.7871985582301</v>
      </c>
      <c r="C10" s="33"/>
      <c r="D10" s="37">
        <f>IF(ISERROR(TER_ander_gas_kWh/1000),0,TER_ander_gas_kWh/1000)*0.902</f>
        <v>1785.4440395086617</v>
      </c>
      <c r="E10" s="33">
        <f>$C$30*'E Balans VL '!I14/100/3.6*1000000</f>
        <v>2.5183668424238976</v>
      </c>
      <c r="F10" s="33">
        <f>$C$30*('E Balans VL '!L14+'E Balans VL '!N14)/100/3.6*1000000</f>
        <v>552.79905828434801</v>
      </c>
      <c r="G10" s="34"/>
      <c r="H10" s="33"/>
      <c r="I10" s="33"/>
      <c r="J10" s="33">
        <f>$C$30*('E Balans VL '!D14+'E Balans VL '!E14)/100/3.6*1000000</f>
        <v>4.5860328183560235E-2</v>
      </c>
      <c r="K10" s="33"/>
      <c r="L10" s="33"/>
      <c r="M10" s="33"/>
      <c r="N10" s="33">
        <f>$C$30*'E Balans VL '!Y14/100/3.6*1000000</f>
        <v>1794.127189840618</v>
      </c>
      <c r="O10" s="33"/>
      <c r="P10" s="33"/>
      <c r="R10" s="32"/>
    </row>
    <row r="11" spans="1:18">
      <c r="A11" s="32" t="s">
        <v>55</v>
      </c>
      <c r="B11" s="37">
        <f t="shared" si="0"/>
        <v>214.995344921282</v>
      </c>
      <c r="C11" s="33"/>
      <c r="D11" s="37">
        <f>IF(ISERROR(TER_onderwijs_gas_kWh/1000),0,TER_onderwijs_gas_kWh/1000)*0.902</f>
        <v>257.55282389117252</v>
      </c>
      <c r="E11" s="33">
        <f>$C$31*'E Balans VL '!I11/100/3.6*1000000</f>
        <v>3.2439334719312116</v>
      </c>
      <c r="F11" s="33">
        <f>$C$31*('E Balans VL '!L11+'E Balans VL '!N11)/100/3.6*1000000</f>
        <v>37.670619083023503</v>
      </c>
      <c r="G11" s="34"/>
      <c r="H11" s="33"/>
      <c r="I11" s="33"/>
      <c r="J11" s="33">
        <f>$C$31*('E Balans VL '!D11+'E Balans VL '!E11)/100/3.6*1000000</f>
        <v>0</v>
      </c>
      <c r="K11" s="33"/>
      <c r="L11" s="33"/>
      <c r="M11" s="33"/>
      <c r="N11" s="33">
        <f>$C$31*'E Balans VL '!Y11/100/3.6*1000000</f>
        <v>0.60501324517704036</v>
      </c>
      <c r="O11" s="33"/>
      <c r="P11" s="33"/>
      <c r="R11" s="32"/>
    </row>
    <row r="12" spans="1:18">
      <c r="A12" s="32" t="s">
        <v>260</v>
      </c>
      <c r="B12" s="37">
        <f t="shared" si="0"/>
        <v>2588.9615044213797</v>
      </c>
      <c r="C12" s="33"/>
      <c r="D12" s="37">
        <f>IF(ISERROR(TER_rest_gas_kWh/1000),0,TER_rest_gas_kWh/1000)*0.902</f>
        <v>6427.0494273792328</v>
      </c>
      <c r="E12" s="33">
        <f>$C$32*'E Balans VL '!I8/100/3.6*1000000</f>
        <v>32.149678300928997</v>
      </c>
      <c r="F12" s="33">
        <f>$C$32*('E Balans VL '!L8+'E Balans VL '!N8)/100/3.6*1000000</f>
        <v>447.69538441998151</v>
      </c>
      <c r="G12" s="34"/>
      <c r="H12" s="33"/>
      <c r="I12" s="33"/>
      <c r="J12" s="33">
        <f>$C$32*('E Balans VL '!D8+'E Balans VL '!E8)/100/3.6*1000000</f>
        <v>6.2692356193303237E-3</v>
      </c>
      <c r="K12" s="33"/>
      <c r="L12" s="33"/>
      <c r="M12" s="33"/>
      <c r="N12" s="33">
        <f>$C$32*'E Balans VL '!Y8/100/3.6*1000000</f>
        <v>250.69083721299975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14071.664110196667</v>
      </c>
      <c r="C16" s="21">
        <f t="shared" ca="1" si="1"/>
        <v>0</v>
      </c>
      <c r="D16" s="21">
        <f t="shared" ca="1" si="1"/>
        <v>12940.073299703176</v>
      </c>
      <c r="E16" s="21">
        <f t="shared" si="1"/>
        <v>250.50837095870659</v>
      </c>
      <c r="F16" s="21">
        <f t="shared" ca="1" si="1"/>
        <v>2625.2848033177415</v>
      </c>
      <c r="G16" s="21">
        <f t="shared" si="1"/>
        <v>0</v>
      </c>
      <c r="H16" s="21">
        <f t="shared" si="1"/>
        <v>0</v>
      </c>
      <c r="I16" s="21">
        <f t="shared" si="1"/>
        <v>0</v>
      </c>
      <c r="J16" s="21">
        <f t="shared" si="1"/>
        <v>5.2129563802890556E-2</v>
      </c>
      <c r="K16" s="21">
        <f t="shared" si="1"/>
        <v>0</v>
      </c>
      <c r="L16" s="21">
        <f t="shared" ca="1" si="1"/>
        <v>0</v>
      </c>
      <c r="M16" s="21">
        <f t="shared" si="1"/>
        <v>0</v>
      </c>
      <c r="N16" s="21">
        <f t="shared" ca="1" si="1"/>
        <v>2059.8004171484154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0.20478784039930559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2881.7057039515917</v>
      </c>
      <c r="C20" s="23">
        <f t="shared" ref="C20:P20" ca="1" si="2">C16*C18</f>
        <v>0</v>
      </c>
      <c r="D20" s="23">
        <f t="shared" ca="1" si="2"/>
        <v>2613.8948065400418</v>
      </c>
      <c r="E20" s="23">
        <f t="shared" si="2"/>
        <v>56.865400207626401</v>
      </c>
      <c r="F20" s="23">
        <f t="shared" ca="1" si="2"/>
        <v>700.95104248583698</v>
      </c>
      <c r="G20" s="23">
        <f t="shared" si="2"/>
        <v>0</v>
      </c>
      <c r="H20" s="23">
        <f t="shared" si="2"/>
        <v>0</v>
      </c>
      <c r="I20" s="23">
        <f t="shared" si="2"/>
        <v>0</v>
      </c>
      <c r="J20" s="23">
        <f t="shared" si="2"/>
        <v>1.8453865586223257E-2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2484.0939367136602</v>
      </c>
      <c r="C26" s="39">
        <f>IF(ISERROR(B26*3.6/1000000/'E Balans VL '!Z12*100),0,B26*3.6/1000000/'E Balans VL '!Z12*100)</f>
        <v>5.2509810699471214E-2</v>
      </c>
      <c r="D26" s="237" t="s">
        <v>754</v>
      </c>
      <c r="F26" s="6"/>
    </row>
    <row r="27" spans="1:18">
      <c r="A27" s="231" t="s">
        <v>53</v>
      </c>
      <c r="B27" s="33">
        <f>IF(ISERROR(TER_horeca_ele_kWh/1000),0,TER_horeca_ele_kWh/1000)</f>
        <v>899.00273488530206</v>
      </c>
      <c r="C27" s="39">
        <f>IF(ISERROR(B27*3.6/1000000/'E Balans VL '!Z9*100),0,B27*3.6/1000000/'E Balans VL '!Z9*100)</f>
        <v>7.0868050515582856E-2</v>
      </c>
      <c r="D27" s="237" t="s">
        <v>754</v>
      </c>
      <c r="F27" s="6"/>
    </row>
    <row r="28" spans="1:18">
      <c r="A28" s="171" t="s">
        <v>52</v>
      </c>
      <c r="B28" s="33">
        <f>IF(ISERROR(TER_handel_ele_kWh/1000),0,TER_handel_ele_kWh/1000)</f>
        <v>5505.6870587108597</v>
      </c>
      <c r="C28" s="39">
        <f>IF(ISERROR(B28*3.6/1000000/'E Balans VL '!Z13*100),0,B28*3.6/1000000/'E Balans VL '!Z13*100)</f>
        <v>0.1597972839122469</v>
      </c>
      <c r="D28" s="237" t="s">
        <v>754</v>
      </c>
      <c r="F28" s="6"/>
    </row>
    <row r="29" spans="1:18">
      <c r="A29" s="231" t="s">
        <v>51</v>
      </c>
      <c r="B29" s="33">
        <f>IF(ISERROR(TER_gezond_ele_kWh/1000),0,TER_gezond_ele_kWh/1000)</f>
        <v>266.13633198595295</v>
      </c>
      <c r="C29" s="39">
        <f>IF(ISERROR(B29*3.6/1000000/'E Balans VL '!Z10*100),0,B29*3.6/1000000/'E Balans VL '!Z10*100)</f>
        <v>2.8028525832045115E-2</v>
      </c>
      <c r="D29" s="237" t="s">
        <v>754</v>
      </c>
      <c r="F29" s="6"/>
    </row>
    <row r="30" spans="1:18">
      <c r="A30" s="231" t="s">
        <v>50</v>
      </c>
      <c r="B30" s="33">
        <f>IF(ISERROR(TER_ander_ele_kWh/1000),0,TER_ander_ele_kWh/1000)</f>
        <v>2112.7871985582301</v>
      </c>
      <c r="C30" s="39">
        <f>IF(ISERROR(B30*3.6/1000000/'E Balans VL '!Z14*100),0,B30*3.6/1000000/'E Balans VL '!Z14*100)</f>
        <v>0.15583964266075187</v>
      </c>
      <c r="D30" s="237" t="s">
        <v>754</v>
      </c>
      <c r="F30" s="6"/>
    </row>
    <row r="31" spans="1:18">
      <c r="A31" s="231" t="s">
        <v>55</v>
      </c>
      <c r="B31" s="33">
        <f>IF(ISERROR(TER_onderwijs_ele_kWh/1000),0,TER_onderwijs_ele_kWh/1000)</f>
        <v>214.995344921282</v>
      </c>
      <c r="C31" s="39">
        <f>IF(ISERROR(B31*3.6/1000000/'E Balans VL '!Z11*100),0,B31*3.6/1000000/'E Balans VL '!Z11*100)</f>
        <v>5.3393415119010905E-2</v>
      </c>
      <c r="D31" s="237" t="s">
        <v>754</v>
      </c>
    </row>
    <row r="32" spans="1:18">
      <c r="A32" s="231" t="s">
        <v>260</v>
      </c>
      <c r="B32" s="33">
        <f>IF(ISERROR(TER_rest_ele_kWh/1000),0,TER_rest_ele_kWh/1000)</f>
        <v>2588.9615044213797</v>
      </c>
      <c r="C32" s="39">
        <f>IF(ISERROR(B32*3.6/1000000/'E Balans VL '!Z8*100),0,B32*3.6/1000000/'E Balans VL '!Z8*100)</f>
        <v>2.130371668431983E-2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26946.497805506813</v>
      </c>
      <c r="C5" s="17">
        <f>IF(ISERROR('Eigen informatie GS &amp; warmtenet'!B59),0,'Eigen informatie GS &amp; warmtenet'!B59)</f>
        <v>0</v>
      </c>
      <c r="D5" s="30">
        <f>SUM(D6:D15)</f>
        <v>25050.368916282332</v>
      </c>
      <c r="E5" s="17">
        <f>SUM(E6:E15)</f>
        <v>2014.9413993473424</v>
      </c>
      <c r="F5" s="17">
        <f>SUM(F6:F15)</f>
        <v>6931.9428107999847</v>
      </c>
      <c r="G5" s="18"/>
      <c r="H5" s="17"/>
      <c r="I5" s="17"/>
      <c r="J5" s="17">
        <f>SUM(J6:J15)</f>
        <v>22.766456404693958</v>
      </c>
      <c r="K5" s="17"/>
      <c r="L5" s="17"/>
      <c r="M5" s="17"/>
      <c r="N5" s="17">
        <f>SUM(N6:N15)</f>
        <v>4291.0113797919867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2421.6629235257701</v>
      </c>
      <c r="C8" s="33"/>
      <c r="D8" s="37">
        <f>IF( ISERROR(IND_metaal_Gas_kWH/1000),0,IND_metaal_Gas_kWH/1000)*0.902</f>
        <v>0</v>
      </c>
      <c r="E8" s="33">
        <f>C30*'E Balans VL '!I18/100/3.6*1000000</f>
        <v>22.26485171752525</v>
      </c>
      <c r="F8" s="33">
        <f>C30*'E Balans VL '!L18/100/3.6*1000000+C30*'E Balans VL '!N18/100/3.6*1000000</f>
        <v>227.07135690672854</v>
      </c>
      <c r="G8" s="34"/>
      <c r="H8" s="33"/>
      <c r="I8" s="33"/>
      <c r="J8" s="40">
        <f>C30*'E Balans VL '!D18/100/3.6*1000000+C30*'E Balans VL '!E18/100/3.6*1000000</f>
        <v>0</v>
      </c>
      <c r="K8" s="33"/>
      <c r="L8" s="33"/>
      <c r="M8" s="33"/>
      <c r="N8" s="33">
        <f>C30*'E Balans VL '!Y18/100/3.6*1000000</f>
        <v>34.549023570603239</v>
      </c>
      <c r="O8" s="33"/>
      <c r="P8" s="33"/>
      <c r="R8" s="32"/>
    </row>
    <row r="9" spans="1:18">
      <c r="A9" s="6" t="s">
        <v>33</v>
      </c>
      <c r="B9" s="37">
        <f t="shared" si="0"/>
        <v>5511.8004449006003</v>
      </c>
      <c r="C9" s="33"/>
      <c r="D9" s="37">
        <f>IF( ISERROR(IND_andere_gas_kWh/1000),0,IND_andere_gas_kWh/1000)*0.902</f>
        <v>1049.7697002230761</v>
      </c>
      <c r="E9" s="33">
        <f>C31*'E Balans VL '!I19/100/3.6*1000000</f>
        <v>1611.2065721428985</v>
      </c>
      <c r="F9" s="33">
        <f>C31*'E Balans VL '!L19/100/3.6*1000000+C31*'E Balans VL '!N19/100/3.6*1000000</f>
        <v>4429.1488624360491</v>
      </c>
      <c r="G9" s="34"/>
      <c r="H9" s="33"/>
      <c r="I9" s="33"/>
      <c r="J9" s="40">
        <f>C31*'E Balans VL '!D19/100/3.6*1000000+C31*'E Balans VL '!E19/100/3.6*1000000</f>
        <v>0</v>
      </c>
      <c r="K9" s="33"/>
      <c r="L9" s="33"/>
      <c r="M9" s="33"/>
      <c r="N9" s="33">
        <f>C31*'E Balans VL '!Y19/100/3.6*1000000</f>
        <v>1821.1843489593825</v>
      </c>
      <c r="O9" s="33"/>
      <c r="P9" s="33"/>
      <c r="R9" s="32"/>
    </row>
    <row r="10" spans="1:18">
      <c r="A10" s="6" t="s">
        <v>41</v>
      </c>
      <c r="B10" s="37">
        <f t="shared" si="0"/>
        <v>9382.32712693131</v>
      </c>
      <c r="C10" s="33"/>
      <c r="D10" s="37">
        <f>IF( ISERROR(IND_voed_gas_kWh/1000),0,IND_voed_gas_kWh/1000)*0.902</f>
        <v>0</v>
      </c>
      <c r="E10" s="33">
        <f>C32*'E Balans VL '!I20/100/3.6*1000000</f>
        <v>19.848458511728271</v>
      </c>
      <c r="F10" s="33">
        <f>C32*'E Balans VL '!L20/100/3.6*1000000+C32*'E Balans VL '!N20/100/3.6*1000000</f>
        <v>596.53794249641317</v>
      </c>
      <c r="G10" s="34"/>
      <c r="H10" s="33"/>
      <c r="I10" s="33"/>
      <c r="J10" s="40">
        <f>C32*'E Balans VL '!D20/100/3.6*1000000+C32*'E Balans VL '!E20/100/3.6*1000000</f>
        <v>0</v>
      </c>
      <c r="K10" s="33"/>
      <c r="L10" s="33"/>
      <c r="M10" s="33"/>
      <c r="N10" s="33">
        <f>C32*'E Balans VL '!Y20/100/3.6*1000000</f>
        <v>647.47315882467512</v>
      </c>
      <c r="O10" s="33"/>
      <c r="P10" s="33"/>
      <c r="R10" s="32"/>
    </row>
    <row r="11" spans="1:18">
      <c r="A11" s="6" t="s">
        <v>40</v>
      </c>
      <c r="B11" s="37">
        <f t="shared" si="0"/>
        <v>2970.0847676040198</v>
      </c>
      <c r="C11" s="33"/>
      <c r="D11" s="37">
        <f>IF( ISERROR(IND_textiel_gas_kWh/1000),0,IND_textiel_gas_kWh/1000)*0.902</f>
        <v>0</v>
      </c>
      <c r="E11" s="33">
        <f>C33*'E Balans VL '!I21/100/3.6*1000000</f>
        <v>8.8208956892493138</v>
      </c>
      <c r="F11" s="33">
        <f>C33*'E Balans VL '!L21/100/3.6*1000000+C33*'E Balans VL '!N21/100/3.6*1000000</f>
        <v>300.06010258156607</v>
      </c>
      <c r="G11" s="34"/>
      <c r="H11" s="33"/>
      <c r="I11" s="33"/>
      <c r="J11" s="40">
        <f>C33*'E Balans VL '!D21/100/3.6*1000000+C33*'E Balans VL '!E21/100/3.6*1000000</f>
        <v>0</v>
      </c>
      <c r="K11" s="33"/>
      <c r="L11" s="33"/>
      <c r="M11" s="33"/>
      <c r="N11" s="33">
        <f>C33*'E Balans VL '!Y21/100/3.6*1000000</f>
        <v>163.80965352601143</v>
      </c>
      <c r="O11" s="33"/>
      <c r="P11" s="33"/>
      <c r="R11" s="32"/>
    </row>
    <row r="12" spans="1:18">
      <c r="A12" s="6" t="s">
        <v>37</v>
      </c>
      <c r="B12" s="37">
        <f t="shared" si="0"/>
        <v>469.52397539269998</v>
      </c>
      <c r="C12" s="33"/>
      <c r="D12" s="37">
        <f>IF( ISERROR(IND_min_gas_kWh/1000),0,IND_min_gas_kWh/1000)*0.902</f>
        <v>273.75065995209087</v>
      </c>
      <c r="E12" s="33">
        <f>C34*'E Balans VL '!I22/100/3.6*1000000</f>
        <v>13.609566704602239</v>
      </c>
      <c r="F12" s="33">
        <f>C34*'E Balans VL '!L22/100/3.6*1000000+C34*'E Balans VL '!N22/100/3.6*1000000</f>
        <v>161.42764847918173</v>
      </c>
      <c r="G12" s="34"/>
      <c r="H12" s="33"/>
      <c r="I12" s="33"/>
      <c r="J12" s="40">
        <f>C34*'E Balans VL '!D22/100/3.6*1000000+C34*'E Balans VL '!E22/100/3.6*1000000</f>
        <v>0.77156938050969726</v>
      </c>
      <c r="K12" s="33"/>
      <c r="L12" s="33"/>
      <c r="M12" s="33"/>
      <c r="N12" s="33">
        <f>C34*'E Balans VL '!Y22/100/3.6*1000000</f>
        <v>102.78651403771477</v>
      </c>
      <c r="O12" s="33"/>
      <c r="P12" s="33"/>
      <c r="R12" s="32"/>
    </row>
    <row r="13" spans="1:18">
      <c r="A13" s="6" t="s">
        <v>39</v>
      </c>
      <c r="B13" s="37">
        <f t="shared" si="0"/>
        <v>49.375836360280701</v>
      </c>
      <c r="C13" s="33"/>
      <c r="D13" s="37">
        <f>IF( ISERROR(IND_papier_gas_kWh/1000),0,IND_papier_gas_kWh/1000)*0.902</f>
        <v>72.736847421963262</v>
      </c>
      <c r="E13" s="33">
        <f>C35*'E Balans VL '!I23/100/3.6*1000000</f>
        <v>7.0053019629123581E-2</v>
      </c>
      <c r="F13" s="33">
        <f>C35*'E Balans VL '!L23/100/3.6*1000000+C35*'E Balans VL '!N23/100/3.6*1000000</f>
        <v>1.2054498306698154</v>
      </c>
      <c r="G13" s="34"/>
      <c r="H13" s="33"/>
      <c r="I13" s="33"/>
      <c r="J13" s="40">
        <f>C35*'E Balans VL '!D23/100/3.6*1000000+C35*'E Balans VL '!E23/100/3.6*1000000</f>
        <v>7.6364366617178514E-3</v>
      </c>
      <c r="K13" s="33"/>
      <c r="L13" s="33"/>
      <c r="M13" s="33"/>
      <c r="N13" s="33">
        <f>C35*'E Balans VL '!Y23/100/3.6*1000000</f>
        <v>143.52386823605667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6141.7227307921303</v>
      </c>
      <c r="C15" s="33"/>
      <c r="D15" s="37">
        <f>IF( ISERROR(IND_rest_gas_kWh/1000),0,IND_rest_gas_kWh/1000)*0.902</f>
        <v>23654.111708685203</v>
      </c>
      <c r="E15" s="33">
        <f>C37*'E Balans VL '!I15/100/3.6*1000000</f>
        <v>339.12100156170982</v>
      </c>
      <c r="F15" s="33">
        <f>C37*'E Balans VL '!L15/100/3.6*1000000+C37*'E Balans VL '!N15/100/3.6*1000000</f>
        <v>1216.4914480693769</v>
      </c>
      <c r="G15" s="34"/>
      <c r="H15" s="33"/>
      <c r="I15" s="33"/>
      <c r="J15" s="40">
        <f>C37*'E Balans VL '!D15/100/3.6*1000000+C37*'E Balans VL '!E15/100/3.6*1000000</f>
        <v>21.987250587522542</v>
      </c>
      <c r="K15" s="33"/>
      <c r="L15" s="33"/>
      <c r="M15" s="33"/>
      <c r="N15" s="33">
        <f>C37*'E Balans VL '!Y15/100/3.6*1000000</f>
        <v>1377.6848126375428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26946.497805506813</v>
      </c>
      <c r="C18" s="21">
        <f>C5+C16</f>
        <v>0</v>
      </c>
      <c r="D18" s="21">
        <f>MAX((D5+D16),0)</f>
        <v>25050.368916282332</v>
      </c>
      <c r="E18" s="21">
        <f>MAX((E5+E16),0)</f>
        <v>2014.9413993473424</v>
      </c>
      <c r="F18" s="21">
        <f>MAX((F5+F16),0)</f>
        <v>6931.9428107999847</v>
      </c>
      <c r="G18" s="21"/>
      <c r="H18" s="21"/>
      <c r="I18" s="21"/>
      <c r="J18" s="21">
        <f>MAX((J5+J16),0)</f>
        <v>22.766456404693958</v>
      </c>
      <c r="K18" s="21"/>
      <c r="L18" s="21">
        <f>MAX((L5+L16),0)</f>
        <v>0</v>
      </c>
      <c r="M18" s="21"/>
      <c r="N18" s="21">
        <f>MAX((N5+N16),0)</f>
        <v>4291.0113797919867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0.20478784039930559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5518.3150919143673</v>
      </c>
      <c r="C22" s="23">
        <f ca="1">C18*C20</f>
        <v>0</v>
      </c>
      <c r="D22" s="23">
        <f>D18*D20</f>
        <v>5060.1745210890313</v>
      </c>
      <c r="E22" s="23">
        <f>E18*E20</f>
        <v>457.39169765184675</v>
      </c>
      <c r="F22" s="23">
        <f>F18*F20</f>
        <v>1850.828730483596</v>
      </c>
      <c r="G22" s="23"/>
      <c r="H22" s="23"/>
      <c r="I22" s="23"/>
      <c r="J22" s="23">
        <f>J18*J20</f>
        <v>8.059325567261661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2421.6629235257701</v>
      </c>
      <c r="C30" s="39">
        <f>IF(ISERROR(B30*3.6/1000000/'E Balans VL '!Z18*100),0,B30*3.6/1000000/'E Balans VL '!Z18*100)</f>
        <v>0.13724184742607592</v>
      </c>
      <c r="D30" s="237" t="s">
        <v>754</v>
      </c>
    </row>
    <row r="31" spans="1:18">
      <c r="A31" s="6" t="s">
        <v>33</v>
      </c>
      <c r="B31" s="37">
        <f>IF( ISERROR(IND_ander_ele_kWh/1000),0,IND_ander_ele_kWh/1000)</f>
        <v>5511.8004449006003</v>
      </c>
      <c r="C31" s="39">
        <f>IF(ISERROR(B31*3.6/1000000/'E Balans VL '!Z19*100),0,B31*3.6/1000000/'E Balans VL '!Z19*100)</f>
        <v>0.24999231744308922</v>
      </c>
      <c r="D31" s="237" t="s">
        <v>754</v>
      </c>
    </row>
    <row r="32" spans="1:18">
      <c r="A32" s="171" t="s">
        <v>41</v>
      </c>
      <c r="B32" s="37">
        <f>IF( ISERROR(IND_voed_ele_kWh/1000),0,IND_voed_ele_kWh/1000)</f>
        <v>9382.32712693131</v>
      </c>
      <c r="C32" s="39">
        <f>IF(ISERROR(B32*3.6/1000000/'E Balans VL '!Z20*100),0,B32*3.6/1000000/'E Balans VL '!Z20*100)</f>
        <v>0.29023797020485087</v>
      </c>
      <c r="D32" s="237" t="s">
        <v>754</v>
      </c>
    </row>
    <row r="33" spans="1:5">
      <c r="A33" s="171" t="s">
        <v>40</v>
      </c>
      <c r="B33" s="37">
        <f>IF( ISERROR(IND_textiel_ele_kWh/1000),0,IND_textiel_ele_kWh/1000)</f>
        <v>2970.0847676040198</v>
      </c>
      <c r="C33" s="39">
        <f>IF(ISERROR(B33*3.6/1000000/'E Balans VL '!Z21*100),0,B33*3.6/1000000/'E Balans VL '!Z21*100)</f>
        <v>0.38726603952228605</v>
      </c>
      <c r="D33" s="237" t="s">
        <v>754</v>
      </c>
    </row>
    <row r="34" spans="1:5">
      <c r="A34" s="171" t="s">
        <v>37</v>
      </c>
      <c r="B34" s="37">
        <f>IF( ISERROR(IND_min_ele_kWh/1000),0,IND_min_ele_kWh/1000)</f>
        <v>469.52397539269998</v>
      </c>
      <c r="C34" s="39">
        <f>IF(ISERROR(B34*3.6/1000000/'E Balans VL '!Z22*100),0,B34*3.6/1000000/'E Balans VL '!Z22*100)</f>
        <v>8.4452714193825537E-2</v>
      </c>
      <c r="D34" s="237" t="s">
        <v>754</v>
      </c>
    </row>
    <row r="35" spans="1:5">
      <c r="A35" s="171" t="s">
        <v>39</v>
      </c>
      <c r="B35" s="37">
        <f>IF( ISERROR(IND_papier_ele_kWh/1000),0,IND_papier_ele_kWh/1000)</f>
        <v>49.375836360280701</v>
      </c>
      <c r="C35" s="39">
        <f>IF(ISERROR(B35*3.6/1000000/'E Balans VL '!Z22*100),0,B35*3.6/1000000/'E Balans VL '!Z22*100)</f>
        <v>8.8811724528619629E-3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6141.7227307921303</v>
      </c>
      <c r="C37" s="39">
        <f>IF(ISERROR(B37*3.6/1000000/'E Balans VL '!Z15*100),0,B37*3.6/1000000/'E Balans VL '!Z15*100)</f>
        <v>4.8680695394393153E-2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1160.6606327473562</v>
      </c>
      <c r="C5" s="17">
        <f>'Eigen informatie GS &amp; warmtenet'!B60</f>
        <v>0</v>
      </c>
      <c r="D5" s="30">
        <f>IF(ISERROR(SUM(LB_lb_gas_kWh,LB_rest_gas_kWh)/1000),0,SUM(LB_lb_gas_kWh,LB_rest_gas_kWh)/1000)*0.902</f>
        <v>58.606559141132287</v>
      </c>
      <c r="E5" s="17">
        <f>B17*'E Balans VL '!I25/3.6*1000000/100</f>
        <v>34.115361063194129</v>
      </c>
      <c r="F5" s="17">
        <f>B17*('E Balans VL '!L25/3.6*1000000+'E Balans VL '!N25/3.6*1000000)/100</f>
        <v>4835.2494772168575</v>
      </c>
      <c r="G5" s="18"/>
      <c r="H5" s="17"/>
      <c r="I5" s="17"/>
      <c r="J5" s="17">
        <f>('E Balans VL '!D25+'E Balans VL '!E25)/3.6*1000000*landbouw!B17/100</f>
        <v>168.15480021268465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1160.6606327473562</v>
      </c>
      <c r="C8" s="21">
        <f>C5+C6</f>
        <v>0</v>
      </c>
      <c r="D8" s="21">
        <f>MAX((D5+D6),0)</f>
        <v>58.606559141132287</v>
      </c>
      <c r="E8" s="21">
        <f>MAX((E5+E6),0)</f>
        <v>34.115361063194129</v>
      </c>
      <c r="F8" s="21">
        <f>MAX((F5+F6),0)</f>
        <v>4835.2494772168575</v>
      </c>
      <c r="G8" s="21"/>
      <c r="H8" s="21"/>
      <c r="I8" s="21"/>
      <c r="J8" s="21">
        <f>MAX((J5+J6),0)</f>
        <v>168.15480021268465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0.20478784039930559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237.68918441682263</v>
      </c>
      <c r="C12" s="23">
        <f ca="1">C8*C10</f>
        <v>0</v>
      </c>
      <c r="D12" s="23">
        <f>D8*D10</f>
        <v>11.838524946508723</v>
      </c>
      <c r="E12" s="23">
        <f>E8*E10</f>
        <v>7.7441869613450676</v>
      </c>
      <c r="F12" s="23">
        <f>F8*F10</f>
        <v>1291.011610416901</v>
      </c>
      <c r="G12" s="23"/>
      <c r="H12" s="23"/>
      <c r="I12" s="23"/>
      <c r="J12" s="23">
        <f>J8*J10</f>
        <v>59.526799275290365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0.16470138524853187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271.50077965068579</v>
      </c>
      <c r="C26" s="247">
        <f>B26*'GWP N2O_CH4'!B5</f>
        <v>5701.5163726644014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114.42335860992308</v>
      </c>
      <c r="C27" s="247">
        <f>B27*'GWP N2O_CH4'!B5</f>
        <v>2402.8905308083849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3.6966709833074631</v>
      </c>
      <c r="C28" s="247">
        <f>B28*'GWP N2O_CH4'!B4</f>
        <v>1145.9680048253135</v>
      </c>
      <c r="D28" s="50"/>
    </row>
    <row r="29" spans="1:4">
      <c r="A29" s="41" t="s">
        <v>277</v>
      </c>
      <c r="B29" s="247">
        <f>B34*'ha_N2O bodem landbouw'!B4</f>
        <v>11.607458158893595</v>
      </c>
      <c r="C29" s="247">
        <f>B29*'GWP N2O_CH4'!B4</f>
        <v>3598.3120292570143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2.6487819507791713E-3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9.9593767253233203E-5</v>
      </c>
      <c r="C5" s="463" t="s">
        <v>211</v>
      </c>
      <c r="D5" s="448">
        <f>SUM(D6:D11)</f>
        <v>3.7416832770853579E-4</v>
      </c>
      <c r="E5" s="448">
        <f>SUM(E6:E11)</f>
        <v>4.9376420451792934E-4</v>
      </c>
      <c r="F5" s="461" t="s">
        <v>211</v>
      </c>
      <c r="G5" s="448">
        <f>SUM(G6:G11)</f>
        <v>0.1886907620566397</v>
      </c>
      <c r="H5" s="448">
        <f>SUM(H6:H11)</f>
        <v>4.2023543140783395E-2</v>
      </c>
      <c r="I5" s="463" t="s">
        <v>211</v>
      </c>
      <c r="J5" s="463" t="s">
        <v>211</v>
      </c>
      <c r="K5" s="463" t="s">
        <v>211</v>
      </c>
      <c r="L5" s="463" t="s">
        <v>211</v>
      </c>
      <c r="M5" s="448">
        <f>SUM(M6:M11)</f>
        <v>1.226403402523582E-2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6.7264059668977358E-5</v>
      </c>
      <c r="C6" s="449"/>
      <c r="D6" s="892">
        <f>vkm_2011_GW_PW*SUMIFS(TableVerdeelsleutelVkm[CNG],TableVerdeelsleutelVkm[Voertuigtype],"Lichte voertuigen")*SUMIFS(TableECFTransport[EnergieConsumptieFactor (PJ per km)],TableECFTransport[Index],CONCATENATE($A6,"_CNG_CNG"))</f>
        <v>2.0175357294832728E-4</v>
      </c>
      <c r="E6" s="892">
        <f>vkm_2011_GW_PW*SUMIFS(TableVerdeelsleutelVkm[LPG],TableVerdeelsleutelVkm[Voertuigtype],"Lichte voertuigen")*SUMIFS(TableECFTransport[EnergieConsumptieFactor (PJ per km)],TableECFTransport[Index],CONCATENATE($A6,"_LPG_LPG"))</f>
        <v>2.7562436111994604E-4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7.1263824968525333E-2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2.2947147438161095E-2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4.8404906317590403E-3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5.432026256311575E-2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1.6555712235893828E-5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3.1742928780250645E-3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3.2329707584255852E-5</v>
      </c>
      <c r="C8" s="449"/>
      <c r="D8" s="451">
        <f>vkm_2011_NGW_PW*SUMIFS(TableVerdeelsleutelVkm[CNG],TableVerdeelsleutelVkm[Voertuigtype],"Lichte voertuigen")*SUMIFS(TableECFTransport[EnergieConsumptieFactor (PJ per km)],TableECFTransport[Index],CONCATENATE($A8,"_CNG_CNG"))</f>
        <v>1.7241475476020848E-4</v>
      </c>
      <c r="E8" s="451">
        <f>vkm_2011_NGW_PW*SUMIFS(TableVerdeelsleutelVkm[LPG],TableVerdeelsleutelVkm[Voertuigtype],"Lichte voertuigen")*SUMIFS(TableECFTransport[EnergieConsumptieFactor (PJ per km)],TableECFTransport[Index],CONCATENATE($A8,"_LPG_LPG"))</f>
        <v>2.1813984339798335E-4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5.2559730569973102E-2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1.9056813821939782E-2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3.6329282478343426E-3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1.054694395502553E-2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3.0261684466218899E-6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6.1632226761737388E-4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27.664935348120334</v>
      </c>
      <c r="C14" s="21"/>
      <c r="D14" s="21">
        <f t="shared" ref="D14:M14" si="0">((D5)*10^9/3600)+D12</f>
        <v>103.93564658570438</v>
      </c>
      <c r="E14" s="21">
        <f t="shared" si="0"/>
        <v>137.1567234772026</v>
      </c>
      <c r="F14" s="21"/>
      <c r="G14" s="21">
        <f t="shared" si="0"/>
        <v>52414.100571288807</v>
      </c>
      <c r="H14" s="21">
        <f t="shared" si="0"/>
        <v>11673.206427995387</v>
      </c>
      <c r="I14" s="21"/>
      <c r="J14" s="21"/>
      <c r="K14" s="21"/>
      <c r="L14" s="21"/>
      <c r="M14" s="21">
        <f t="shared" si="0"/>
        <v>3406.6761181210613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0.20478784039930559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5.6654423647279746</v>
      </c>
      <c r="C18" s="23"/>
      <c r="D18" s="23">
        <f t="shared" ref="D18:M18" si="1">D14*D16</f>
        <v>20.995000610312285</v>
      </c>
      <c r="E18" s="23">
        <f t="shared" si="1"/>
        <v>31.134576229324992</v>
      </c>
      <c r="F18" s="23"/>
      <c r="G18" s="23">
        <f t="shared" si="1"/>
        <v>13994.564852534113</v>
      </c>
      <c r="H18" s="23">
        <f t="shared" si="1"/>
        <v>2906.6284005708512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2.086292291618766E-3</v>
      </c>
      <c r="H50" s="321">
        <f t="shared" si="2"/>
        <v>0</v>
      </c>
      <c r="I50" s="321">
        <f t="shared" si="2"/>
        <v>0</v>
      </c>
      <c r="J50" s="321">
        <f t="shared" si="2"/>
        <v>0</v>
      </c>
      <c r="K50" s="321">
        <f t="shared" si="2"/>
        <v>0</v>
      </c>
      <c r="L50" s="321">
        <f t="shared" si="2"/>
        <v>0</v>
      </c>
      <c r="M50" s="321">
        <f t="shared" si="2"/>
        <v>1.1849219206726401E-4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2.086292291618766E-3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1.1849219206726401E-4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579.52563656076836</v>
      </c>
      <c r="H54" s="21">
        <f t="shared" si="3"/>
        <v>0</v>
      </c>
      <c r="I54" s="21">
        <f t="shared" si="3"/>
        <v>0</v>
      </c>
      <c r="J54" s="21">
        <f t="shared" si="3"/>
        <v>0</v>
      </c>
      <c r="K54" s="21">
        <f t="shared" si="3"/>
        <v>0</v>
      </c>
      <c r="L54" s="21">
        <f t="shared" si="3"/>
        <v>0</v>
      </c>
      <c r="M54" s="21">
        <f t="shared" si="3"/>
        <v>32.914497796462229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0.20478784039930559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154.73334496172515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15071.312110196666</v>
      </c>
      <c r="D10" s="1013">
        <f ca="1">tertiair!C16</f>
        <v>0</v>
      </c>
      <c r="E10" s="1013">
        <f ca="1">tertiair!D16</f>
        <v>12940.073299703176</v>
      </c>
      <c r="F10" s="1013">
        <f>tertiair!E16</f>
        <v>250.50837095870659</v>
      </c>
      <c r="G10" s="1013">
        <f ca="1">tertiair!F16</f>
        <v>2625.2848033177415</v>
      </c>
      <c r="H10" s="1013">
        <f>tertiair!G16</f>
        <v>0</v>
      </c>
      <c r="I10" s="1013">
        <f>tertiair!H16</f>
        <v>0</v>
      </c>
      <c r="J10" s="1013">
        <f>tertiair!I16</f>
        <v>0</v>
      </c>
      <c r="K10" s="1013">
        <f>tertiair!J16</f>
        <v>5.2129563802890556E-2</v>
      </c>
      <c r="L10" s="1013">
        <f>tertiair!K16</f>
        <v>0</v>
      </c>
      <c r="M10" s="1013">
        <f ca="1">tertiair!L16</f>
        <v>0</v>
      </c>
      <c r="N10" s="1013">
        <f>tertiair!M16</f>
        <v>0</v>
      </c>
      <c r="O10" s="1013">
        <f ca="1">tertiair!N16</f>
        <v>2059.8004171484154</v>
      </c>
      <c r="P10" s="1013">
        <f>tertiair!O16</f>
        <v>1.5633333333333335</v>
      </c>
      <c r="Q10" s="1014">
        <f>tertiair!P16</f>
        <v>0</v>
      </c>
      <c r="R10" s="700">
        <f ca="1">SUM(C10:Q10)</f>
        <v>32948.594464221838</v>
      </c>
      <c r="S10" s="67"/>
    </row>
    <row r="11" spans="1:19" s="473" customFormat="1">
      <c r="A11" s="809" t="s">
        <v>225</v>
      </c>
      <c r="B11" s="814"/>
      <c r="C11" s="1013">
        <f>huishoudens!B8</f>
        <v>29813.033851583143</v>
      </c>
      <c r="D11" s="1013">
        <f>huishoudens!C8</f>
        <v>0</v>
      </c>
      <c r="E11" s="1013">
        <f>huishoudens!D8</f>
        <v>38912.943145106881</v>
      </c>
      <c r="F11" s="1013">
        <f>huishoudens!E8</f>
        <v>6532.5983705889848</v>
      </c>
      <c r="G11" s="1013">
        <f>huishoudens!F8</f>
        <v>39026.592112051818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16584.994685817393</v>
      </c>
      <c r="P11" s="1013">
        <f>huishoudens!O8</f>
        <v>442.4233333333334</v>
      </c>
      <c r="Q11" s="1014">
        <f>huishoudens!P8</f>
        <v>838.93333333333339</v>
      </c>
      <c r="R11" s="700">
        <f>SUM(C11:Q11)</f>
        <v>132151.51883181487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26946.497805506813</v>
      </c>
      <c r="D13" s="1013">
        <f>industrie!C18</f>
        <v>0</v>
      </c>
      <c r="E13" s="1013">
        <f>industrie!D18</f>
        <v>25050.368916282332</v>
      </c>
      <c r="F13" s="1013">
        <f>industrie!E18</f>
        <v>2014.9413993473424</v>
      </c>
      <c r="G13" s="1013">
        <f>industrie!F18</f>
        <v>6931.9428107999847</v>
      </c>
      <c r="H13" s="1013">
        <f>industrie!G18</f>
        <v>0</v>
      </c>
      <c r="I13" s="1013">
        <f>industrie!H18</f>
        <v>0</v>
      </c>
      <c r="J13" s="1013">
        <f>industrie!I18</f>
        <v>0</v>
      </c>
      <c r="K13" s="1013">
        <f>industrie!J18</f>
        <v>22.766456404693958</v>
      </c>
      <c r="L13" s="1013">
        <f>industrie!K18</f>
        <v>0</v>
      </c>
      <c r="M13" s="1013">
        <f>industrie!L18</f>
        <v>0</v>
      </c>
      <c r="N13" s="1013">
        <f>industrie!M18</f>
        <v>0</v>
      </c>
      <c r="O13" s="1013">
        <f>industrie!N18</f>
        <v>4291.0113797919867</v>
      </c>
      <c r="P13" s="1013">
        <f>industrie!O18</f>
        <v>0</v>
      </c>
      <c r="Q13" s="1014">
        <f>industrie!P18</f>
        <v>0</v>
      </c>
      <c r="R13" s="700">
        <f>SUM(C13:Q13)</f>
        <v>65257.528768133154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71830.843767286628</v>
      </c>
      <c r="D16" s="732">
        <f t="shared" ref="D16:R16" ca="1" si="0">SUM(D9:D15)</f>
        <v>0</v>
      </c>
      <c r="E16" s="732">
        <f t="shared" ca="1" si="0"/>
        <v>76903.385361092383</v>
      </c>
      <c r="F16" s="732">
        <f t="shared" si="0"/>
        <v>8798.0481408950345</v>
      </c>
      <c r="G16" s="732">
        <f t="shared" ca="1" si="0"/>
        <v>48583.819726169546</v>
      </c>
      <c r="H16" s="732">
        <f t="shared" si="0"/>
        <v>0</v>
      </c>
      <c r="I16" s="732">
        <f t="shared" si="0"/>
        <v>0</v>
      </c>
      <c r="J16" s="732">
        <f t="shared" si="0"/>
        <v>0</v>
      </c>
      <c r="K16" s="732">
        <f t="shared" si="0"/>
        <v>22.818585968496848</v>
      </c>
      <c r="L16" s="732">
        <f t="shared" si="0"/>
        <v>0</v>
      </c>
      <c r="M16" s="732">
        <f t="shared" ca="1" si="0"/>
        <v>0</v>
      </c>
      <c r="N16" s="732">
        <f t="shared" si="0"/>
        <v>0</v>
      </c>
      <c r="O16" s="732">
        <f t="shared" ca="1" si="0"/>
        <v>22935.806482757795</v>
      </c>
      <c r="P16" s="732">
        <f t="shared" si="0"/>
        <v>443.98666666666674</v>
      </c>
      <c r="Q16" s="732">
        <f t="shared" si="0"/>
        <v>838.93333333333339</v>
      </c>
      <c r="R16" s="732">
        <f t="shared" ca="1" si="0"/>
        <v>230357.64206416986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579.52563656076836</v>
      </c>
      <c r="I19" s="1013">
        <f>transport!H54</f>
        <v>0</v>
      </c>
      <c r="J19" s="1013">
        <f>transport!I54</f>
        <v>0</v>
      </c>
      <c r="K19" s="1013">
        <f>transport!J54</f>
        <v>0</v>
      </c>
      <c r="L19" s="1013">
        <f>transport!K54</f>
        <v>0</v>
      </c>
      <c r="M19" s="1013">
        <f>transport!L54</f>
        <v>0</v>
      </c>
      <c r="N19" s="1013">
        <f>transport!M54</f>
        <v>32.914497796462229</v>
      </c>
      <c r="O19" s="1013">
        <f>transport!N54</f>
        <v>0</v>
      </c>
      <c r="P19" s="1013">
        <f>transport!O54</f>
        <v>0</v>
      </c>
      <c r="Q19" s="1014">
        <f>transport!P54</f>
        <v>0</v>
      </c>
      <c r="R19" s="700">
        <f>SUM(C19:Q19)</f>
        <v>612.44013435723059</v>
      </c>
      <c r="S19" s="67"/>
    </row>
    <row r="20" spans="1:19" s="473" customFormat="1">
      <c r="A20" s="809" t="s">
        <v>307</v>
      </c>
      <c r="B20" s="814"/>
      <c r="C20" s="1013">
        <f>transport!B14</f>
        <v>27.664935348120334</v>
      </c>
      <c r="D20" s="1013">
        <f>transport!C14</f>
        <v>0</v>
      </c>
      <c r="E20" s="1013">
        <f>transport!D14</f>
        <v>103.93564658570438</v>
      </c>
      <c r="F20" s="1013">
        <f>transport!E14</f>
        <v>137.1567234772026</v>
      </c>
      <c r="G20" s="1013">
        <f>transport!F14</f>
        <v>0</v>
      </c>
      <c r="H20" s="1013">
        <f>transport!G14</f>
        <v>52414.100571288807</v>
      </c>
      <c r="I20" s="1013">
        <f>transport!H14</f>
        <v>11673.206427995387</v>
      </c>
      <c r="J20" s="1013">
        <f>transport!I14</f>
        <v>0</v>
      </c>
      <c r="K20" s="1013">
        <f>transport!J14</f>
        <v>0</v>
      </c>
      <c r="L20" s="1013">
        <f>transport!K14</f>
        <v>0</v>
      </c>
      <c r="M20" s="1013">
        <f>transport!L14</f>
        <v>0</v>
      </c>
      <c r="N20" s="1013">
        <f>transport!M14</f>
        <v>3406.6761181210613</v>
      </c>
      <c r="O20" s="1013">
        <f>transport!N14</f>
        <v>0</v>
      </c>
      <c r="P20" s="1013">
        <f>transport!O14</f>
        <v>0</v>
      </c>
      <c r="Q20" s="1014">
        <f>transport!P14</f>
        <v>0</v>
      </c>
      <c r="R20" s="700">
        <f>SUM(C20:Q20)</f>
        <v>67762.740422816278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27.664935348120334</v>
      </c>
      <c r="D22" s="812">
        <f t="shared" ref="D22:R22" si="1">SUM(D18:D21)</f>
        <v>0</v>
      </c>
      <c r="E22" s="812">
        <f t="shared" si="1"/>
        <v>103.93564658570438</v>
      </c>
      <c r="F22" s="812">
        <f t="shared" si="1"/>
        <v>137.1567234772026</v>
      </c>
      <c r="G22" s="812">
        <f t="shared" si="1"/>
        <v>0</v>
      </c>
      <c r="H22" s="812">
        <f t="shared" si="1"/>
        <v>52993.626207849578</v>
      </c>
      <c r="I22" s="812">
        <f t="shared" si="1"/>
        <v>11673.206427995387</v>
      </c>
      <c r="J22" s="812">
        <f t="shared" si="1"/>
        <v>0</v>
      </c>
      <c r="K22" s="812">
        <f t="shared" si="1"/>
        <v>0</v>
      </c>
      <c r="L22" s="812">
        <f t="shared" si="1"/>
        <v>0</v>
      </c>
      <c r="M22" s="812">
        <f t="shared" si="1"/>
        <v>0</v>
      </c>
      <c r="N22" s="812">
        <f t="shared" si="1"/>
        <v>3439.5906159175238</v>
      </c>
      <c r="O22" s="812">
        <f t="shared" si="1"/>
        <v>0</v>
      </c>
      <c r="P22" s="812">
        <f t="shared" si="1"/>
        <v>0</v>
      </c>
      <c r="Q22" s="812">
        <f t="shared" si="1"/>
        <v>0</v>
      </c>
      <c r="R22" s="812">
        <f t="shared" si="1"/>
        <v>68375.180557173502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1160.6606327473562</v>
      </c>
      <c r="D24" s="1013">
        <f>+landbouw!C8</f>
        <v>0</v>
      </c>
      <c r="E24" s="1013">
        <f>+landbouw!D8</f>
        <v>58.606559141132287</v>
      </c>
      <c r="F24" s="1013">
        <f>+landbouw!E8</f>
        <v>34.115361063194129</v>
      </c>
      <c r="G24" s="1013">
        <f>+landbouw!F8</f>
        <v>4835.2494772168575</v>
      </c>
      <c r="H24" s="1013">
        <f>+landbouw!G8</f>
        <v>0</v>
      </c>
      <c r="I24" s="1013">
        <f>+landbouw!H8</f>
        <v>0</v>
      </c>
      <c r="J24" s="1013">
        <f>+landbouw!I8</f>
        <v>0</v>
      </c>
      <c r="K24" s="1013">
        <f>+landbouw!J8</f>
        <v>168.15480021268465</v>
      </c>
      <c r="L24" s="1013">
        <f>+landbouw!K8</f>
        <v>0</v>
      </c>
      <c r="M24" s="1013">
        <f>+landbouw!L8</f>
        <v>0</v>
      </c>
      <c r="N24" s="1013">
        <f>+landbouw!M8</f>
        <v>0</v>
      </c>
      <c r="O24" s="1013">
        <f>+landbouw!N8</f>
        <v>0</v>
      </c>
      <c r="P24" s="1013">
        <f>+landbouw!O8</f>
        <v>0</v>
      </c>
      <c r="Q24" s="1014">
        <f>+landbouw!P8</f>
        <v>0</v>
      </c>
      <c r="R24" s="700">
        <f>SUM(C24:Q24)</f>
        <v>6256.7868303812247</v>
      </c>
      <c r="S24" s="67"/>
    </row>
    <row r="25" spans="1:19" s="473" customFormat="1" ht="15" thickBot="1">
      <c r="A25" s="831" t="s">
        <v>836</v>
      </c>
      <c r="B25" s="1016"/>
      <c r="C25" s="1017">
        <f>IF(Onbekend_ele_kWh="---",0,Onbekend_ele_kWh)/1000+IF(REST_rest_ele_kWh="---",0,REST_rest_ele_kWh)/1000</f>
        <v>971.88131503505895</v>
      </c>
      <c r="D25" s="1017"/>
      <c r="E25" s="1017">
        <f>IF(onbekend_gas_kWh="---",0,onbekend_gas_kWh)/1000+IF(REST_rest_gas_kWh="---",0,REST_rest_gas_kWh)/1000</f>
        <v>780.36595754235793</v>
      </c>
      <c r="F25" s="1017"/>
      <c r="G25" s="1017"/>
      <c r="H25" s="1017"/>
      <c r="I25" s="1017"/>
      <c r="J25" s="1017"/>
      <c r="K25" s="1017"/>
      <c r="L25" s="1017"/>
      <c r="M25" s="1017"/>
      <c r="N25" s="1017"/>
      <c r="O25" s="1017"/>
      <c r="P25" s="1017"/>
      <c r="Q25" s="1018"/>
      <c r="R25" s="700">
        <f>SUM(C25:Q25)</f>
        <v>1752.2472725774169</v>
      </c>
      <c r="S25" s="67"/>
    </row>
    <row r="26" spans="1:19" s="473" customFormat="1" ht="15.75" thickBot="1">
      <c r="A26" s="705" t="s">
        <v>837</v>
      </c>
      <c r="B26" s="817"/>
      <c r="C26" s="812">
        <f>SUM(C24:C25)</f>
        <v>2132.5419477824153</v>
      </c>
      <c r="D26" s="812">
        <f t="shared" ref="D26:R26" si="2">SUM(D24:D25)</f>
        <v>0</v>
      </c>
      <c r="E26" s="812">
        <f t="shared" si="2"/>
        <v>838.9725166834902</v>
      </c>
      <c r="F26" s="812">
        <f t="shared" si="2"/>
        <v>34.115361063194129</v>
      </c>
      <c r="G26" s="812">
        <f t="shared" si="2"/>
        <v>4835.2494772168575</v>
      </c>
      <c r="H26" s="812">
        <f t="shared" si="2"/>
        <v>0</v>
      </c>
      <c r="I26" s="812">
        <f t="shared" si="2"/>
        <v>0</v>
      </c>
      <c r="J26" s="812">
        <f t="shared" si="2"/>
        <v>0</v>
      </c>
      <c r="K26" s="812">
        <f t="shared" si="2"/>
        <v>168.15480021268465</v>
      </c>
      <c r="L26" s="812">
        <f t="shared" si="2"/>
        <v>0</v>
      </c>
      <c r="M26" s="812">
        <f t="shared" si="2"/>
        <v>0</v>
      </c>
      <c r="N26" s="812">
        <f t="shared" si="2"/>
        <v>0</v>
      </c>
      <c r="O26" s="812">
        <f t="shared" si="2"/>
        <v>0</v>
      </c>
      <c r="P26" s="812">
        <f t="shared" si="2"/>
        <v>0</v>
      </c>
      <c r="Q26" s="812">
        <f t="shared" si="2"/>
        <v>0</v>
      </c>
      <c r="R26" s="812">
        <f t="shared" si="2"/>
        <v>8009.0341029586416</v>
      </c>
      <c r="S26" s="67"/>
    </row>
    <row r="27" spans="1:19" s="473" customFormat="1" ht="17.25" thickTop="1" thickBot="1">
      <c r="A27" s="706" t="s">
        <v>116</v>
      </c>
      <c r="B27" s="805"/>
      <c r="C27" s="707">
        <f ca="1">C22+C16+C26</f>
        <v>73991.050650417164</v>
      </c>
      <c r="D27" s="707">
        <f t="shared" ref="D27:R27" ca="1" si="3">D22+D16+D26</f>
        <v>0</v>
      </c>
      <c r="E27" s="707">
        <f t="shared" ca="1" si="3"/>
        <v>77846.293524361565</v>
      </c>
      <c r="F27" s="707">
        <f t="shared" si="3"/>
        <v>8969.320225435431</v>
      </c>
      <c r="G27" s="707">
        <f t="shared" ca="1" si="3"/>
        <v>53419.069203386403</v>
      </c>
      <c r="H27" s="707">
        <f t="shared" si="3"/>
        <v>52993.626207849578</v>
      </c>
      <c r="I27" s="707">
        <f t="shared" si="3"/>
        <v>11673.206427995387</v>
      </c>
      <c r="J27" s="707">
        <f t="shared" si="3"/>
        <v>0</v>
      </c>
      <c r="K27" s="707">
        <f t="shared" si="3"/>
        <v>190.9733861811815</v>
      </c>
      <c r="L27" s="707">
        <f t="shared" si="3"/>
        <v>0</v>
      </c>
      <c r="M27" s="707">
        <f t="shared" ca="1" si="3"/>
        <v>0</v>
      </c>
      <c r="N27" s="707">
        <f t="shared" si="3"/>
        <v>3439.5906159175238</v>
      </c>
      <c r="O27" s="707">
        <f t="shared" ca="1" si="3"/>
        <v>22935.806482757795</v>
      </c>
      <c r="P27" s="707">
        <f t="shared" si="3"/>
        <v>443.98666666666674</v>
      </c>
      <c r="Q27" s="707">
        <f t="shared" si="3"/>
        <v>838.93333333333339</v>
      </c>
      <c r="R27" s="707">
        <f t="shared" ca="1" si="3"/>
        <v>306741.85672430199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3086.4214590310767</v>
      </c>
      <c r="D40" s="1013">
        <f ca="1">tertiair!C20</f>
        <v>0</v>
      </c>
      <c r="E40" s="1013">
        <f ca="1">tertiair!D20</f>
        <v>2613.8948065400418</v>
      </c>
      <c r="F40" s="1013">
        <f>tertiair!E20</f>
        <v>56.865400207626401</v>
      </c>
      <c r="G40" s="1013">
        <f ca="1">tertiair!F20</f>
        <v>700.95104248583698</v>
      </c>
      <c r="H40" s="1013">
        <f>tertiair!G20</f>
        <v>0</v>
      </c>
      <c r="I40" s="1013">
        <f>tertiair!H20</f>
        <v>0</v>
      </c>
      <c r="J40" s="1013">
        <f>tertiair!I20</f>
        <v>0</v>
      </c>
      <c r="K40" s="1013">
        <f>tertiair!J20</f>
        <v>1.8453865586223257E-2</v>
      </c>
      <c r="L40" s="1013">
        <f>tertiair!K20</f>
        <v>0</v>
      </c>
      <c r="M40" s="1013">
        <f ca="1">tertiair!L20</f>
        <v>0</v>
      </c>
      <c r="N40" s="1013">
        <f>tertiair!M20</f>
        <v>0</v>
      </c>
      <c r="O40" s="1013">
        <f ca="1">tertiair!N20</f>
        <v>0</v>
      </c>
      <c r="P40" s="1013">
        <f>tertiair!O20</f>
        <v>0</v>
      </c>
      <c r="Q40" s="774">
        <f>tertiair!P20</f>
        <v>0</v>
      </c>
      <c r="R40" s="850">
        <f t="shared" ca="1" si="4"/>
        <v>6458.1511621301679</v>
      </c>
    </row>
    <row r="41" spans="1:18">
      <c r="A41" s="822" t="s">
        <v>225</v>
      </c>
      <c r="B41" s="829"/>
      <c r="C41" s="1013">
        <f ca="1">huishoudens!B12</f>
        <v>6105.3468182171036</v>
      </c>
      <c r="D41" s="1013">
        <f ca="1">huishoudens!C12</f>
        <v>0</v>
      </c>
      <c r="E41" s="1013">
        <f>huishoudens!D12</f>
        <v>7860.4145153115905</v>
      </c>
      <c r="F41" s="1013">
        <f>huishoudens!E12</f>
        <v>1482.8998301236995</v>
      </c>
      <c r="G41" s="1013">
        <f>huishoudens!F12</f>
        <v>10420.100093917836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25868.76125757023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5518.3150919143673</v>
      </c>
      <c r="D43" s="1013">
        <f ca="1">industrie!C22</f>
        <v>0</v>
      </c>
      <c r="E43" s="1013">
        <f>industrie!D22</f>
        <v>5060.1745210890313</v>
      </c>
      <c r="F43" s="1013">
        <f>industrie!E22</f>
        <v>457.39169765184675</v>
      </c>
      <c r="G43" s="1013">
        <f>industrie!F22</f>
        <v>1850.828730483596</v>
      </c>
      <c r="H43" s="1013">
        <f>industrie!G22</f>
        <v>0</v>
      </c>
      <c r="I43" s="1013">
        <f>industrie!H22</f>
        <v>0</v>
      </c>
      <c r="J43" s="1013">
        <f>industrie!I22</f>
        <v>0</v>
      </c>
      <c r="K43" s="1013">
        <f>industrie!J22</f>
        <v>8.059325567261661</v>
      </c>
      <c r="L43" s="1013">
        <f>industrie!K22</f>
        <v>0</v>
      </c>
      <c r="M43" s="1013">
        <f>industrie!L22</f>
        <v>0</v>
      </c>
      <c r="N43" s="1013">
        <f>industrie!M22</f>
        <v>0</v>
      </c>
      <c r="O43" s="1013">
        <f>industrie!N22</f>
        <v>0</v>
      </c>
      <c r="P43" s="1013">
        <f>industrie!O22</f>
        <v>0</v>
      </c>
      <c r="Q43" s="774">
        <f>industrie!P22</f>
        <v>0</v>
      </c>
      <c r="R43" s="849">
        <f t="shared" ca="1" si="4"/>
        <v>12894.769366706103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14710.083369162548</v>
      </c>
      <c r="D46" s="732">
        <f t="shared" ref="D46:Q46" ca="1" si="5">SUM(D39:D45)</f>
        <v>0</v>
      </c>
      <c r="E46" s="732">
        <f t="shared" ca="1" si="5"/>
        <v>15534.483842940665</v>
      </c>
      <c r="F46" s="732">
        <f t="shared" si="5"/>
        <v>1997.1569279831726</v>
      </c>
      <c r="G46" s="732">
        <f t="shared" ca="1" si="5"/>
        <v>12971.879866887268</v>
      </c>
      <c r="H46" s="732">
        <f t="shared" si="5"/>
        <v>0</v>
      </c>
      <c r="I46" s="732">
        <f t="shared" si="5"/>
        <v>0</v>
      </c>
      <c r="J46" s="732">
        <f t="shared" si="5"/>
        <v>0</v>
      </c>
      <c r="K46" s="732">
        <f t="shared" si="5"/>
        <v>8.0777794328478851</v>
      </c>
      <c r="L46" s="732">
        <f t="shared" si="5"/>
        <v>0</v>
      </c>
      <c r="M46" s="732">
        <f t="shared" ca="1" si="5"/>
        <v>0</v>
      </c>
      <c r="N46" s="732">
        <f t="shared" si="5"/>
        <v>0</v>
      </c>
      <c r="O46" s="732">
        <f t="shared" ca="1" si="5"/>
        <v>0</v>
      </c>
      <c r="P46" s="732">
        <f t="shared" si="5"/>
        <v>0</v>
      </c>
      <c r="Q46" s="732">
        <f t="shared" si="5"/>
        <v>0</v>
      </c>
      <c r="R46" s="732">
        <f ca="1">SUM(R39:R45)</f>
        <v>45221.681786406501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154.73334496172515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154.73334496172515</v>
      </c>
    </row>
    <row r="50" spans="1:18">
      <c r="A50" s="825" t="s">
        <v>307</v>
      </c>
      <c r="B50" s="835"/>
      <c r="C50" s="703">
        <f ca="1">transport!B18</f>
        <v>5.6654423647279746</v>
      </c>
      <c r="D50" s="703">
        <f>transport!C18</f>
        <v>0</v>
      </c>
      <c r="E50" s="703">
        <f>transport!D18</f>
        <v>20.995000610312285</v>
      </c>
      <c r="F50" s="703">
        <f>transport!E18</f>
        <v>31.134576229324992</v>
      </c>
      <c r="G50" s="703">
        <f>transport!F18</f>
        <v>0</v>
      </c>
      <c r="H50" s="703">
        <f>transport!G18</f>
        <v>13994.564852534113</v>
      </c>
      <c r="I50" s="703">
        <f>transport!H18</f>
        <v>2906.6284005708512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16958.988272309329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5.6654423647279746</v>
      </c>
      <c r="D52" s="732">
        <f t="shared" ref="D52:Q52" ca="1" si="6">SUM(D48:D51)</f>
        <v>0</v>
      </c>
      <c r="E52" s="732">
        <f t="shared" si="6"/>
        <v>20.995000610312285</v>
      </c>
      <c r="F52" s="732">
        <f t="shared" si="6"/>
        <v>31.134576229324992</v>
      </c>
      <c r="G52" s="732">
        <f t="shared" si="6"/>
        <v>0</v>
      </c>
      <c r="H52" s="732">
        <f t="shared" si="6"/>
        <v>14149.298197495838</v>
      </c>
      <c r="I52" s="732">
        <f t="shared" si="6"/>
        <v>2906.6284005708512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17113.721617271054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237.68918441682263</v>
      </c>
      <c r="D54" s="703">
        <f ca="1">+landbouw!C12</f>
        <v>0</v>
      </c>
      <c r="E54" s="703">
        <f>+landbouw!D12</f>
        <v>11.838524946508723</v>
      </c>
      <c r="F54" s="703">
        <f>+landbouw!E12</f>
        <v>7.7441869613450676</v>
      </c>
      <c r="G54" s="703">
        <f>+landbouw!F12</f>
        <v>1291.011610416901</v>
      </c>
      <c r="H54" s="703">
        <f>+landbouw!G12</f>
        <v>0</v>
      </c>
      <c r="I54" s="703">
        <f>+landbouw!H12</f>
        <v>0</v>
      </c>
      <c r="J54" s="703">
        <f>+landbouw!I12</f>
        <v>0</v>
      </c>
      <c r="K54" s="703">
        <f>+landbouw!J12</f>
        <v>59.526799275290365</v>
      </c>
      <c r="L54" s="703">
        <f>+landbouw!K12</f>
        <v>0</v>
      </c>
      <c r="M54" s="703">
        <f>+landbouw!L12</f>
        <v>0</v>
      </c>
      <c r="N54" s="703">
        <f>+landbouw!M12</f>
        <v>0</v>
      </c>
      <c r="O54" s="703">
        <f>+landbouw!N12</f>
        <v>0</v>
      </c>
      <c r="P54" s="703">
        <f>+landbouw!O12</f>
        <v>0</v>
      </c>
      <c r="Q54" s="704">
        <f>+landbouw!P12</f>
        <v>0</v>
      </c>
      <c r="R54" s="731">
        <f ca="1">SUM(C54:Q54)</f>
        <v>1607.8103060168678</v>
      </c>
    </row>
    <row r="55" spans="1:18" ht="15" thickBot="1">
      <c r="A55" s="825" t="s">
        <v>836</v>
      </c>
      <c r="B55" s="835"/>
      <c r="C55" s="703">
        <f ca="1">C25*'EF ele_warmte'!B12</f>
        <v>199.02947563046689</v>
      </c>
      <c r="D55" s="703"/>
      <c r="E55" s="703">
        <f>E25*EF_CO2_aardgas</f>
        <v>157.63392342355633</v>
      </c>
      <c r="F55" s="703"/>
      <c r="G55" s="703"/>
      <c r="H55" s="703"/>
      <c r="I55" s="703"/>
      <c r="J55" s="703"/>
      <c r="K55" s="703"/>
      <c r="L55" s="703"/>
      <c r="M55" s="703"/>
      <c r="N55" s="703"/>
      <c r="O55" s="703"/>
      <c r="P55" s="703"/>
      <c r="Q55" s="704"/>
      <c r="R55" s="731">
        <f ca="1">SUM(C55:Q55)</f>
        <v>356.66339905402322</v>
      </c>
    </row>
    <row r="56" spans="1:18" ht="15.75" thickBot="1">
      <c r="A56" s="823" t="s">
        <v>837</v>
      </c>
      <c r="B56" s="836"/>
      <c r="C56" s="732">
        <f ca="1">SUM(C54:C55)</f>
        <v>436.71866004728952</v>
      </c>
      <c r="D56" s="732">
        <f t="shared" ref="D56:Q56" ca="1" si="7">SUM(D54:D55)</f>
        <v>0</v>
      </c>
      <c r="E56" s="732">
        <f t="shared" si="7"/>
        <v>169.47244837006505</v>
      </c>
      <c r="F56" s="732">
        <f t="shared" si="7"/>
        <v>7.7441869613450676</v>
      </c>
      <c r="G56" s="732">
        <f t="shared" si="7"/>
        <v>1291.011610416901</v>
      </c>
      <c r="H56" s="732">
        <f t="shared" si="7"/>
        <v>0</v>
      </c>
      <c r="I56" s="732">
        <f t="shared" si="7"/>
        <v>0</v>
      </c>
      <c r="J56" s="732">
        <f t="shared" si="7"/>
        <v>0</v>
      </c>
      <c r="K56" s="732">
        <f t="shared" si="7"/>
        <v>59.526799275290365</v>
      </c>
      <c r="L56" s="732">
        <f t="shared" si="7"/>
        <v>0</v>
      </c>
      <c r="M56" s="732">
        <f t="shared" si="7"/>
        <v>0</v>
      </c>
      <c r="N56" s="732">
        <f t="shared" si="7"/>
        <v>0</v>
      </c>
      <c r="O56" s="732">
        <f t="shared" si="7"/>
        <v>0</v>
      </c>
      <c r="P56" s="732">
        <f t="shared" si="7"/>
        <v>0</v>
      </c>
      <c r="Q56" s="733">
        <f t="shared" si="7"/>
        <v>0</v>
      </c>
      <c r="R56" s="734">
        <f ca="1">SUM(R54:R55)</f>
        <v>1964.4737050708909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15152.467471574566</v>
      </c>
      <c r="D61" s="740">
        <f t="shared" ref="D61:Q61" ca="1" si="8">D46+D52+D56</f>
        <v>0</v>
      </c>
      <c r="E61" s="740">
        <f t="shared" ca="1" si="8"/>
        <v>15724.951291921041</v>
      </c>
      <c r="F61" s="740">
        <f t="shared" si="8"/>
        <v>2036.0356911738427</v>
      </c>
      <c r="G61" s="740">
        <f t="shared" ca="1" si="8"/>
        <v>14262.891477304169</v>
      </c>
      <c r="H61" s="740">
        <f t="shared" si="8"/>
        <v>14149.298197495838</v>
      </c>
      <c r="I61" s="740">
        <f t="shared" si="8"/>
        <v>2906.6284005708512</v>
      </c>
      <c r="J61" s="740">
        <f t="shared" si="8"/>
        <v>0</v>
      </c>
      <c r="K61" s="740">
        <f t="shared" si="8"/>
        <v>67.604578708138249</v>
      </c>
      <c r="L61" s="740">
        <f t="shared" si="8"/>
        <v>0</v>
      </c>
      <c r="M61" s="740">
        <f t="shared" ca="1" si="8"/>
        <v>0</v>
      </c>
      <c r="N61" s="740">
        <f t="shared" si="8"/>
        <v>0</v>
      </c>
      <c r="O61" s="740">
        <f t="shared" ca="1" si="8"/>
        <v>0</v>
      </c>
      <c r="P61" s="740">
        <f t="shared" si="8"/>
        <v>0</v>
      </c>
      <c r="Q61" s="740">
        <f t="shared" si="8"/>
        <v>0</v>
      </c>
      <c r="R61" s="740">
        <f ca="1">R46+R52+R56</f>
        <v>64299.877108748449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0.20478784039930559</v>
      </c>
      <c r="D63" s="781">
        <f t="shared" ca="1" si="9"/>
        <v>0</v>
      </c>
      <c r="E63" s="1024">
        <f t="shared" ca="1" si="9"/>
        <v>0.20200000000000007</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5427.8494215729734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5427.8494215729734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5427.8494215729734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5427.8494215729734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29813.033851583143</v>
      </c>
      <c r="C4" s="477">
        <f>huishoudens!C8</f>
        <v>0</v>
      </c>
      <c r="D4" s="477">
        <f>huishoudens!D8</f>
        <v>38912.943145106881</v>
      </c>
      <c r="E4" s="477">
        <f>huishoudens!E8</f>
        <v>6532.5983705889848</v>
      </c>
      <c r="F4" s="477">
        <f>huishoudens!F8</f>
        <v>39026.592112051818</v>
      </c>
      <c r="G4" s="477">
        <f>huishoudens!G8</f>
        <v>0</v>
      </c>
      <c r="H4" s="477">
        <f>huishoudens!H8</f>
        <v>0</v>
      </c>
      <c r="I4" s="477">
        <f>huishoudens!I8</f>
        <v>0</v>
      </c>
      <c r="J4" s="477">
        <f>huishoudens!J8</f>
        <v>0</v>
      </c>
      <c r="K4" s="477">
        <f>huishoudens!K8</f>
        <v>0</v>
      </c>
      <c r="L4" s="477">
        <f>huishoudens!L8</f>
        <v>0</v>
      </c>
      <c r="M4" s="477">
        <f>huishoudens!M8</f>
        <v>0</v>
      </c>
      <c r="N4" s="477">
        <f>huishoudens!N8</f>
        <v>16584.994685817393</v>
      </c>
      <c r="O4" s="477">
        <f>huishoudens!O8</f>
        <v>442.4233333333334</v>
      </c>
      <c r="P4" s="478">
        <f>huishoudens!P8</f>
        <v>838.93333333333339</v>
      </c>
      <c r="Q4" s="479">
        <f>SUM(B4:P4)</f>
        <v>132151.51883181487</v>
      </c>
    </row>
    <row r="5" spans="1:17">
      <c r="A5" s="476" t="s">
        <v>156</v>
      </c>
      <c r="B5" s="477">
        <f ca="1">tertiair!B16</f>
        <v>14071.664110196667</v>
      </c>
      <c r="C5" s="477">
        <f ca="1">tertiair!C16</f>
        <v>0</v>
      </c>
      <c r="D5" s="477">
        <f ca="1">tertiair!D16</f>
        <v>12940.073299703176</v>
      </c>
      <c r="E5" s="477">
        <f>tertiair!E16</f>
        <v>250.50837095870659</v>
      </c>
      <c r="F5" s="477">
        <f ca="1">tertiair!F16</f>
        <v>2625.2848033177415</v>
      </c>
      <c r="G5" s="477">
        <f>tertiair!G16</f>
        <v>0</v>
      </c>
      <c r="H5" s="477">
        <f>tertiair!H16</f>
        <v>0</v>
      </c>
      <c r="I5" s="477">
        <f>tertiair!I16</f>
        <v>0</v>
      </c>
      <c r="J5" s="477">
        <f>tertiair!J16</f>
        <v>5.2129563802890556E-2</v>
      </c>
      <c r="K5" s="477">
        <f>tertiair!K16</f>
        <v>0</v>
      </c>
      <c r="L5" s="477">
        <f ca="1">tertiair!L16</f>
        <v>0</v>
      </c>
      <c r="M5" s="477">
        <f>tertiair!M16</f>
        <v>0</v>
      </c>
      <c r="N5" s="477">
        <f ca="1">tertiair!N16</f>
        <v>2059.8004171484154</v>
      </c>
      <c r="O5" s="477">
        <f>tertiair!O16</f>
        <v>1.5633333333333335</v>
      </c>
      <c r="P5" s="478">
        <f>tertiair!P16</f>
        <v>0</v>
      </c>
      <c r="Q5" s="476">
        <f t="shared" ref="Q5:Q14" ca="1" si="0">SUM(B5:P5)</f>
        <v>31948.946464221837</v>
      </c>
    </row>
    <row r="6" spans="1:17">
      <c r="A6" s="476" t="s">
        <v>194</v>
      </c>
      <c r="B6" s="477">
        <f>'openbare verlichting'!B8</f>
        <v>999.64800000000002</v>
      </c>
      <c r="C6" s="477"/>
      <c r="D6" s="477"/>
      <c r="E6" s="477"/>
      <c r="F6" s="477"/>
      <c r="G6" s="477"/>
      <c r="H6" s="477"/>
      <c r="I6" s="477"/>
      <c r="J6" s="477"/>
      <c r="K6" s="477"/>
      <c r="L6" s="477"/>
      <c r="M6" s="477"/>
      <c r="N6" s="477"/>
      <c r="O6" s="477"/>
      <c r="P6" s="478"/>
      <c r="Q6" s="476">
        <f t="shared" si="0"/>
        <v>999.64800000000002</v>
      </c>
    </row>
    <row r="7" spans="1:17">
      <c r="A7" s="476" t="s">
        <v>112</v>
      </c>
      <c r="B7" s="477">
        <f>landbouw!B8</f>
        <v>1160.6606327473562</v>
      </c>
      <c r="C7" s="477">
        <f>landbouw!C8</f>
        <v>0</v>
      </c>
      <c r="D7" s="477">
        <f>landbouw!D8</f>
        <v>58.606559141132287</v>
      </c>
      <c r="E7" s="477">
        <f>landbouw!E8</f>
        <v>34.115361063194129</v>
      </c>
      <c r="F7" s="477">
        <f>landbouw!F8</f>
        <v>4835.2494772168575</v>
      </c>
      <c r="G7" s="477">
        <f>landbouw!G8</f>
        <v>0</v>
      </c>
      <c r="H7" s="477">
        <f>landbouw!H8</f>
        <v>0</v>
      </c>
      <c r="I7" s="477">
        <f>landbouw!I8</f>
        <v>0</v>
      </c>
      <c r="J7" s="477">
        <f>landbouw!J8</f>
        <v>168.15480021268465</v>
      </c>
      <c r="K7" s="477">
        <f>landbouw!K8</f>
        <v>0</v>
      </c>
      <c r="L7" s="477">
        <f>landbouw!L8</f>
        <v>0</v>
      </c>
      <c r="M7" s="477">
        <f>landbouw!M8</f>
        <v>0</v>
      </c>
      <c r="N7" s="477">
        <f>landbouw!N8</f>
        <v>0</v>
      </c>
      <c r="O7" s="477">
        <f>landbouw!O8</f>
        <v>0</v>
      </c>
      <c r="P7" s="478">
        <f>landbouw!P8</f>
        <v>0</v>
      </c>
      <c r="Q7" s="476">
        <f t="shared" si="0"/>
        <v>6256.7868303812247</v>
      </c>
    </row>
    <row r="8" spans="1:17">
      <c r="A8" s="476" t="s">
        <v>635</v>
      </c>
      <c r="B8" s="477">
        <f>industrie!B18</f>
        <v>26946.497805506813</v>
      </c>
      <c r="C8" s="477">
        <f>industrie!C18</f>
        <v>0</v>
      </c>
      <c r="D8" s="477">
        <f>industrie!D18</f>
        <v>25050.368916282332</v>
      </c>
      <c r="E8" s="477">
        <f>industrie!E18</f>
        <v>2014.9413993473424</v>
      </c>
      <c r="F8" s="477">
        <f>industrie!F18</f>
        <v>6931.9428107999847</v>
      </c>
      <c r="G8" s="477">
        <f>industrie!G18</f>
        <v>0</v>
      </c>
      <c r="H8" s="477">
        <f>industrie!H18</f>
        <v>0</v>
      </c>
      <c r="I8" s="477">
        <f>industrie!I18</f>
        <v>0</v>
      </c>
      <c r="J8" s="477">
        <f>industrie!J18</f>
        <v>22.766456404693958</v>
      </c>
      <c r="K8" s="477">
        <f>industrie!K18</f>
        <v>0</v>
      </c>
      <c r="L8" s="477">
        <f>industrie!L18</f>
        <v>0</v>
      </c>
      <c r="M8" s="477">
        <f>industrie!M18</f>
        <v>0</v>
      </c>
      <c r="N8" s="477">
        <f>industrie!N18</f>
        <v>4291.0113797919867</v>
      </c>
      <c r="O8" s="477">
        <f>industrie!O18</f>
        <v>0</v>
      </c>
      <c r="P8" s="478">
        <f>industrie!P18</f>
        <v>0</v>
      </c>
      <c r="Q8" s="476">
        <f t="shared" si="0"/>
        <v>65257.528768133154</v>
      </c>
    </row>
    <row r="9" spans="1:17" s="482" customFormat="1">
      <c r="A9" s="480" t="s">
        <v>561</v>
      </c>
      <c r="B9" s="481">
        <f>transport!B14</f>
        <v>27.664935348120334</v>
      </c>
      <c r="C9" s="481">
        <f>transport!C14</f>
        <v>0</v>
      </c>
      <c r="D9" s="481">
        <f>transport!D14</f>
        <v>103.93564658570438</v>
      </c>
      <c r="E9" s="481">
        <f>transport!E14</f>
        <v>137.1567234772026</v>
      </c>
      <c r="F9" s="481">
        <f>transport!F14</f>
        <v>0</v>
      </c>
      <c r="G9" s="481">
        <f>transport!G14</f>
        <v>52414.100571288807</v>
      </c>
      <c r="H9" s="481">
        <f>transport!H14</f>
        <v>11673.206427995387</v>
      </c>
      <c r="I9" s="481">
        <f>transport!I14</f>
        <v>0</v>
      </c>
      <c r="J9" s="481">
        <f>transport!J14</f>
        <v>0</v>
      </c>
      <c r="K9" s="481">
        <f>transport!K14</f>
        <v>0</v>
      </c>
      <c r="L9" s="481">
        <f>transport!L14</f>
        <v>0</v>
      </c>
      <c r="M9" s="481">
        <f>transport!M14</f>
        <v>3406.6761181210613</v>
      </c>
      <c r="N9" s="481">
        <f>transport!N14</f>
        <v>0</v>
      </c>
      <c r="O9" s="481">
        <f>transport!O14</f>
        <v>0</v>
      </c>
      <c r="P9" s="481">
        <f>transport!P14</f>
        <v>0</v>
      </c>
      <c r="Q9" s="480">
        <f>SUM(B9:P9)</f>
        <v>67762.740422816278</v>
      </c>
    </row>
    <row r="10" spans="1:17">
      <c r="A10" s="476" t="s">
        <v>551</v>
      </c>
      <c r="B10" s="477">
        <f>transport!B54</f>
        <v>0</v>
      </c>
      <c r="C10" s="477">
        <f>transport!C54</f>
        <v>0</v>
      </c>
      <c r="D10" s="477">
        <f>transport!D54</f>
        <v>0</v>
      </c>
      <c r="E10" s="477">
        <f>transport!E54</f>
        <v>0</v>
      </c>
      <c r="F10" s="477">
        <f>transport!F54</f>
        <v>0</v>
      </c>
      <c r="G10" s="477">
        <f>transport!G54</f>
        <v>579.52563656076836</v>
      </c>
      <c r="H10" s="477">
        <f>transport!H54</f>
        <v>0</v>
      </c>
      <c r="I10" s="477">
        <f>transport!I54</f>
        <v>0</v>
      </c>
      <c r="J10" s="477">
        <f>transport!J54</f>
        <v>0</v>
      </c>
      <c r="K10" s="477">
        <f>transport!K54</f>
        <v>0</v>
      </c>
      <c r="L10" s="477">
        <f>transport!L54</f>
        <v>0</v>
      </c>
      <c r="M10" s="477">
        <f>transport!M54</f>
        <v>32.914497796462229</v>
      </c>
      <c r="N10" s="477">
        <f>transport!N54</f>
        <v>0</v>
      </c>
      <c r="O10" s="477">
        <f>transport!O54</f>
        <v>0</v>
      </c>
      <c r="P10" s="478">
        <f>transport!P54</f>
        <v>0</v>
      </c>
      <c r="Q10" s="476">
        <f t="shared" si="0"/>
        <v>612.44013435723059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971.88131503505895</v>
      </c>
      <c r="C14" s="484"/>
      <c r="D14" s="484">
        <f>'SEAP template'!E25</f>
        <v>780.36595754235793</v>
      </c>
      <c r="E14" s="484"/>
      <c r="F14" s="484"/>
      <c r="G14" s="484"/>
      <c r="H14" s="484"/>
      <c r="I14" s="484"/>
      <c r="J14" s="484"/>
      <c r="K14" s="484"/>
      <c r="L14" s="484"/>
      <c r="M14" s="484"/>
      <c r="N14" s="484"/>
      <c r="O14" s="484"/>
      <c r="P14" s="485"/>
      <c r="Q14" s="476">
        <f t="shared" si="0"/>
        <v>1752.2472725774169</v>
      </c>
    </row>
    <row r="15" spans="1:17" s="486" customFormat="1">
      <c r="A15" s="1039" t="s">
        <v>555</v>
      </c>
      <c r="B15" s="987">
        <f ca="1">SUM(B4:B14)</f>
        <v>73991.05065041715</v>
      </c>
      <c r="C15" s="987">
        <f t="shared" ref="C15:Q15" ca="1" si="1">SUM(C4:C14)</f>
        <v>0</v>
      </c>
      <c r="D15" s="987">
        <f t="shared" ca="1" si="1"/>
        <v>77846.293524361565</v>
      </c>
      <c r="E15" s="987">
        <f t="shared" si="1"/>
        <v>8969.320225435431</v>
      </c>
      <c r="F15" s="987">
        <f t="shared" ca="1" si="1"/>
        <v>53419.069203386403</v>
      </c>
      <c r="G15" s="987">
        <f t="shared" si="1"/>
        <v>52993.626207849578</v>
      </c>
      <c r="H15" s="987">
        <f t="shared" si="1"/>
        <v>11673.206427995387</v>
      </c>
      <c r="I15" s="987">
        <f t="shared" si="1"/>
        <v>0</v>
      </c>
      <c r="J15" s="987">
        <f t="shared" si="1"/>
        <v>190.9733861811815</v>
      </c>
      <c r="K15" s="987">
        <f t="shared" si="1"/>
        <v>0</v>
      </c>
      <c r="L15" s="987">
        <f t="shared" ca="1" si="1"/>
        <v>0</v>
      </c>
      <c r="M15" s="987">
        <f t="shared" si="1"/>
        <v>3439.5906159175238</v>
      </c>
      <c r="N15" s="987">
        <f t="shared" ca="1" si="1"/>
        <v>22935.806482757795</v>
      </c>
      <c r="O15" s="987">
        <f t="shared" si="1"/>
        <v>443.98666666666674</v>
      </c>
      <c r="P15" s="987">
        <f t="shared" si="1"/>
        <v>838.93333333333339</v>
      </c>
      <c r="Q15" s="987">
        <f t="shared" ca="1" si="1"/>
        <v>306741.85672430205</v>
      </c>
    </row>
    <row r="17" spans="1:17">
      <c r="A17" s="487" t="s">
        <v>556</v>
      </c>
      <c r="B17" s="786">
        <f ca="1">huishoudens!B10</f>
        <v>0.20478784039930559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6105.3468182171036</v>
      </c>
      <c r="C22" s="477">
        <f t="shared" ref="C22:C32" ca="1" si="3">C4*$C$17</f>
        <v>0</v>
      </c>
      <c r="D22" s="477">
        <f t="shared" ref="D22:D32" si="4">D4*$D$17</f>
        <v>7860.4145153115905</v>
      </c>
      <c r="E22" s="477">
        <f t="shared" ref="E22:E32" si="5">E4*$E$17</f>
        <v>1482.8998301236995</v>
      </c>
      <c r="F22" s="477">
        <f t="shared" ref="F22:F32" si="6">F4*$F$17</f>
        <v>10420.100093917836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25868.76125757023</v>
      </c>
    </row>
    <row r="23" spans="1:17">
      <c r="A23" s="476" t="s">
        <v>156</v>
      </c>
      <c r="B23" s="477">
        <f t="shared" ca="1" si="2"/>
        <v>2881.7057039515917</v>
      </c>
      <c r="C23" s="477">
        <f t="shared" ca="1" si="3"/>
        <v>0</v>
      </c>
      <c r="D23" s="477">
        <f t="shared" ca="1" si="4"/>
        <v>2613.8948065400418</v>
      </c>
      <c r="E23" s="477">
        <f t="shared" si="5"/>
        <v>56.865400207626401</v>
      </c>
      <c r="F23" s="477">
        <f t="shared" ca="1" si="6"/>
        <v>700.95104248583698</v>
      </c>
      <c r="G23" s="477">
        <f t="shared" si="7"/>
        <v>0</v>
      </c>
      <c r="H23" s="477">
        <f t="shared" si="8"/>
        <v>0</v>
      </c>
      <c r="I23" s="477">
        <f t="shared" si="9"/>
        <v>0</v>
      </c>
      <c r="J23" s="477">
        <f t="shared" si="10"/>
        <v>1.8453865586223257E-2</v>
      </c>
      <c r="K23" s="477">
        <f t="shared" si="11"/>
        <v>0</v>
      </c>
      <c r="L23" s="477">
        <f t="shared" ca="1" si="12"/>
        <v>0</v>
      </c>
      <c r="M23" s="477">
        <f t="shared" si="13"/>
        <v>0</v>
      </c>
      <c r="N23" s="477">
        <f t="shared" ca="1" si="14"/>
        <v>0</v>
      </c>
      <c r="O23" s="477">
        <f t="shared" si="15"/>
        <v>0</v>
      </c>
      <c r="P23" s="478">
        <f t="shared" si="16"/>
        <v>0</v>
      </c>
      <c r="Q23" s="476">
        <f t="shared" ref="Q23:Q32" ca="1" si="17">SUM(B23:P23)</f>
        <v>6253.4354070506824</v>
      </c>
    </row>
    <row r="24" spans="1:17">
      <c r="A24" s="476" t="s">
        <v>194</v>
      </c>
      <c r="B24" s="477">
        <f t="shared" ca="1" si="2"/>
        <v>204.71575507948504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204.71575507948504</v>
      </c>
    </row>
    <row r="25" spans="1:17">
      <c r="A25" s="476" t="s">
        <v>112</v>
      </c>
      <c r="B25" s="477">
        <f t="shared" ca="1" si="2"/>
        <v>237.68918441682263</v>
      </c>
      <c r="C25" s="477">
        <f t="shared" ca="1" si="3"/>
        <v>0</v>
      </c>
      <c r="D25" s="477">
        <f t="shared" si="4"/>
        <v>11.838524946508723</v>
      </c>
      <c r="E25" s="477">
        <f t="shared" si="5"/>
        <v>7.7441869613450676</v>
      </c>
      <c r="F25" s="477">
        <f t="shared" si="6"/>
        <v>1291.011610416901</v>
      </c>
      <c r="G25" s="477">
        <f t="shared" si="7"/>
        <v>0</v>
      </c>
      <c r="H25" s="477">
        <f t="shared" si="8"/>
        <v>0</v>
      </c>
      <c r="I25" s="477">
        <f t="shared" si="9"/>
        <v>0</v>
      </c>
      <c r="J25" s="477">
        <f t="shared" si="10"/>
        <v>59.526799275290365</v>
      </c>
      <c r="K25" s="477">
        <f t="shared" si="11"/>
        <v>0</v>
      </c>
      <c r="L25" s="477">
        <f t="shared" si="12"/>
        <v>0</v>
      </c>
      <c r="M25" s="477">
        <f t="shared" si="13"/>
        <v>0</v>
      </c>
      <c r="N25" s="477">
        <f t="shared" si="14"/>
        <v>0</v>
      </c>
      <c r="O25" s="477">
        <f t="shared" si="15"/>
        <v>0</v>
      </c>
      <c r="P25" s="478">
        <f t="shared" si="16"/>
        <v>0</v>
      </c>
      <c r="Q25" s="476">
        <f t="shared" ca="1" si="17"/>
        <v>1607.8103060168678</v>
      </c>
    </row>
    <row r="26" spans="1:17">
      <c r="A26" s="476" t="s">
        <v>635</v>
      </c>
      <c r="B26" s="477">
        <f t="shared" ca="1" si="2"/>
        <v>5518.3150919143673</v>
      </c>
      <c r="C26" s="477">
        <f t="shared" ca="1" si="3"/>
        <v>0</v>
      </c>
      <c r="D26" s="477">
        <f t="shared" si="4"/>
        <v>5060.1745210890313</v>
      </c>
      <c r="E26" s="477">
        <f t="shared" si="5"/>
        <v>457.39169765184675</v>
      </c>
      <c r="F26" s="477">
        <f t="shared" si="6"/>
        <v>1850.828730483596</v>
      </c>
      <c r="G26" s="477">
        <f t="shared" si="7"/>
        <v>0</v>
      </c>
      <c r="H26" s="477">
        <f t="shared" si="8"/>
        <v>0</v>
      </c>
      <c r="I26" s="477">
        <f t="shared" si="9"/>
        <v>0</v>
      </c>
      <c r="J26" s="477">
        <f t="shared" si="10"/>
        <v>8.059325567261661</v>
      </c>
      <c r="K26" s="477">
        <f t="shared" si="11"/>
        <v>0</v>
      </c>
      <c r="L26" s="477">
        <f t="shared" si="12"/>
        <v>0</v>
      </c>
      <c r="M26" s="477">
        <f t="shared" si="13"/>
        <v>0</v>
      </c>
      <c r="N26" s="477">
        <f t="shared" si="14"/>
        <v>0</v>
      </c>
      <c r="O26" s="477">
        <f t="shared" si="15"/>
        <v>0</v>
      </c>
      <c r="P26" s="478">
        <f t="shared" si="16"/>
        <v>0</v>
      </c>
      <c r="Q26" s="476">
        <f t="shared" ca="1" si="17"/>
        <v>12894.769366706103</v>
      </c>
    </row>
    <row r="27" spans="1:17" s="482" customFormat="1">
      <c r="A27" s="480" t="s">
        <v>561</v>
      </c>
      <c r="B27" s="780">
        <f t="shared" ca="1" si="2"/>
        <v>5.6654423647279746</v>
      </c>
      <c r="C27" s="481">
        <f t="shared" ca="1" si="3"/>
        <v>0</v>
      </c>
      <c r="D27" s="481">
        <f t="shared" si="4"/>
        <v>20.995000610312285</v>
      </c>
      <c r="E27" s="481">
        <f t="shared" si="5"/>
        <v>31.134576229324992</v>
      </c>
      <c r="F27" s="481">
        <f t="shared" si="6"/>
        <v>0</v>
      </c>
      <c r="G27" s="481">
        <f t="shared" si="7"/>
        <v>13994.564852534113</v>
      </c>
      <c r="H27" s="481">
        <f t="shared" si="8"/>
        <v>2906.6284005708512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16958.988272309329</v>
      </c>
    </row>
    <row r="28" spans="1:17">
      <c r="A28" s="476" t="s">
        <v>551</v>
      </c>
      <c r="B28" s="477">
        <f t="shared" ca="1" si="2"/>
        <v>0</v>
      </c>
      <c r="C28" s="477">
        <f t="shared" ca="1" si="3"/>
        <v>0</v>
      </c>
      <c r="D28" s="477">
        <f t="shared" si="4"/>
        <v>0</v>
      </c>
      <c r="E28" s="477">
        <f t="shared" si="5"/>
        <v>0</v>
      </c>
      <c r="F28" s="477">
        <f t="shared" si="6"/>
        <v>0</v>
      </c>
      <c r="G28" s="477">
        <f t="shared" si="7"/>
        <v>154.73334496172515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154.73334496172515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199.02947563046689</v>
      </c>
      <c r="C32" s="477">
        <f t="shared" ca="1" si="3"/>
        <v>0</v>
      </c>
      <c r="D32" s="477">
        <f t="shared" si="4"/>
        <v>157.63392342355633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356.66339905402322</v>
      </c>
    </row>
    <row r="33" spans="1:17" s="486" customFormat="1">
      <c r="A33" s="1039" t="s">
        <v>555</v>
      </c>
      <c r="B33" s="987">
        <f ca="1">SUM(B22:B32)</f>
        <v>15152.467471574564</v>
      </c>
      <c r="C33" s="987">
        <f t="shared" ref="C33:Q33" ca="1" si="18">SUM(C22:C32)</f>
        <v>0</v>
      </c>
      <c r="D33" s="987">
        <f t="shared" ca="1" si="18"/>
        <v>15724.951291921041</v>
      </c>
      <c r="E33" s="987">
        <f t="shared" si="18"/>
        <v>2036.0356911738427</v>
      </c>
      <c r="F33" s="987">
        <f t="shared" ca="1" si="18"/>
        <v>14262.891477304169</v>
      </c>
      <c r="G33" s="987">
        <f t="shared" si="18"/>
        <v>14149.298197495838</v>
      </c>
      <c r="H33" s="987">
        <f t="shared" si="18"/>
        <v>2906.6284005708512</v>
      </c>
      <c r="I33" s="987">
        <f t="shared" si="18"/>
        <v>0</v>
      </c>
      <c r="J33" s="987">
        <f t="shared" si="18"/>
        <v>67.604578708138249</v>
      </c>
      <c r="K33" s="987">
        <f t="shared" si="18"/>
        <v>0</v>
      </c>
      <c r="L33" s="987">
        <f t="shared" ca="1" si="18"/>
        <v>0</v>
      </c>
      <c r="M33" s="987">
        <f t="shared" si="18"/>
        <v>0</v>
      </c>
      <c r="N33" s="987">
        <f t="shared" ca="1" si="18"/>
        <v>0</v>
      </c>
      <c r="O33" s="987">
        <f t="shared" si="18"/>
        <v>0</v>
      </c>
      <c r="P33" s="987">
        <f t="shared" si="18"/>
        <v>0</v>
      </c>
      <c r="Q33" s="987">
        <f t="shared" ca="1" si="18"/>
        <v>64299.877108748435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5427.8494215729734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5427.8494215729734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0.20478784039930559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0.20478784039930559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2019-08-12T08:34:48Z</dcterms:modified>
</cp:coreProperties>
</file>