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I19"/>
  <c r="I89" i="14" s="1"/>
  <c r="I19" i="61" s="1"/>
  <c r="H19" i="18"/>
  <c r="M89" i="14" s="1"/>
  <c r="M19" i="61" s="1"/>
  <c r="G19" i="18"/>
  <c r="H89" i="14" s="1"/>
  <c r="H19" i="61" s="1"/>
  <c r="F19" i="18"/>
  <c r="E19"/>
  <c r="F89" i="14" s="1"/>
  <c r="F19" i="61" s="1"/>
  <c r="D19" i="18"/>
  <c r="C19"/>
  <c r="B19"/>
  <c r="N18"/>
  <c r="L88" i="14" s="1"/>
  <c r="M18" i="18"/>
  <c r="K88" i="14" s="1"/>
  <c r="L18" i="18"/>
  <c r="K18"/>
  <c r="J18"/>
  <c r="I18"/>
  <c r="H18"/>
  <c r="G18"/>
  <c r="F18"/>
  <c r="G88" i="14" s="1"/>
  <c r="G18" i="61" s="1"/>
  <c r="E18" i="18"/>
  <c r="F88" i="14" s="1"/>
  <c r="F18" i="61" s="1"/>
  <c r="D18" i="18"/>
  <c r="E88" i="14" s="1"/>
  <c r="C18" i="18"/>
  <c r="B18"/>
  <c r="L9"/>
  <c r="O77" i="14" s="1"/>
  <c r="O9" i="61" s="1"/>
  <c r="K9" i="18"/>
  <c r="G9"/>
  <c r="G10" s="1"/>
  <c r="F9"/>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N6" i="17" s="1"/>
  <c r="U61" i="18"/>
  <c r="L6" i="17" s="1"/>
  <c r="T61" i="18"/>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H88" i="14"/>
  <c r="H18" i="61" s="1"/>
  <c r="D20" i="18"/>
  <c r="D88" i="14"/>
  <c r="D18" i="61" s="1"/>
  <c r="G12" i="18"/>
  <c r="F12"/>
  <c r="E12"/>
  <c r="D12"/>
  <c r="C12"/>
  <c r="L10"/>
  <c r="K10"/>
  <c r="F10"/>
  <c r="E77" i="14"/>
  <c r="E9" i="61" s="1"/>
  <c r="B8" i="18"/>
  <c r="B6"/>
  <c r="B5"/>
  <c r="B73" i="14" s="1"/>
  <c r="B5" i="61" s="1"/>
  <c r="B4" i="18"/>
  <c r="B72" i="14" s="1"/>
  <c r="B4" i="61" s="1"/>
  <c r="D6" i="17"/>
  <c r="B19" i="6"/>
  <c r="B18"/>
  <c r="B5"/>
  <c r="B6"/>
  <c r="C64" i="14" s="1"/>
  <c r="D14" i="48"/>
  <c r="P7"/>
  <c r="P25" s="1"/>
  <c r="O7"/>
  <c r="O25" s="1"/>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G77" i="14"/>
  <c r="G9" i="61" s="1"/>
  <c r="O76" i="14"/>
  <c r="O8" i="61" s="1"/>
  <c r="N76" i="14"/>
  <c r="N8" i="61" s="1"/>
  <c r="L76" i="14"/>
  <c r="K76"/>
  <c r="H76"/>
  <c r="H8" i="61" s="1"/>
  <c r="G76" i="14"/>
  <c r="G8" i="61" s="1"/>
  <c r="E76" i="14"/>
  <c r="E8" i="61" s="1"/>
  <c r="B75" i="14"/>
  <c r="B7" i="61" s="1"/>
  <c r="B74" i="14"/>
  <c r="B6" i="61" s="1"/>
  <c r="C29" i="14"/>
  <c r="Q54"/>
  <c r="Q56" s="1"/>
  <c r="P54"/>
  <c r="P56" s="1"/>
  <c r="L54"/>
  <c r="L56" s="1"/>
  <c r="J54"/>
  <c r="I54"/>
  <c r="H54"/>
  <c r="H56" s="1"/>
  <c r="Q24"/>
  <c r="P24"/>
  <c r="P26" s="1"/>
  <c r="N24"/>
  <c r="N26" s="1"/>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M22" s="1"/>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P52"/>
  <c r="R44"/>
  <c r="Q26"/>
  <c r="J26"/>
  <c r="E25"/>
  <c r="C25"/>
  <c r="B14" i="48" s="1"/>
  <c r="Q14" s="1"/>
  <c r="H26" i="14"/>
  <c r="D5" i="17"/>
  <c r="K18" i="61" l="1"/>
  <c r="K90" i="14"/>
  <c r="E90"/>
  <c r="E18" i="61"/>
  <c r="E20" s="1"/>
  <c r="L78" i="14"/>
  <c r="L8" i="61"/>
  <c r="L10" s="1"/>
  <c r="H20"/>
  <c r="I77" i="14"/>
  <c r="I9" i="61" s="1"/>
  <c r="O9" i="18"/>
  <c r="O10" i="61"/>
  <c r="G20"/>
  <c r="K20"/>
  <c r="Q11" i="48"/>
  <c r="C98" i="18"/>
  <c r="H101" s="1"/>
  <c r="O30" i="48"/>
  <c r="N20" i="61"/>
  <c r="K78" i="14"/>
  <c r="K8" i="61"/>
  <c r="K10" s="1"/>
  <c r="N78" i="14"/>
  <c r="N9" i="61"/>
  <c r="N10" s="1"/>
  <c r="L90" i="14"/>
  <c r="L18" i="61"/>
  <c r="I9" i="18"/>
  <c r="B10"/>
  <c r="M77" i="14"/>
  <c r="M9" i="61" s="1"/>
  <c r="H9" i="18"/>
  <c r="G10" i="61"/>
  <c r="L20"/>
  <c r="P31" i="48"/>
  <c r="J22" i="14"/>
  <c r="P22"/>
  <c r="E10" i="61"/>
  <c r="B17" i="18"/>
  <c r="B20" s="1"/>
  <c r="L13" i="15"/>
  <c r="B13"/>
  <c r="H90" i="14"/>
  <c r="N13" i="15"/>
  <c r="F77" i="14"/>
  <c r="F9" i="61" s="1"/>
  <c r="E101" i="18"/>
  <c r="E8" s="1"/>
  <c r="G101"/>
  <c r="D101"/>
  <c r="C10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101" i="18"/>
  <c r="C8" s="1"/>
  <c r="I101"/>
  <c r="H8" s="1"/>
  <c r="I8"/>
  <c r="O8" s="1"/>
  <c r="O10" s="1"/>
  <c r="F10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I10"/>
  <c r="Q88" i="14"/>
  <c r="P18" i="61" s="1"/>
  <c r="AC15" i="5"/>
  <c r="M90" i="14" l="1"/>
  <c r="M17" i="61"/>
  <c r="M20" s="1"/>
  <c r="M78" i="14"/>
  <c r="M8" i="61"/>
  <c r="M10" s="1"/>
  <c r="I76" i="14"/>
  <c r="I8" i="61" s="1"/>
  <c r="I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90" i="14"/>
  <c r="B17" i="61"/>
  <c r="B20" s="1"/>
  <c r="C90" i="14"/>
  <c r="C17" i="61"/>
  <c r="C2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0" i="48" l="1"/>
  <c r="J32"/>
  <c r="J24"/>
  <c r="J31"/>
  <c r="J27"/>
  <c r="J28"/>
  <c r="J29"/>
  <c r="Q11" i="14"/>
  <c r="P4" i="48"/>
  <c r="P11" i="14"/>
  <c r="O4" i="48"/>
  <c r="I29"/>
  <c r="I31"/>
  <c r="I27"/>
  <c r="I25"/>
  <c r="I24"/>
  <c r="I28"/>
  <c r="I30"/>
  <c r="I22"/>
  <c r="I32"/>
  <c r="I26"/>
  <c r="D4"/>
  <c r="D22" s="1"/>
  <c r="E11" i="14"/>
  <c r="H29" i="48"/>
  <c r="H28"/>
  <c r="H32"/>
  <c r="H25"/>
  <c r="H24"/>
  <c r="H22"/>
  <c r="H26"/>
  <c r="H30"/>
  <c r="H23"/>
  <c r="C4"/>
  <c r="D11" i="14"/>
  <c r="G23" i="48"/>
  <c r="G22"/>
  <c r="G30"/>
  <c r="G32"/>
  <c r="G29"/>
  <c r="G25"/>
  <c r="G24"/>
  <c r="G26"/>
  <c r="B4"/>
  <c r="C11" i="14"/>
  <c r="F30" i="48"/>
  <c r="F32"/>
  <c r="F24"/>
  <c r="F31"/>
  <c r="F29"/>
  <c r="F28"/>
  <c r="F27"/>
  <c r="N30"/>
  <c r="N32"/>
  <c r="N24"/>
  <c r="N27"/>
  <c r="N28"/>
  <c r="N31"/>
  <c r="N29"/>
  <c r="C19" i="14"/>
  <c r="B10" i="48"/>
  <c r="E31"/>
  <c r="E29"/>
  <c r="E24"/>
  <c r="E30"/>
  <c r="E28"/>
  <c r="E32"/>
  <c r="M29"/>
  <c r="M25"/>
  <c r="M30"/>
  <c r="M32"/>
  <c r="M22"/>
  <c r="M26"/>
  <c r="M24"/>
  <c r="M23"/>
  <c r="K5"/>
  <c r="L10" i="14"/>
  <c r="L16" s="1"/>
  <c r="L27" s="1"/>
  <c r="D30" i="48"/>
  <c r="D28"/>
  <c r="D24"/>
  <c r="D29"/>
  <c r="D31"/>
  <c r="D32"/>
  <c r="L29"/>
  <c r="L32"/>
  <c r="L24"/>
  <c r="L22"/>
  <c r="L27"/>
  <c r="L31"/>
  <c r="L30"/>
  <c r="L28"/>
  <c r="Q10" i="14"/>
  <c r="P5" i="48"/>
  <c r="P23" s="1"/>
  <c r="K32"/>
  <c r="K24"/>
  <c r="K27"/>
  <c r="K31"/>
  <c r="K29"/>
  <c r="K30"/>
  <c r="K25"/>
  <c r="K28"/>
  <c r="K26"/>
  <c r="K22"/>
  <c r="C24" i="14"/>
  <c r="C26" s="1"/>
  <c r="B7" i="48"/>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F4" i="48"/>
  <c r="F22" s="1"/>
  <c r="G11" i="14"/>
  <c r="I5" i="48"/>
  <c r="J10" i="14"/>
  <c r="J16" s="1"/>
  <c r="J27" s="1"/>
  <c r="J63" s="1"/>
  <c r="P22" i="48"/>
  <c r="P33" s="1"/>
  <c r="P15"/>
  <c r="G13"/>
  <c r="G31" s="1"/>
  <c r="H18" i="14"/>
  <c r="O22" i="48"/>
  <c r="L46" i="14"/>
  <c r="L61" s="1"/>
  <c r="L63" s="1"/>
  <c r="K33" i="48"/>
  <c r="K23"/>
  <c r="K15"/>
  <c r="C22" i="14"/>
  <c r="E9" i="48"/>
  <c r="E27" s="1"/>
  <c r="F20" i="14"/>
  <c r="F22" s="1"/>
  <c r="Q13"/>
  <c r="Q16" s="1"/>
  <c r="Q27" s="1"/>
  <c r="P8" i="48"/>
  <c r="P26" s="1"/>
  <c r="D9"/>
  <c r="D27" s="1"/>
  <c r="E20" i="14"/>
  <c r="E22" s="1"/>
  <c r="P10"/>
  <c r="O5" i="48"/>
  <c r="O23" s="1"/>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H19" i="14" l="1"/>
  <c r="G10" i="48"/>
  <c r="E4"/>
  <c r="F11" i="14"/>
  <c r="O8" i="48"/>
  <c r="P13" i="14"/>
  <c r="J4" i="48"/>
  <c r="K11" i="14"/>
  <c r="N4" i="48"/>
  <c r="N22" s="1"/>
  <c r="O11" i="14"/>
  <c r="Q63"/>
  <c r="P16"/>
  <c r="P27" s="1"/>
  <c r="F24"/>
  <c r="F26" s="1"/>
  <c r="E7" i="48"/>
  <c r="E25" s="1"/>
  <c r="M10"/>
  <c r="M28" s="1"/>
  <c r="N19" i="14"/>
  <c r="N22" s="1"/>
  <c r="N27" s="1"/>
  <c r="I23" i="48"/>
  <c r="I33" s="1"/>
  <c r="I15"/>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22" i="14"/>
  <c r="H27" s="1"/>
  <c r="R19"/>
  <c r="G28" i="48"/>
  <c r="Q10"/>
  <c r="E22"/>
  <c r="Q4"/>
  <c r="J5"/>
  <c r="J23" s="1"/>
  <c r="K10" i="14"/>
  <c r="O26" i="48"/>
  <c r="O33" s="1"/>
  <c r="O15"/>
  <c r="G9"/>
  <c r="H20" i="14"/>
  <c r="J22" i="48"/>
  <c r="R11" i="14"/>
  <c r="Q7" i="48"/>
  <c r="N52" i="14"/>
  <c r="N61" s="1"/>
  <c r="J20" i="15"/>
  <c r="K40" i="14" s="1"/>
  <c r="M15" i="48"/>
  <c r="M27"/>
  <c r="M33" s="1"/>
  <c r="R22" i="14"/>
  <c r="Q9" i="48"/>
  <c r="H15"/>
  <c r="H27"/>
  <c r="H33" s="1"/>
  <c r="N63" i="14"/>
  <c r="R20"/>
  <c r="R24"/>
  <c r="R26" s="1"/>
  <c r="N18" i="16"/>
  <c r="E20" i="15"/>
  <c r="F40" i="14" s="1"/>
  <c r="F18" i="16"/>
  <c r="J18"/>
  <c r="E18"/>
  <c r="G18" i="22"/>
  <c r="H50" i="14" s="1"/>
  <c r="H52" s="1"/>
  <c r="H61" s="1"/>
  <c r="H63" s="1"/>
  <c r="H18" i="22"/>
  <c r="I50" i="14" s="1"/>
  <c r="I52" s="1"/>
  <c r="I61" s="1"/>
  <c r="I63" s="1"/>
  <c r="J8" i="48" l="1"/>
  <c r="K13" i="14"/>
  <c r="K16" s="1"/>
  <c r="K27" s="1"/>
  <c r="K63" s="1"/>
  <c r="F13"/>
  <c r="E8" i="48"/>
  <c r="E26" s="1"/>
  <c r="E33" s="1"/>
  <c r="G27"/>
  <c r="G33" s="1"/>
  <c r="G15"/>
  <c r="F16" i="14"/>
  <c r="F27" s="1"/>
  <c r="K46"/>
  <c r="K61" s="1"/>
  <c r="N8" i="48"/>
  <c r="N26" s="1"/>
  <c r="O13" i="14"/>
  <c r="F8" i="48"/>
  <c r="G13" i="14"/>
  <c r="R13" s="1"/>
  <c r="E22" i="16"/>
  <c r="F43" i="14" s="1"/>
  <c r="F46" s="1"/>
  <c r="F61" s="1"/>
  <c r="F22" i="16"/>
  <c r="G43" i="14" s="1"/>
  <c r="N22" i="16"/>
  <c r="O43" i="14" s="1"/>
  <c r="J22" i="16"/>
  <c r="K43" i="14" s="1"/>
  <c r="J26" i="48" l="1"/>
  <c r="J33" s="1"/>
  <c r="J15"/>
  <c r="F6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<sst xmlns="http://schemas.openxmlformats.org/spreadsheetml/2006/main" count="2419" uniqueCount="894">
  <si>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</si>
  <si>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</si>
  <si>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</si>
  <si>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</si>
  <si>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</si>
  <si>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</si>
  <si>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</si>
  <si>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</si>
  <si>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</si>
  <si>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</si>
  <si>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</si>
  <si>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</si>
  <si>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</si>
  <si>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</si>
  <si>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</si>
  <si>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</si>
  <si>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</si>
  <si>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</si>
  <si>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</si>
  <si>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</si>
  <si>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</si>
  <si>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</si>
  <si>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</si>
  <si>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</si>
  <si>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</si>
  <si>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</si>
  <si>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</si>
  <si>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</si>
  <si>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</si>
  <si>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</si>
  <si>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</si>
  <si>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</si>
  <si>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</si>
  <si>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</si>
  <si>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</si>
  <si>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</si>
  <si>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</si>
  <si>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</si>
  <si>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</si>
  <si>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</si>
  <si>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</si>
  <si>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</si>
  <si>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</si>
  <si>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</si>
  <si>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</si>
  <si>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</si>
  <si>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</si>
  <si>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</si>
  <si>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</si>
  <si>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</si>
  <si>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</si>
  <si>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</si>
  <si>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</si>
  <si>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</si>
  <si>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</si>
  <si>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</si>
  <si>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</si>
  <si>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</si>
  <si>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</si>
  <si>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</si>
  <si>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</si>
  <si>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</si>
  <si>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</si>
  <si>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</si>
  <si>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</si>
  <si>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</si>
  <si>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</si>
  <si>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</si>
  <si>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</si>
  <si>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</si>
  <si>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</si>
  <si>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</si>
  <si>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</si>
  <si>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</si>
  <si>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</si>
  <si>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</si>
  <si>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</si>
  <si>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</si>
  <si>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</si>
  <si>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</si>
  <si>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</si>
  <si>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</si>
  <si>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</si>
  <si>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</si>
  <si>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</si>
  <si>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</si>
  <si>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</si>
  <si>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</si>
  <si>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</si>
  <si>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</si>
  <si>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</si>
  <si>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</si>
  <si>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</si>
  <si>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</si>
  <si>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</si>
  <si>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</si>
  <si>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</si>
  <si>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</si>
  <si>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</si>
  <si>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</si>
  <si>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</si>
  <si>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</si>
  <si>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</si>
  <si>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</si>
  <si>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</si>
  <si>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</si>
  <si>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</si>
  <si>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</si>
  <si>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</si>
  <si>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</si>
  <si>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</si>
  <si>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</si>
  <si>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</si>
  <si>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</si>
  <si>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</si>
  <si>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</si>
  <si>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</si>
  <si>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</si>
  <si>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</si>
  <si>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</si>
  <si>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</si>
  <si>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</si>
  <si>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</si>
  <si>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</si>
  <si>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</si>
  <si>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</si>
  <si>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</si>
  <si>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</si>
  <si>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</si>
  <si>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</si>
  <si>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</si>
  <si>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</si>
  <si>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</si>
  <si>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</si>
  <si>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</si>
  <si>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</si>
  <si>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</si>
  <si>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</si>
  <si>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</si>
  <si>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</si>
  <si>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</si>
  <si>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</si>
  <si>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</si>
  <si>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</si>
  <si>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</si>
  <si>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</si>
  <si>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</si>
  <si>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</si>
  <si>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</si>
  <si>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</si>
  <si>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</si>
  <si>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</si>
  <si>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</si>
  <si>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</si>
  <si>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</si>
  <si>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</si>
  <si>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</si>
  <si>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</si>
  <si>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</si>
  <si>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</si>
  <si>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</si>
  <si>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</si>
  <si>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</si>
  <si>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</si>
  <si>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</si>
  <si>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</si>
  <si>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</si>
  <si>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</si>
  <si>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</si>
  <si>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</si>
  <si>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</si>
  <si>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</si>
  <si>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</si>
  <si>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</si>
  <si>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</si>
  <si>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</si>
  <si>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</si>
  <si>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</si>
  <si>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</si>
  <si>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</si>
  <si>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</si>
  <si>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</si>
  <si>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</si>
  <si>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</si>
  <si>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</si>
  <si>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</si>
  <si>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</si>
  <si>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</si>
  <si>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</si>
  <si>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</si>
  <si>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</si>
  <si>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</si>
  <si>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</si>
  <si>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</si>
  <si>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</si>
  <si>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</si>
  <si>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</si>
  <si>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</si>
  <si>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</si>
  <si>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</si>
  <si>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</si>
  <si>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</si>
  <si>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</si>
  <si>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</si>
  <si>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</si>
  <si>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</si>
  <si>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</si>
  <si>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</si>
  <si>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</si>
  <si>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</si>
  <si>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</si>
  <si>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</si>
  <si>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</si>
  <si>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</si>
  <si>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</si>
  <si>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</si>
  <si>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</si>
  <si>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</si>
  <si>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</si>
  <si>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</si>
  <si>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</si>
  <si>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</si>
  <si>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</si>
  <si>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</si>
  <si>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</si>
  <si>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</si>
  <si>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</si>
  <si>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</si>
  <si>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</si>
  <si>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</si>
  <si>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</si>
  <si>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</si>
  <si>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</si>
  <si>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</si>
  <si>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</si>
  <si>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</si>
  <si>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</si>
  <si>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</si>
  <si>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</si>
  <si>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</si>
  <si>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</si>
  <si>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</si>
  <si>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</si>
  <si>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</si>
  <si>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</si>
  <si>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</si>
  <si>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</si>
  <si>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</si>
  <si>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</si>
  <si>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</si>
  <si>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</si>
  <si>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</si>
  <si>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</si>
  <si>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</si>
  <si>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</si>
  <si>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</si>
  <si>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</si>
  <si>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</si>
  <si>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</si>
  <si>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</si>
  <si>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</si>
  <si>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</si>
  <si>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</si>
  <si>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</si>
  <si>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</si>
  <si>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</si>
  <si>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</si>
  <si>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</si>
  <si>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</si>
  <si>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</si>
  <si>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</si>
  <si>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</si>
  <si>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</si>
  <si>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</si>
  <si>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</si>
  <si>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</si>
  <si>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</si>
  <si>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</si>
  <si>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</si>
  <si>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</si>
  <si>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</si>
  <si>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</si>
  <si>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</si>
  <si>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</si>
  <si>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</si>
  <si>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</si>
  <si>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</si>
  <si>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</si>
  <si>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</si>
  <si>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</si>
  <si>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</si>
  <si>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</si>
  <si>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</si>
  <si>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</si>
  <si>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</si>
  <si>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</si>
  <si>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</si>
  <si>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</si>
  <si>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</si>
  <si>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</si>
  <si>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</si>
  <si>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</si>
  <si>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</si>
  <si>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</si>
  <si>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</si>
  <si>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</si>
  <si>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</si>
  <si>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</si>
  <si>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</si>
  <si>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</si>
  <si>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</si>
  <si>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</si>
  <si>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</si>
  <si>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</si>
  <si>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</si>
  <si>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</si>
  <si>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</si>
  <si>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</si>
  <si>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</si>
  <si>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</si>
  <si>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</si>
  <si>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</si>
  <si>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</si>
  <si>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</si>
  <si>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</si>
  <si>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</si>
  <si>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</si>
  <si>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</si>
  <si>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</si>
  <si>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</si>
  <si>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</si>
  <si>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</si>
  <si>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</si>
  <si>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</si>
  <si>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</si>
  <si>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</si>
  <si>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</si>
  <si>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</si>
  <si>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</si>
  <si>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</si>
  <si>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</si>
  <si>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</si>
  <si>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</si>
  <si>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</si>
  <si>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</si>
  <si>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</si>
  <si>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</si>
  <si>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</si>
  <si>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</si>
  <si>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</si>
  <si>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</si>
  <si>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</si>
  <si>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</si>
  <si>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</si>
  <si>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</si>
  <si>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</si>
  <si>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</si>
  <si>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</si>
  <si>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</si>
  <si>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</si>
  <si>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</si>
  <si>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</si>
  <si>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</si>
  <si>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</si>
  <si>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</si>
  <si>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</si>
  <si>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</si>
  <si>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</si>
  <si>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</si>
  <si>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</si>
  <si>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</si>
  <si>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</si>
  <si>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</si>
  <si>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</si>
  <si>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</si>
  <si>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</si>
  <si>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</si>
  <si>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</si>
  <si>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</si>
  <si>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</si>
  <si>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</si>
  <si>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</si>
  <si>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</si>
  <si>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</si>
  <si>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</si>
  <si>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</si>
  <si>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</si>
  <si>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</si>
  <si>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</si>
  <si>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</si>
  <si>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</si>
  <si>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</si>
  <si>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</si>
  <si>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</si>
  <si>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</si>
  <si>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</si>
  <si>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</si>
  <si>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</si>
  <si>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</si>
  <si>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</si>
  <si>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</si>
  <si>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</si>
  <si>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</si>
  <si>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</si>
  <si>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</si>
  <si>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</si>
  <si>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</si>
  <si>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</si>
  <si>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</si>
  <si>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</si>
  <si>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</si>
  <si>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</si>
  <si>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</si>
  <si>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</si>
  <si>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</si>
  <si>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</si>
  <si>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</si>
  <si>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</si>
  <si>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</si>
  <si>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</si>
  <si>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</si>
  <si>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</si>
  <si>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</si>
  <si>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</si>
  <si>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</si>
  <si>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</si>
  <si>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</si>
  <si>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</si>
  <si>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</si>
  <si>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</si>
  <si>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</si>
  <si>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</si>
  <si>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</si>
  <si>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</si>
  <si>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</si>
  <si>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</si>
  <si>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</si>
  <si>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</si>
  <si>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</si>
  <si>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</si>
  <si>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</si>
  <si>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</si>
  <si>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</si>
  <si>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</si>
  <si>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</si>
  <si>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</si>
  <si>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</si>
  <si>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</si>
  <si>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</si>
  <si>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</si>
  <si>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</si>
  <si>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</si>
  <si>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</si>
  <si>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</si>
  <si>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</si>
  <si>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</si>
  <si>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</si>
  <si>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</si>
  <si>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</si>
  <si>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</si>
  <si>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</si>
  <si>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</si>
  <si>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</si>
  <si>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</si>
  <si>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</si>
  <si>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</si>
  <si>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</si>
  <si>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</si>
  <si>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</si>
  <si>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</si>
  <si>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</si>
  <si>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</si>
  <si>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</si>
  <si>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</si>
  <si>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</si>
  <si>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</si>
  <si>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</si>
  <si>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</si>
  <si>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</si>
  <si>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</si>
  <si>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</si>
  <si>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</si>
  <si>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</si>
  <si>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</si>
  <si>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</si>
  <si>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</si>
  <si>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</si>
  <si>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</si>
  <si>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</si>
  <si>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</si>
  <si>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</si>
  <si>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</si>
  <si>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</si>
  <si>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</si>
  <si>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</si>
  <si>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</si>
  <si>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</si>
  <si>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</si>
  <si>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</si>
  <si>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</si>
  <si>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</si>
  <si>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</si>
  <si>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</si>
  <si>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</si>
  <si>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</si>
  <si>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</si>
  <si>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</si>
  <si>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</si>
  <si>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</si>
  <si>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</si>
  <si>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</si>
  <si>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</si>
  <si>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</si>
  <si>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</si>
  <si>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</si>
  <si>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</si>
  <si>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</si>
  <si>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</si>
  <si>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</si>
  <si>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</si>
  <si>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</si>
  <si>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</si>
  <si>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</si>
  <si>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</si>
  <si>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</si>
  <si>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</si>
  <si>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</si>
  <si>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</si>
  <si>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</si>
  <si>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</si>
  <si>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</si>
  <si>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</si>
  <si>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</si>
  <si>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</si>
  <si>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</si>
  <si>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</si>
  <si>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</si>
  <si>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</si>
  <si>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</si>
  <si>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</si>
  <si>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</si>
  <si>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</si>
  <si>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</si>
  <si>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</si>
  <si>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</si>
  <si>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</si>
  <si>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</si>
  <si>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</si>
  <si>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</si>
  <si>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</si>
  <si>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</si>
  <si>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</si>
  <si>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</si>
  <si>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</si>
  <si>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</si>
  <si>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</si>
  <si>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</si>
  <si>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</si>
  <si>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</si>
  <si>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</si>
  <si>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</si>
  <si>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</si>
  <si>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</si>
  <si>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</si>
  <si>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</si>
  <si>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</si>
  <si>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</si>
  <si>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</si>
  <si>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</si>
  <si>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</si>
  <si>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</si>
  <si>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</si>
  <si>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</si>
  <si>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</si>
  <si>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</si>
  <si>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</si>
  <si>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</si>
  <si>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</si>
  <si>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</si>
  <si>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</si>
  <si>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</si>
  <si>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</si>
  <si>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</si>
  <si>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</si>
  <si>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</si>
  <si>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</si>
  <si>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</si>
  <si>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</si>
  <si>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</si>
  <si>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</si>
  <si>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</si>
  <si>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</si>
  <si>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</si>
  <si>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</si>
  <si>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</si>
  <si>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</si>
  <si>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</si>
  <si>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</si>
  <si>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</si>
  <si>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</si>
  <si>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</si>
  <si>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</si>
  <si>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</si>
  <si>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</si>
  <si>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</si>
  <si>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</si>
  <si>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</si>
  <si>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</si>
  <si>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</si>
  <si>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</si>
  <si>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</si>
  <si>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</si>
  <si>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</si>
  <si>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</si>
  <si>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</si>
  <si>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</si>
  <si>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</si>
  <si>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</si>
  <si>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</si>
  <si>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</si>
  <si>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</si>
  <si>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</si>
  <si>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</si>
  <si>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</si>
  <si>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</si>
  <si>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</si>
  <si>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</si>
  <si>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</si>
  <si>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</si>
  <si>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</si>
  <si>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</si>
  <si>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</si>
  <si>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</si>
  <si>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</si>
  <si>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</si>
  <si>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</si>
  <si>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</si>
  <si>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</si>
  <si>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</si>
  <si>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</si>
  <si>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</si>
  <si>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</si>
  <si>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</si>
  <si>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</si>
  <si>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</si>
  <si>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</si>
  <si>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</si>
  <si>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</si>
  <si>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</si>
  <si>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</si>
  <si>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</si>
  <si>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</si>
  <si>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</si>
  <si>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</si>
  <si>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</si>
  <si>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</si>
  <si>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</si>
  <si>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</si>
  <si>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</si>
  <si>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</si>
  <si>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</si>
  <si>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</si>
  <si>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</si>
  <si>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</si>
  <si>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</si>
  <si>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</si>
  <si>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</si>
  <si>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</si>
  <si>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</si>
  <si>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</si>
  <si>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</si>
  <si>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</si>
  <si>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</si>
  <si>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</si>
  <si>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</si>
  <si>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</si>
  <si>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</si>
  <si>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</si>
  <si>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</si>
  <si>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</si>
  <si>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</si>
  <si>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</si>
  <si>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</si>
  <si>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</si>
  <si>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</si>
  <si>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</si>
  <si>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</si>
  <si>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</si>
  <si>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</si>
  <si>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</si>
  <si>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</si>
  <si>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</si>
  <si>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</si>
  <si>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</si>
  <si>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</si>
  <si>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</si>
  <si>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</si>
  <si>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</si>
  <si>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</si>
  <si>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</si>
  <si>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</si>
  <si>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</si>
  <si>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</si>
  <si>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</si>
  <si>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</si>
  <si>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</si>
  <si>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</si>
  <si>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</si>
  <si>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</si>
  <si>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</si>
  <si>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</si>
  <si>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</si>
  <si>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</si>
  <si>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</si>
  <si>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</si>
  <si>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</si>
  <si>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</si>
  <si>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</si>
  <si>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</si>
  <si>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</si>
  <si>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</si>
  <si>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</si>
  <si>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</si>
  <si>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</si>
  <si>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</si>
  <si>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</si>
  <si>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</si>
  <si>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</si>
  <si>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</si>
  <si>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</si>
  <si>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</si>
  <si>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</si>
  <si>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</si>
  <si>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</si>
  <si>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</si>
  <si>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</si>
  <si>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</si>
  <si>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</si>
  <si>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</si>
  <si>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</si>
  <si>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</si>
  <si>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</si>
  <si>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</si>
  <si>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</si>
  <si>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</si>
  <si>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</si>
  <si>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</si>
  <si>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</si>
  <si>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</si>
  <si>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</si>
  <si>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</si>
  <si>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</si>
  <si>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</si>
  <si>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</si>
  <si>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</si>
  <si>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</si>
  <si>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</si>
  <si>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</si>
  <si>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</si>
  <si>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</si>
  <si>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</si>
  <si>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</si>
  <si>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</si>
  <si>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</si>
  <si>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</si>
  <si>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</si>
  <si>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</si>
  <si>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</si>
  <si>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</si>
  <si>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</si>
  <si>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</si>
  <si>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</si>
  <si>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</si>
  <si>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</si>
  <si>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</si>
  <si>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</si>
  <si>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</si>
  <si>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</si>
  <si>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</si>
  <si>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</si>
  <si>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</si>
  <si>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</si>
  <si>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</si>
  <si>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</si>
  <si>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</si>
  <si>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</si>
  <si>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</si>
  <si>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</si>
  <si>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</si>
  <si>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</si>
  <si>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</si>
  <si>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</si>
  <si>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</si>
  <si>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</si>
  <si>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</si>
  <si>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</si>
  <si>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</si>
  <si>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</si>
  <si>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</si>
  <si>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</si>
  <si>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</si>
  <si>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</si>
  <si>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</si>
  <si>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</si>
  <si>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</si>
  <si>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</si>
  <si>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</si>
  <si>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</si>
  <si>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</si>
  <si>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</si>
  <si>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</si>
  <si>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</si>
  <si>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</si>
  <si>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</si>
  <si>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</si>
  <si>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</si>
  <si>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</si>
  <si>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</si>
  <si>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</si>
  <si>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</si>
  <si>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</si>
  <si>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</si>
  <si>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</si>
  <si>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</si>
  <si>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</si>
  <si>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</si>
  <si>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</si>
  <si>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</si>
  <si>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</si>
  <si>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</si>
  <si>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</si>
  <si>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</si>
  <si>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</si>
  <si>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</si>
  <si>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</si>
  <si>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</si>
  <si>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</si>
  <si>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</si>
  <si>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</si>
  <si>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</si>
  <si>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</si>
  <si>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</si>
  <si>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</si>
  <si>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</si>
  <si>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</si>
  <si>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</si>
  <si>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</si>
  <si>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</si>
  <si>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</si>
  <si>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</si>
  <si>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</si>
  <si>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</si>
  <si>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</si>
  <si>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</si>
  <si>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</si>
  <si>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</si>
  <si>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</si>
  <si>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</si>
  <si>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</si>
  <si>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</si>
  <si>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</si>
  <si>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</si>
  <si>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</si>
  <si>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</si>
  <si>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</si>
  <si>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</si>
  <si>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</si>
  <si>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</si>
  <si>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</si>
  <si>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</si>
  <si>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</si>
  <si>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</si>
  <si>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</si>
  <si>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44080</t>
  </si>
  <si>
    <t>ZOMERGEM</t>
  </si>
  <si>
    <t>Eandis (januari 2018); Infrax (juni 2018)</t>
  </si>
  <si>
    <t>MOW (september 2017)</t>
  </si>
  <si>
    <t>referentietaak LNE (2017); Jaarverslag De Lijn (2016)</t>
  </si>
  <si>
    <t>VEA (april 2018)</t>
  </si>
  <si>
    <t>VEA (januari 2017)</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</si>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</sst>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76245.980790414396</c:v>
                </c:pt>
                <c:pt idx="1">
                  <c:v>16614.821833019145</c:v>
                </c:pt>
                <c:pt idx="2">
                  <c:v>665.58900000000006</c:v>
                </c:pt>
                <c:pt idx="3">
                  <c:v>44942.954341019817</c:v>
                </c:pt>
                <c:pt idx="4">
                  <c:v>4566.4750512459987</c:v>
                </c:pt>
                <c:pt idx="5">
                  <c:v>37304.906014084096</c:v>
                </c:pt>
                <c:pt idx="6">
                  <c:v>621.31864326449488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76245.980790414396</c:v>
                </c:pt>
                <c:pt idx="1">
                  <c:v>16614.821833019145</c:v>
                </c:pt>
                <c:pt idx="2">
                  <c:v>665.58900000000006</c:v>
                </c:pt>
                <c:pt idx="3">
                  <c:v>44942.954341019817</c:v>
                </c:pt>
                <c:pt idx="4">
                  <c:v>4566.4750512459987</c:v>
                </c:pt>
                <c:pt idx="5">
                  <c:v>37304.906014084096</c:v>
                </c:pt>
                <c:pt idx="6">
                  <c:v>621.31864326449488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11697.488815653298</c:v>
                </c:pt>
                <c:pt idx="2">
                  <c:v>2026.7346353217126</c:v>
                </c:pt>
                <c:pt idx="3">
                  <c:v>9.4239822562649973</c:v>
                </c:pt>
                <c:pt idx="4">
                  <c:v>2698.8270570703839</c:v>
                </c:pt>
                <c:pt idx="5">
                  <c:v>567.31106117680042</c:v>
                </c:pt>
                <c:pt idx="6">
                  <c:v>9316.1414046151876</c:v>
                </c:pt>
                <c:pt idx="7">
                  <c:v>156.97650523882768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11697.488815653298</c:v>
                </c:pt>
                <c:pt idx="2">
                  <c:v>2026.7346353217126</c:v>
                </c:pt>
                <c:pt idx="3">
                  <c:v>9.4239822562649973</c:v>
                </c:pt>
                <c:pt idx="4">
                  <c:v>2698.8270570703839</c:v>
                </c:pt>
                <c:pt idx="5">
                  <c:v>567.31106117680042</c:v>
                </c:pt>
                <c:pt idx="6">
                  <c:v>9316.1414046151876</c:v>
                </c:pt>
                <c:pt idx="7">
                  <c:v>156.97650523882768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1.4158861183500624E-2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1.4158861183500624E-2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3489</v>
      </c>
      <c r="C9" s="342">
        <v>3320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2798.25</v>
      </c>
    </row>
    <row r="15" spans="1:6">
      <c r="A15" s="348" t="s">
        <v>184</v>
      </c>
      <c r="B15" s="334">
        <v>61</v>
      </c>
    </row>
    <row r="16" spans="1:6">
      <c r="A16" s="348" t="s">
        <v>6</v>
      </c>
      <c r="B16" s="334">
        <v>2764</v>
      </c>
    </row>
    <row r="17" spans="1:6">
      <c r="A17" s="348" t="s">
        <v>7</v>
      </c>
      <c r="B17" s="334">
        <v>631</v>
      </c>
    </row>
    <row r="18" spans="1:6">
      <c r="A18" s="348" t="s">
        <v>8</v>
      </c>
      <c r="B18" s="334">
        <v>1893</v>
      </c>
    </row>
    <row r="19" spans="1:6">
      <c r="A19" s="348" t="s">
        <v>9</v>
      </c>
      <c r="B19" s="334">
        <v>1874</v>
      </c>
    </row>
    <row r="20" spans="1:6">
      <c r="A20" s="348" t="s">
        <v>10</v>
      </c>
      <c r="B20" s="334">
        <v>1213</v>
      </c>
    </row>
    <row r="21" spans="1:6">
      <c r="A21" s="348" t="s">
        <v>11</v>
      </c>
      <c r="B21" s="334">
        <v>2876</v>
      </c>
    </row>
    <row r="22" spans="1:6">
      <c r="A22" s="348" t="s">
        <v>12</v>
      </c>
      <c r="B22" s="334">
        <v>11212</v>
      </c>
    </row>
    <row r="23" spans="1:6">
      <c r="A23" s="348" t="s">
        <v>13</v>
      </c>
      <c r="B23" s="334">
        <v>100</v>
      </c>
    </row>
    <row r="24" spans="1:6">
      <c r="A24" s="348" t="s">
        <v>14</v>
      </c>
      <c r="B24" s="334">
        <v>9</v>
      </c>
    </row>
    <row r="25" spans="1:6">
      <c r="A25" s="348" t="s">
        <v>15</v>
      </c>
      <c r="B25" s="334">
        <v>676</v>
      </c>
    </row>
    <row r="26" spans="1:6">
      <c r="A26" s="348" t="s">
        <v>16</v>
      </c>
      <c r="B26" s="334">
        <v>64</v>
      </c>
    </row>
    <row r="27" spans="1:6">
      <c r="A27" s="348" t="s">
        <v>17</v>
      </c>
      <c r="B27" s="334">
        <v>526</v>
      </c>
    </row>
    <row r="28" spans="1:6" s="356" customFormat="1">
      <c r="A28" s="355" t="s">
        <v>18</v>
      </c>
      <c r="B28" s="355">
        <v>115727</v>
      </c>
    </row>
    <row r="29" spans="1:6">
      <c r="A29" s="355" t="s">
        <v>744</v>
      </c>
      <c r="B29" s="355">
        <v>88</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198594.50508290701</v>
      </c>
    </row>
    <row r="39" spans="1:6">
      <c r="A39" s="348" t="s">
        <v>30</v>
      </c>
      <c r="B39" s="348" t="s">
        <v>31</v>
      </c>
      <c r="C39" s="334">
        <v>1604</v>
      </c>
      <c r="D39" s="334">
        <v>25105505.011021402</v>
      </c>
      <c r="E39" s="334">
        <v>3184</v>
      </c>
      <c r="F39" s="334">
        <v>13432140.6981373</v>
      </c>
    </row>
    <row r="40" spans="1:6">
      <c r="A40" s="348" t="s">
        <v>30</v>
      </c>
      <c r="B40" s="348" t="s">
        <v>29</v>
      </c>
      <c r="C40" s="334">
        <v>0</v>
      </c>
      <c r="D40" s="334">
        <v>0</v>
      </c>
      <c r="E40" s="334">
        <v>0</v>
      </c>
      <c r="F40" s="334">
        <v>0</v>
      </c>
    </row>
    <row r="41" spans="1:6">
      <c r="A41" s="348" t="s">
        <v>32</v>
      </c>
      <c r="B41" s="348" t="s">
        <v>33</v>
      </c>
      <c r="C41" s="334">
        <v>20</v>
      </c>
      <c r="D41" s="334">
        <v>376677.66047297098</v>
      </c>
      <c r="E41" s="334">
        <v>90</v>
      </c>
      <c r="F41" s="334">
        <v>817247.60610241501</v>
      </c>
    </row>
    <row r="42" spans="1:6">
      <c r="A42" s="348" t="s">
        <v>32</v>
      </c>
      <c r="B42" s="348" t="s">
        <v>34</v>
      </c>
      <c r="C42" s="334">
        <v>0</v>
      </c>
      <c r="D42" s="334">
        <v>0</v>
      </c>
      <c r="E42" s="334">
        <v>3</v>
      </c>
      <c r="F42" s="334">
        <v>33615.432949262999</v>
      </c>
    </row>
    <row r="43" spans="1:6">
      <c r="A43" s="348" t="s">
        <v>32</v>
      </c>
      <c r="B43" s="348" t="s">
        <v>35</v>
      </c>
      <c r="C43" s="334">
        <v>0</v>
      </c>
      <c r="D43" s="334">
        <v>0</v>
      </c>
      <c r="E43" s="334">
        <v>0</v>
      </c>
      <c r="F43" s="334">
        <v>0</v>
      </c>
    </row>
    <row r="44" spans="1:6">
      <c r="A44" s="348" t="s">
        <v>32</v>
      </c>
      <c r="B44" s="348" t="s">
        <v>36</v>
      </c>
      <c r="C44" s="334">
        <v>0</v>
      </c>
      <c r="D44" s="334">
        <v>0</v>
      </c>
      <c r="E44" s="334">
        <v>4</v>
      </c>
      <c r="F44" s="334">
        <v>13605.204598640799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1072481.80361833</v>
      </c>
      <c r="E48" s="334">
        <v>58</v>
      </c>
      <c r="F48" s="334">
        <v>677170.81208452897</v>
      </c>
    </row>
    <row r="49" spans="1:6">
      <c r="A49" s="348" t="s">
        <v>32</v>
      </c>
      <c r="B49" s="348" t="s">
        <v>40</v>
      </c>
      <c r="C49" s="334">
        <v>0</v>
      </c>
      <c r="D49" s="334">
        <v>0</v>
      </c>
      <c r="E49" s="334">
        <v>0</v>
      </c>
      <c r="F49" s="334">
        <v>0</v>
      </c>
    </row>
    <row r="50" spans="1:6">
      <c r="A50" s="348" t="s">
        <v>32</v>
      </c>
      <c r="B50" s="348" t="s">
        <v>41</v>
      </c>
      <c r="C50" s="334">
        <v>0</v>
      </c>
      <c r="D50" s="334">
        <v>0</v>
      </c>
      <c r="E50" s="334">
        <v>4</v>
      </c>
      <c r="F50" s="334">
        <v>196892.042368328</v>
      </c>
    </row>
    <row r="51" spans="1:6">
      <c r="A51" s="348" t="s">
        <v>42</v>
      </c>
      <c r="B51" s="348" t="s">
        <v>43</v>
      </c>
      <c r="C51" s="334">
        <v>0</v>
      </c>
      <c r="D51" s="334">
        <v>0</v>
      </c>
      <c r="E51" s="334">
        <v>108</v>
      </c>
      <c r="F51" s="334">
        <v>1927724.06157946</v>
      </c>
    </row>
    <row r="52" spans="1:6">
      <c r="A52" s="348" t="s">
        <v>42</v>
      </c>
      <c r="B52" s="348" t="s">
        <v>29</v>
      </c>
      <c r="C52" s="334">
        <v>6</v>
      </c>
      <c r="D52" s="334">
        <v>127436.375775074</v>
      </c>
      <c r="E52" s="334">
        <v>16</v>
      </c>
      <c r="F52" s="334">
        <v>331267.56850336399</v>
      </c>
    </row>
    <row r="53" spans="1:6">
      <c r="A53" s="348" t="s">
        <v>44</v>
      </c>
      <c r="B53" s="348" t="s">
        <v>45</v>
      </c>
      <c r="C53" s="334">
        <v>44</v>
      </c>
      <c r="D53" s="334">
        <v>696848.352497085</v>
      </c>
      <c r="E53" s="334">
        <v>132</v>
      </c>
      <c r="F53" s="334">
        <v>469669.94436631602</v>
      </c>
    </row>
    <row r="54" spans="1:6">
      <c r="A54" s="348" t="s">
        <v>46</v>
      </c>
      <c r="B54" s="348" t="s">
        <v>47</v>
      </c>
      <c r="C54" s="334">
        <v>0</v>
      </c>
      <c r="D54" s="334">
        <v>0</v>
      </c>
      <c r="E54" s="334">
        <v>3</v>
      </c>
      <c r="F54" s="334">
        <v>665589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1673155.71961994</v>
      </c>
      <c r="E57" s="334">
        <v>31</v>
      </c>
      <c r="F57" s="334">
        <v>777441.429124741</v>
      </c>
    </row>
    <row r="58" spans="1:6">
      <c r="A58" s="348" t="s">
        <v>49</v>
      </c>
      <c r="B58" s="348" t="s">
        <v>51</v>
      </c>
      <c r="C58" s="334">
        <v>7</v>
      </c>
      <c r="D58" s="334">
        <v>1807981.00283999</v>
      </c>
      <c r="E58" s="334">
        <v>16</v>
      </c>
      <c r="F58" s="334">
        <v>105057.568723269</v>
      </c>
    </row>
    <row r="59" spans="1:6">
      <c r="A59" s="348" t="s">
        <v>49</v>
      </c>
      <c r="B59" s="348" t="s">
        <v>52</v>
      </c>
      <c r="C59" s="334">
        <v>15</v>
      </c>
      <c r="D59" s="334">
        <v>764592.80615127797</v>
      </c>
      <c r="E59" s="334">
        <v>46</v>
      </c>
      <c r="F59" s="334">
        <v>1564784.1854401201</v>
      </c>
    </row>
    <row r="60" spans="1:6">
      <c r="A60" s="348" t="s">
        <v>49</v>
      </c>
      <c r="B60" s="348" t="s">
        <v>53</v>
      </c>
      <c r="C60" s="334">
        <v>12</v>
      </c>
      <c r="D60" s="334">
        <v>671938.694601967</v>
      </c>
      <c r="E60" s="334">
        <v>20</v>
      </c>
      <c r="F60" s="334">
        <v>522801.51877079799</v>
      </c>
    </row>
    <row r="61" spans="1:6">
      <c r="A61" s="348" t="s">
        <v>49</v>
      </c>
      <c r="B61" s="348" t="s">
        <v>54</v>
      </c>
      <c r="C61" s="334">
        <v>58</v>
      </c>
      <c r="D61" s="334">
        <v>1608062.91200917</v>
      </c>
      <c r="E61" s="334">
        <v>155</v>
      </c>
      <c r="F61" s="334">
        <v>1131058.15656593</v>
      </c>
    </row>
    <row r="62" spans="1:6">
      <c r="A62" s="348" t="s">
        <v>49</v>
      </c>
      <c r="B62" s="348" t="s">
        <v>55</v>
      </c>
      <c r="C62" s="334">
        <v>0</v>
      </c>
      <c r="D62" s="334">
        <v>0</v>
      </c>
      <c r="E62" s="334">
        <v>3</v>
      </c>
      <c r="F62" s="334">
        <v>12523.7096881095</v>
      </c>
    </row>
    <row r="63" spans="1:6">
      <c r="A63" s="348" t="s">
        <v>49</v>
      </c>
      <c r="B63" s="348" t="s">
        <v>29</v>
      </c>
      <c r="C63" s="334">
        <v>82</v>
      </c>
      <c r="D63" s="334">
        <v>2255533.36155156</v>
      </c>
      <c r="E63" s="334">
        <v>158</v>
      </c>
      <c r="F63" s="334">
        <v>2392253.1095131598</v>
      </c>
    </row>
    <row r="64" spans="1:6">
      <c r="A64" s="348" t="s">
        <v>56</v>
      </c>
      <c r="B64" s="348" t="s">
        <v>57</v>
      </c>
      <c r="C64" s="334">
        <v>0</v>
      </c>
      <c r="D64" s="334">
        <v>0</v>
      </c>
      <c r="E64" s="334">
        <v>0</v>
      </c>
      <c r="F64" s="334">
        <v>0</v>
      </c>
    </row>
    <row r="65" spans="1:6">
      <c r="A65" s="348" t="s">
        <v>56</v>
      </c>
      <c r="B65" s="348" t="s">
        <v>29</v>
      </c>
      <c r="C65" s="334">
        <v>3</v>
      </c>
      <c r="D65" s="334">
        <v>99711.124690052398</v>
      </c>
      <c r="E65" s="334">
        <v>3</v>
      </c>
      <c r="F65" s="334">
        <v>103937.20004361001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57942.639867555103</v>
      </c>
      <c r="E68" s="334">
        <v>9</v>
      </c>
      <c r="F68" s="334">
        <v>42581.932775207999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13055551</v>
      </c>
      <c r="E73" s="475">
        <v>13048210.962295987</v>
      </c>
    </row>
    <row r="74" spans="1:6">
      <c r="A74" s="348" t="s">
        <v>64</v>
      </c>
      <c r="B74" s="348" t="s">
        <v>657</v>
      </c>
      <c r="C74" s="1295" t="s">
        <v>659</v>
      </c>
      <c r="D74" s="475">
        <v>951307</v>
      </c>
      <c r="E74" s="475">
        <v>920432.09836481698</v>
      </c>
    </row>
    <row r="75" spans="1:6">
      <c r="A75" s="348" t="s">
        <v>65</v>
      </c>
      <c r="B75" s="348" t="s">
        <v>656</v>
      </c>
      <c r="C75" s="1295" t="s">
        <v>660</v>
      </c>
      <c r="D75" s="475">
        <v>26620163</v>
      </c>
      <c r="E75" s="475">
        <v>27463800.887292933</v>
      </c>
    </row>
    <row r="76" spans="1:6">
      <c r="A76" s="348" t="s">
        <v>65</v>
      </c>
      <c r="B76" s="348" t="s">
        <v>657</v>
      </c>
      <c r="C76" s="1295" t="s">
        <v>661</v>
      </c>
      <c r="D76" s="475">
        <v>724084</v>
      </c>
      <c r="E76" s="475">
        <v>733995.24718981539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168512</v>
      </c>
      <c r="C83" s="475">
        <v>167864.64160896273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1700.3928035570298</v>
      </c>
    </row>
    <row r="92" spans="1:6">
      <c r="A92" s="341" t="s">
        <v>69</v>
      </c>
      <c r="B92" s="342">
        <v>435.14134171284951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26786.843409424688</v>
      </c>
      <c r="C3" s="43" t="s">
        <v>170</v>
      </c>
      <c r="D3" s="43"/>
      <c r="E3" s="154"/>
      <c r="F3" s="43"/>
      <c r="G3" s="43"/>
      <c r="H3" s="43"/>
      <c r="I3" s="43"/>
      <c r="J3" s="43"/>
      <c r="K3" s="96"/>
    </row>
    <row r="4" spans="1:11">
      <c r="A4" s="383" t="s">
        <v>171</v>
      </c>
      <c r="B4" s="49">
        <f>IF(ISERROR('SEAP template'!B78+'SEAP template'!C78),0,'SEAP template'!B78+'SEAP template'!C78)</f>
        <v>25070.684145269879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1.4158861183500624E-2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32764.499999999996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665.58900000000006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665.58900000000006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1.4158861183500624E-2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9.4239822562649973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13432.1406981373</v>
      </c>
      <c r="C5" s="17">
        <f>IF(ISERROR('Eigen informatie GS &amp; warmtenet'!B57),0,'Eigen informatie GS &amp; warmtenet'!B57)</f>
        <v>0</v>
      </c>
      <c r="D5" s="30">
        <f>(SUM(HH_hh_gas_kWh,HH_rest_gas_kWh)/1000)*0.902</f>
        <v>22645.165519941307</v>
      </c>
      <c r="E5" s="17">
        <f>B46*B57</f>
        <v>3264.2318104982714</v>
      </c>
      <c r="F5" s="17">
        <f>B51*B62</f>
        <v>21109.308927473998</v>
      </c>
      <c r="G5" s="18"/>
      <c r="H5" s="17"/>
      <c r="I5" s="17"/>
      <c r="J5" s="17">
        <f>B50*B61+C50*C61</f>
        <v>1502.0899288173036</v>
      </c>
      <c r="K5" s="17"/>
      <c r="L5" s="17"/>
      <c r="M5" s="17"/>
      <c r="N5" s="17">
        <f>B48*B59+C48*C59</f>
        <v>11607.99110198919</v>
      </c>
      <c r="O5" s="17">
        <f>B69*B70*B71</f>
        <v>221.99333333333334</v>
      </c>
      <c r="P5" s="17">
        <f>B77*B78*B79/1000-B77*B78*B79/1000/B80</f>
        <v>762.66666666666674</v>
      </c>
    </row>
    <row r="6" spans="1:16">
      <c r="A6" s="16" t="s">
        <v>621</v>
      </c>
      <c r="B6" s="788">
        <f>kWh_PV_kleiner_dan_10kW</f>
        <v>1700.3928035570298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15132.53350169433</v>
      </c>
      <c r="C8" s="21">
        <f>C5</f>
        <v>0</v>
      </c>
      <c r="D8" s="21">
        <f>D5</f>
        <v>22645.165519941307</v>
      </c>
      <c r="E8" s="21">
        <f>E5</f>
        <v>3264.2318104982714</v>
      </c>
      <c r="F8" s="21">
        <f>F5</f>
        <v>21109.308927473998</v>
      </c>
      <c r="G8" s="21"/>
      <c r="H8" s="21"/>
      <c r="I8" s="21"/>
      <c r="J8" s="21">
        <f>J5</f>
        <v>1502.0899288173036</v>
      </c>
      <c r="K8" s="21"/>
      <c r="L8" s="21">
        <f>L5</f>
        <v>0</v>
      </c>
      <c r="M8" s="21">
        <f>M5</f>
        <v>0</v>
      </c>
      <c r="N8" s="21">
        <f>N5</f>
        <v>11607.99110198919</v>
      </c>
      <c r="O8" s="21">
        <f>O5</f>
        <v>221.99333333333334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1.4158861183500624E-2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214.25944120516263</v>
      </c>
      <c r="C12" s="23">
        <f ca="1">C10*C8</f>
        <v>0</v>
      </c>
      <c r="D12" s="23">
        <f>D8*D10</f>
        <v>4574.3234350281446</v>
      </c>
      <c r="E12" s="23">
        <f>E10*E8</f>
        <v>740.98062098310766</v>
      </c>
      <c r="F12" s="23">
        <f>F10*F8</f>
        <v>5636.1854836355578</v>
      </c>
      <c r="G12" s="23"/>
      <c r="H12" s="23"/>
      <c r="I12" s="23"/>
      <c r="J12" s="23">
        <f>J10*J8</f>
        <v>531.73983480132551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3489</v>
      </c>
      <c r="C28" s="36"/>
      <c r="D28" s="228"/>
    </row>
    <row r="29" spans="1:7" s="15" customFormat="1">
      <c r="A29" s="230" t="s">
        <v>794</v>
      </c>
      <c r="B29" s="37">
        <f>SUM(HH_hh_gas_aantal,HH_rest_gas_aantal)</f>
        <v>1604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1604</v>
      </c>
      <c r="C32" s="167">
        <f>IF(ISERROR(B32/SUM($B$32,$B$34,$B$35,$B$36,$B$38,$B$39)*100),0,B32/SUM($B$32,$B$34,$B$35,$B$36,$B$38,$B$39)*100)</f>
        <v>46.506233690924915</v>
      </c>
      <c r="D32" s="233"/>
      <c r="G32" s="15"/>
    </row>
    <row r="33" spans="1:7">
      <c r="A33" s="171" t="s">
        <v>72</v>
      </c>
      <c r="B33" s="34" t="s">
        <v>111</v>
      </c>
      <c r="C33" s="167"/>
      <c r="D33" s="233"/>
      <c r="G33" s="15"/>
    </row>
    <row r="34" spans="1:7">
      <c r="A34" s="171" t="s">
        <v>73</v>
      </c>
      <c r="B34" s="33">
        <f>IF((($B$28-$B$32-$B$39-$B$77-$B$38)*C20/100)&lt;0,0,($B$28-$B$32-$B$39-$B$77-$B$38)*C20/100)</f>
        <v>154.16638370118844</v>
      </c>
      <c r="C34" s="167">
        <f>IF(ISERROR(B34/SUM($B$32,$B$34,$B$35,$B$36,$B$38,$B$39)*100),0,B34/SUM($B$32,$B$34,$B$35,$B$36,$B$38,$B$39)*100)</f>
        <v>4.4698864511797174</v>
      </c>
      <c r="D34" s="233"/>
      <c r="G34" s="15"/>
    </row>
    <row r="35" spans="1:7">
      <c r="A35" s="171" t="s">
        <v>74</v>
      </c>
      <c r="B35" s="33">
        <f>IF((($B$28-$B$32-$B$39-$B$77-$B$38)*C21/100)&lt;0,0,($B$28-$B$32-$B$39-$B$77-$B$38)*C21/100)</f>
        <v>671.96434634974514</v>
      </c>
      <c r="C35" s="167">
        <f>IF(ISERROR(B35/SUM($B$32,$B$34,$B$35,$B$36,$B$38,$B$39)*100),0,B35/SUM($B$32,$B$34,$B$35,$B$36,$B$38,$B$39)*100)</f>
        <v>19.482874640468115</v>
      </c>
      <c r="D35" s="233"/>
      <c r="G35" s="15"/>
    </row>
    <row r="36" spans="1:7">
      <c r="A36" s="171" t="s">
        <v>75</v>
      </c>
      <c r="B36" s="33">
        <f>IF((($B$28-$B$32-$B$39-$B$77-$B$38)*C22/100)&lt;0,0,($B$28-$B$32-$B$39-$B$77-$B$38)*C22/100)</f>
        <v>160.86926994906619</v>
      </c>
      <c r="C36" s="167">
        <f>IF(ISERROR(B36/SUM($B$32,$B$34,$B$35,$B$36,$B$38,$B$39)*100),0,B36/SUM($B$32,$B$34,$B$35,$B$36,$B$38,$B$39)*100)</f>
        <v>4.6642293403614445</v>
      </c>
      <c r="D36" s="233"/>
      <c r="G36" s="15"/>
    </row>
    <row r="37" spans="1:7">
      <c r="A37" s="171" t="s">
        <v>76</v>
      </c>
      <c r="B37" s="34" t="s">
        <v>111</v>
      </c>
      <c r="C37" s="167"/>
      <c r="D37" s="173"/>
      <c r="G37" s="15"/>
    </row>
    <row r="38" spans="1:7">
      <c r="A38" s="171" t="s">
        <v>77</v>
      </c>
      <c r="B38" s="33">
        <f>IF((B24-(B29-B18)*0.1)&lt;0,0,B24-(B29-B18)*0.1)</f>
        <v>42.599999999999994</v>
      </c>
      <c r="C38" s="167">
        <f>IF(ISERROR(B38/SUM($B$32,$B$34,$B$35,$B$36,$B$38,$B$39)*100),0,B38/SUM($B$32,$B$34,$B$35,$B$36,$B$38,$B$39)*100)</f>
        <v>1.2351406204697013</v>
      </c>
      <c r="D38" s="234"/>
      <c r="G38" s="15"/>
    </row>
    <row r="39" spans="1:7">
      <c r="A39" s="171" t="s">
        <v>78</v>
      </c>
      <c r="B39" s="33">
        <f>IF((B25-(B29-B18))&lt;0,0,B25-(B29-B18)*0.9)</f>
        <v>815.4</v>
      </c>
      <c r="C39" s="167">
        <f>IF(ISERROR(B39/SUM($B$32,$B$34,$B$35,$B$36,$B$38,$B$39)*100),0,B39/SUM($B$32,$B$34,$B$35,$B$36,$B$38,$B$39)*100)</f>
        <v>23.641635256596118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1604</v>
      </c>
      <c r="C44" s="34" t="s">
        <v>111</v>
      </c>
      <c r="D44" s="174"/>
    </row>
    <row r="45" spans="1:7">
      <c r="A45" s="171" t="s">
        <v>72</v>
      </c>
      <c r="B45" s="33" t="str">
        <f t="shared" si="0"/>
        <v>-</v>
      </c>
      <c r="C45" s="34" t="s">
        <v>111</v>
      </c>
      <c r="D45" s="174"/>
    </row>
    <row r="46" spans="1:7">
      <c r="A46" s="171" t="s">
        <v>73</v>
      </c>
      <c r="B46" s="33">
        <f t="shared" si="0"/>
        <v>154.16638370118844</v>
      </c>
      <c r="C46" s="34" t="s">
        <v>111</v>
      </c>
      <c r="D46" s="174"/>
    </row>
    <row r="47" spans="1:7">
      <c r="A47" s="171" t="s">
        <v>74</v>
      </c>
      <c r="B47" s="33">
        <f t="shared" si="0"/>
        <v>671.96434634974514</v>
      </c>
      <c r="C47" s="34" t="s">
        <v>111</v>
      </c>
      <c r="D47" s="174"/>
    </row>
    <row r="48" spans="1:7">
      <c r="A48" s="171" t="s">
        <v>75</v>
      </c>
      <c r="B48" s="33">
        <f t="shared" si="0"/>
        <v>160.86926994906619</v>
      </c>
      <c r="C48" s="33">
        <f>B48*10</f>
        <v>1608.6926994906619</v>
      </c>
      <c r="D48" s="234"/>
    </row>
    <row r="49" spans="1:6">
      <c r="A49" s="171" t="s">
        <v>76</v>
      </c>
      <c r="B49" s="33" t="str">
        <f t="shared" si="0"/>
        <v>-</v>
      </c>
      <c r="C49" s="34" t="s">
        <v>111</v>
      </c>
      <c r="D49" s="234"/>
    </row>
    <row r="50" spans="1:6">
      <c r="A50" s="171" t="s">
        <v>77</v>
      </c>
      <c r="B50" s="33">
        <f t="shared" si="0"/>
        <v>42.599999999999994</v>
      </c>
      <c r="C50" s="33">
        <f>B50*2</f>
        <v>85.199999999999989</v>
      </c>
      <c r="D50" s="234"/>
    </row>
    <row r="51" spans="1:6">
      <c r="A51" s="171" t="s">
        <v>78</v>
      </c>
      <c r="B51" s="33">
        <f t="shared" si="0"/>
        <v>815.4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6505.9196778261266</v>
      </c>
      <c r="C5" s="17">
        <f>IF(ISERROR('Eigen informatie GS &amp; warmtenet'!B58),0,'Eigen informatie GS &amp; warmtenet'!B58)</f>
        <v>0</v>
      </c>
      <c r="D5" s="30">
        <f>SUM(D6:D12)</f>
        <v>7920.7005760900629</v>
      </c>
      <c r="E5" s="17">
        <f>SUM(E6:E12)</f>
        <v>95.077228782019432</v>
      </c>
      <c r="F5" s="17">
        <f>SUM(F6:F12)</f>
        <v>1172.4574903322143</v>
      </c>
      <c r="G5" s="18"/>
      <c r="H5" s="17"/>
      <c r="I5" s="17"/>
      <c r="J5" s="17">
        <f>SUM(J6:J12)</f>
        <v>2.2668107216868117E-2</v>
      </c>
      <c r="K5" s="17"/>
      <c r="L5" s="17"/>
      <c r="M5" s="17"/>
      <c r="N5" s="17">
        <f>SUM(N6:N12)</f>
        <v>896.88752521483957</v>
      </c>
      <c r="O5" s="17">
        <f>B38*B39*B40</f>
        <v>4.6900000000000004</v>
      </c>
      <c r="P5" s="17">
        <f>B46*B47*B48/1000-B46*B47*B48/1000/B49</f>
        <v>19.066666666666666</v>
      </c>
      <c r="R5" s="32"/>
    </row>
    <row r="6" spans="1:18">
      <c r="A6" s="32" t="s">
        <v>54</v>
      </c>
      <c r="B6" s="37">
        <f>B26</f>
        <v>1131.0581565659299</v>
      </c>
      <c r="C6" s="33"/>
      <c r="D6" s="37">
        <f>IF(ISERROR(TER_kantoor_gas_kWh/1000),0,TER_kantoor_gas_kWh/1000)*0.902</f>
        <v>1450.4727466322715</v>
      </c>
      <c r="E6" s="33">
        <f>$C$26*'E Balans VL '!I12/100/3.6*1000000</f>
        <v>7.0890963413058269E-3</v>
      </c>
      <c r="F6" s="33">
        <f>$C$26*('E Balans VL '!L12+'E Balans VL '!N12)/100/3.6*1000000</f>
        <v>169.96643615269807</v>
      </c>
      <c r="G6" s="34"/>
      <c r="H6" s="33"/>
      <c r="I6" s="33"/>
      <c r="J6" s="33">
        <f>$C$26*('E Balans VL '!D12+'E Balans VL '!E12)/100/3.6*1000000</f>
        <v>0</v>
      </c>
      <c r="K6" s="33"/>
      <c r="L6" s="33"/>
      <c r="M6" s="33"/>
      <c r="N6" s="33">
        <f>$C$26*'E Balans VL '!Y12/100/3.6*1000000</f>
        <v>1.0816894289797485</v>
      </c>
      <c r="O6" s="33"/>
      <c r="P6" s="33"/>
      <c r="R6" s="32"/>
    </row>
    <row r="7" spans="1:18">
      <c r="A7" s="32" t="s">
        <v>53</v>
      </c>
      <c r="B7" s="37">
        <f t="shared" ref="B7:B12" si="0">B27</f>
        <v>522.801518770798</v>
      </c>
      <c r="C7" s="33"/>
      <c r="D7" s="37">
        <f>IF(ISERROR(TER_horeca_gas_kWh/1000),0,TER_horeca_gas_kWh/1000)*0.902</f>
        <v>606.08870253097427</v>
      </c>
      <c r="E7" s="33">
        <f>$C$27*'E Balans VL '!I9/100/3.6*1000000</f>
        <v>7.4864306666886087</v>
      </c>
      <c r="F7" s="33">
        <f>$C$27*('E Balans VL '!L9+'E Balans VL '!N9)/100/3.6*1000000</f>
        <v>66.203914934760391</v>
      </c>
      <c r="G7" s="34"/>
      <c r="H7" s="33"/>
      <c r="I7" s="33"/>
      <c r="J7" s="33">
        <f>$C$27*('E Balans VL '!D9+'E Balans VL '!E9)/100/3.6*1000000</f>
        <v>0</v>
      </c>
      <c r="K7" s="33"/>
      <c r="L7" s="33"/>
      <c r="M7" s="33"/>
      <c r="N7" s="33">
        <f>$C$27*'E Balans VL '!Y9/100/3.6*1000000</f>
        <v>0.15029390986257082</v>
      </c>
      <c r="O7" s="33"/>
      <c r="P7" s="33"/>
      <c r="R7" s="32"/>
    </row>
    <row r="8" spans="1:18">
      <c r="A8" s="6" t="s">
        <v>52</v>
      </c>
      <c r="B8" s="37">
        <f t="shared" si="0"/>
        <v>1564.7841854401202</v>
      </c>
      <c r="C8" s="33"/>
      <c r="D8" s="37">
        <f>IF(ISERROR(TER_handel_gas_kWh/1000),0,TER_handel_gas_kWh/1000)*0.902</f>
        <v>689.66271114845279</v>
      </c>
      <c r="E8" s="33">
        <f>$C$28*'E Balans VL '!I13/100/3.6*1000000</f>
        <v>56.754529445372349</v>
      </c>
      <c r="F8" s="33">
        <f>$C$28*('E Balans VL '!L13+'E Balans VL '!N13)/100/3.6*1000000</f>
        <v>301.39327856300326</v>
      </c>
      <c r="G8" s="34"/>
      <c r="H8" s="33"/>
      <c r="I8" s="33"/>
      <c r="J8" s="33">
        <f>$C$28*('E Balans VL '!D13+'E Balans VL '!E13)/100/3.6*1000000</f>
        <v>0</v>
      </c>
      <c r="K8" s="33"/>
      <c r="L8" s="33"/>
      <c r="M8" s="33"/>
      <c r="N8" s="33">
        <f>$C$28*'E Balans VL '!Y13/100/3.6*1000000</f>
        <v>2.1675861376182985</v>
      </c>
      <c r="O8" s="33"/>
      <c r="P8" s="33"/>
      <c r="R8" s="32"/>
    </row>
    <row r="9" spans="1:18">
      <c r="A9" s="32" t="s">
        <v>51</v>
      </c>
      <c r="B9" s="37">
        <f t="shared" si="0"/>
        <v>105.057568723269</v>
      </c>
      <c r="C9" s="33"/>
      <c r="D9" s="37">
        <f>IF(ISERROR(TER_gezond_gas_kWh/1000),0,TER_gezond_gas_kWh/1000)*0.902</f>
        <v>1630.7988645616711</v>
      </c>
      <c r="E9" s="33">
        <f>$C$29*'E Balans VL '!I10/100/3.6*1000000</f>
        <v>6.5776410581766314E-3</v>
      </c>
      <c r="F9" s="33">
        <f>$C$29*('E Balans VL '!L10+'E Balans VL '!N10)/100/3.6*1000000</f>
        <v>15.606621703675577</v>
      </c>
      <c r="G9" s="34"/>
      <c r="H9" s="33"/>
      <c r="I9" s="33"/>
      <c r="J9" s="33">
        <f>$C$29*('E Balans VL '!D10+'E Balans VL '!E10)/100/3.6*1000000</f>
        <v>0</v>
      </c>
      <c r="K9" s="33"/>
      <c r="L9" s="33"/>
      <c r="M9" s="33"/>
      <c r="N9" s="33">
        <f>$C$29*'E Balans VL '!Y10/100/3.6*1000000</f>
        <v>1.625040610200378</v>
      </c>
      <c r="O9" s="33"/>
      <c r="P9" s="33"/>
      <c r="R9" s="32"/>
    </row>
    <row r="10" spans="1:18">
      <c r="A10" s="32" t="s">
        <v>50</v>
      </c>
      <c r="B10" s="37">
        <f t="shared" si="0"/>
        <v>777.44142912474103</v>
      </c>
      <c r="C10" s="33"/>
      <c r="D10" s="37">
        <f>IF(ISERROR(TER_ander_gas_kWh/1000),0,TER_ander_gas_kWh/1000)*0.902</f>
        <v>1509.1864590971861</v>
      </c>
      <c r="E10" s="33">
        <f>$C$30*'E Balans VL '!I14/100/3.6*1000000</f>
        <v>0.9266824024541892</v>
      </c>
      <c r="F10" s="33">
        <f>$C$30*('E Balans VL '!L14+'E Balans VL '!N14)/100/3.6*1000000</f>
        <v>203.41324019033701</v>
      </c>
      <c r="G10" s="34"/>
      <c r="H10" s="33"/>
      <c r="I10" s="33"/>
      <c r="J10" s="33">
        <f>$C$30*('E Balans VL '!D14+'E Balans VL '!E14)/100/3.6*1000000</f>
        <v>1.6875205940043023E-2</v>
      </c>
      <c r="K10" s="33"/>
      <c r="L10" s="33"/>
      <c r="M10" s="33"/>
      <c r="N10" s="33">
        <f>$C$30*'E Balans VL '!Y14/100/3.6*1000000</f>
        <v>660.18423788873747</v>
      </c>
      <c r="O10" s="33"/>
      <c r="P10" s="33"/>
      <c r="R10" s="32"/>
    </row>
    <row r="11" spans="1:18">
      <c r="A11" s="32" t="s">
        <v>55</v>
      </c>
      <c r="B11" s="37">
        <f t="shared" si="0"/>
        <v>12.5237096881095</v>
      </c>
      <c r="C11" s="33"/>
      <c r="D11" s="37">
        <f>IF(ISERROR(TER_onderwijs_gas_kWh/1000),0,TER_onderwijs_gas_kWh/1000)*0.902</f>
        <v>0</v>
      </c>
      <c r="E11" s="33">
        <f>$C$31*'E Balans VL '!I11/100/3.6*1000000</f>
        <v>0.18896260784103189</v>
      </c>
      <c r="F11" s="33">
        <f>$C$31*('E Balans VL '!L11+'E Balans VL '!N11)/100/3.6*1000000</f>
        <v>2.1943540095711334</v>
      </c>
      <c r="G11" s="34"/>
      <c r="H11" s="33"/>
      <c r="I11" s="33"/>
      <c r="J11" s="33">
        <f>$C$31*('E Balans VL '!D11+'E Balans VL '!E11)/100/3.6*1000000</f>
        <v>0</v>
      </c>
      <c r="K11" s="33"/>
      <c r="L11" s="33"/>
      <c r="M11" s="33"/>
      <c r="N11" s="33">
        <f>$C$31*'E Balans VL '!Y11/100/3.6*1000000</f>
        <v>3.5242671151007939E-2</v>
      </c>
      <c r="O11" s="33"/>
      <c r="P11" s="33"/>
      <c r="R11" s="32"/>
    </row>
    <row r="12" spans="1:18">
      <c r="A12" s="32" t="s">
        <v>260</v>
      </c>
      <c r="B12" s="37">
        <f t="shared" si="0"/>
        <v>2392.2531095131599</v>
      </c>
      <c r="C12" s="33"/>
      <c r="D12" s="37">
        <f>IF(ISERROR(TER_rest_gas_kWh/1000),0,TER_rest_gas_kWh/1000)*0.902</f>
        <v>2034.4910921195074</v>
      </c>
      <c r="E12" s="33">
        <f>$C$32*'E Balans VL '!I8/100/3.6*1000000</f>
        <v>29.706956922263775</v>
      </c>
      <c r="F12" s="33">
        <f>$C$32*('E Balans VL '!L8+'E Balans VL '!N8)/100/3.6*1000000</f>
        <v>413.67964477816889</v>
      </c>
      <c r="G12" s="34"/>
      <c r="H12" s="33"/>
      <c r="I12" s="33"/>
      <c r="J12" s="33">
        <f>$C$32*('E Balans VL '!D8+'E Balans VL '!E8)/100/3.6*1000000</f>
        <v>5.7929012768250937E-3</v>
      </c>
      <c r="K12" s="33"/>
      <c r="L12" s="33"/>
      <c r="M12" s="33"/>
      <c r="N12" s="33">
        <f>$C$32*'E Balans VL '!Y8/100/3.6*1000000</f>
        <v>231.64343456829016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6505.9196778261266</v>
      </c>
      <c r="C16" s="21">
        <f t="shared" ca="1" si="1"/>
        <v>0</v>
      </c>
      <c r="D16" s="21">
        <f t="shared" ca="1" si="1"/>
        <v>7920.7005760900629</v>
      </c>
      <c r="E16" s="21">
        <f t="shared" si="1"/>
        <v>95.077228782019432</v>
      </c>
      <c r="F16" s="21">
        <f t="shared" ca="1" si="1"/>
        <v>1172.4574903322143</v>
      </c>
      <c r="G16" s="21">
        <f t="shared" si="1"/>
        <v>0</v>
      </c>
      <c r="H16" s="21">
        <f t="shared" si="1"/>
        <v>0</v>
      </c>
      <c r="I16" s="21">
        <f t="shared" si="1"/>
        <v>0</v>
      </c>
      <c r="J16" s="21">
        <f t="shared" si="1"/>
        <v>2.2668107216868117E-2</v>
      </c>
      <c r="K16" s="21">
        <f t="shared" si="1"/>
        <v>0</v>
      </c>
      <c r="L16" s="21">
        <f t="shared" ca="1" si="1"/>
        <v>0</v>
      </c>
      <c r="M16" s="21">
        <f t="shared" si="1"/>
        <v>0</v>
      </c>
      <c r="N16" s="21">
        <f t="shared" ca="1" si="1"/>
        <v>896.88752521483957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1.4158861183500624E-2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92.116413589345228</v>
      </c>
      <c r="C20" s="23">
        <f t="shared" ref="C20:P20" ca="1" si="2">C16*C18</f>
        <v>0</v>
      </c>
      <c r="D20" s="23">
        <f t="shared" ca="1" si="2"/>
        <v>1599.9815163701928</v>
      </c>
      <c r="E20" s="23">
        <f t="shared" si="2"/>
        <v>21.582530933518413</v>
      </c>
      <c r="F20" s="23">
        <f t="shared" ca="1" si="2"/>
        <v>313.04614991870125</v>
      </c>
      <c r="G20" s="23">
        <f t="shared" si="2"/>
        <v>0</v>
      </c>
      <c r="H20" s="23">
        <f t="shared" si="2"/>
        <v>0</v>
      </c>
      <c r="I20" s="23">
        <f t="shared" si="2"/>
        <v>0</v>
      </c>
      <c r="J20" s="23">
        <f t="shared" si="2"/>
        <v>8.0245099547713132E-3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1131.0581565659299</v>
      </c>
      <c r="C26" s="39">
        <f>IF(ISERROR(B26*3.6/1000000/'E Balans VL '!Z12*100),0,B26*3.6/1000000/'E Balans VL '!Z12*100)</f>
        <v>2.3908777688955763E-2</v>
      </c>
      <c r="D26" s="237" t="s">
        <v>754</v>
      </c>
      <c r="F26" s="6"/>
    </row>
    <row r="27" spans="1:18">
      <c r="A27" s="231" t="s">
        <v>53</v>
      </c>
      <c r="B27" s="33">
        <f>IF(ISERROR(TER_horeca_ele_kWh/1000),0,TER_horeca_ele_kWh/1000)</f>
        <v>522.801518770798</v>
      </c>
      <c r="C27" s="39">
        <f>IF(ISERROR(B27*3.6/1000000/'E Balans VL '!Z9*100),0,B27*3.6/1000000/'E Balans VL '!Z9*100)</f>
        <v>4.1212248866628096E-2</v>
      </c>
      <c r="D27" s="237" t="s">
        <v>754</v>
      </c>
      <c r="F27" s="6"/>
    </row>
    <row r="28" spans="1:18">
      <c r="A28" s="171" t="s">
        <v>52</v>
      </c>
      <c r="B28" s="33">
        <f>IF(ISERROR(TER_handel_ele_kWh/1000),0,TER_handel_ele_kWh/1000)</f>
        <v>1564.7841854401202</v>
      </c>
      <c r="C28" s="39">
        <f>IF(ISERROR(B28*3.6/1000000/'E Balans VL '!Z13*100),0,B28*3.6/1000000/'E Balans VL '!Z13*100)</f>
        <v>4.5416359498049085E-2</v>
      </c>
      <c r="D28" s="237" t="s">
        <v>754</v>
      </c>
      <c r="F28" s="6"/>
    </row>
    <row r="29" spans="1:18">
      <c r="A29" s="231" t="s">
        <v>51</v>
      </c>
      <c r="B29" s="33">
        <f>IF(ISERROR(TER_gezond_ele_kWh/1000),0,TER_gezond_ele_kWh/1000)</f>
        <v>105.057568723269</v>
      </c>
      <c r="C29" s="39">
        <f>IF(ISERROR(B29*3.6/1000000/'E Balans VL '!Z10*100),0,B29*3.6/1000000/'E Balans VL '!Z10*100)</f>
        <v>1.1064287077374391E-2</v>
      </c>
      <c r="D29" s="237" t="s">
        <v>754</v>
      </c>
      <c r="F29" s="6"/>
    </row>
    <row r="30" spans="1:18">
      <c r="A30" s="231" t="s">
        <v>50</v>
      </c>
      <c r="B30" s="33">
        <f>IF(ISERROR(TER_ander_ele_kWh/1000),0,TER_ander_ele_kWh/1000)</f>
        <v>777.44142912474103</v>
      </c>
      <c r="C30" s="39">
        <f>IF(ISERROR(B30*3.6/1000000/'E Balans VL '!Z14*100),0,B30*3.6/1000000/'E Balans VL '!Z14*100)</f>
        <v>5.7344248671679338E-2</v>
      </c>
      <c r="D30" s="237" t="s">
        <v>754</v>
      </c>
      <c r="F30" s="6"/>
    </row>
    <row r="31" spans="1:18">
      <c r="A31" s="231" t="s">
        <v>55</v>
      </c>
      <c r="B31" s="33">
        <f>IF(ISERROR(TER_onderwijs_ele_kWh/1000),0,TER_onderwijs_ele_kWh/1000)</f>
        <v>12.5237096881095</v>
      </c>
      <c r="C31" s="39">
        <f>IF(ISERROR(B31*3.6/1000000/'E Balans VL '!Z11*100),0,B31*3.6/1000000/'E Balans VL '!Z11*100)</f>
        <v>3.1102237606681184E-3</v>
      </c>
      <c r="D31" s="237" t="s">
        <v>754</v>
      </c>
    </row>
    <row r="32" spans="1:18">
      <c r="A32" s="231" t="s">
        <v>260</v>
      </c>
      <c r="B32" s="33">
        <f>IF(ISERROR(TER_rest_ele_kWh/1000),0,TER_rest_ele_kWh/1000)</f>
        <v>2392.2531095131599</v>
      </c>
      <c r="C32" s="39">
        <f>IF(ISERROR(B32*3.6/1000000/'E Balans VL '!Z8*100),0,B32*3.6/1000000/'E Balans VL '!Z8*100)</f>
        <v>1.9685067698077523E-2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1738.531098103176</v>
      </c>
      <c r="C5" s="17">
        <f>IF(ISERROR('Eigen informatie GS &amp; warmtenet'!B59),0,'Eigen informatie GS &amp; warmtenet'!B59)</f>
        <v>0</v>
      </c>
      <c r="D5" s="30">
        <f>SUM(D6:D15)</f>
        <v>1307.1418366103535</v>
      </c>
      <c r="E5" s="17">
        <f>SUM(E6:E15)</f>
        <v>276.91237543284973</v>
      </c>
      <c r="F5" s="17">
        <f>SUM(F6:F15)</f>
        <v>805.00184614920056</v>
      </c>
      <c r="G5" s="18"/>
      <c r="H5" s="17"/>
      <c r="I5" s="17"/>
      <c r="J5" s="17">
        <f>SUM(J6:J15)</f>
        <v>2.4242586304345175</v>
      </c>
      <c r="K5" s="17"/>
      <c r="L5" s="17"/>
      <c r="M5" s="17"/>
      <c r="N5" s="17">
        <f>SUM(N6:N15)</f>
        <v>436.4636363199844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13.6052045986408</v>
      </c>
      <c r="C8" s="33"/>
      <c r="D8" s="37">
        <f>IF( ISERROR(IND_metaal_Gas_kWH/1000),0,IND_metaal_Gas_kWH/1000)*0.902</f>
        <v>0</v>
      </c>
      <c r="E8" s="33">
        <f>C30*'E Balans VL '!I18/100/3.6*1000000</f>
        <v>0.12508671625293871</v>
      </c>
      <c r="F8" s="33">
        <f>C30*'E Balans VL '!L18/100/3.6*1000000+C30*'E Balans VL '!N18/100/3.6*1000000</f>
        <v>1.2757152282404156</v>
      </c>
      <c r="G8" s="34"/>
      <c r="H8" s="33"/>
      <c r="I8" s="33"/>
      <c r="J8" s="40">
        <f>C30*'E Balans VL '!D18/100/3.6*1000000+C30*'E Balans VL '!E18/100/3.6*1000000</f>
        <v>0</v>
      </c>
      <c r="K8" s="33"/>
      <c r="L8" s="33"/>
      <c r="M8" s="33"/>
      <c r="N8" s="33">
        <f>C30*'E Balans VL '!Y18/100/3.6*1000000</f>
        <v>0.19410072714701598</v>
      </c>
      <c r="O8" s="33"/>
      <c r="P8" s="33"/>
      <c r="R8" s="32"/>
    </row>
    <row r="9" spans="1:18">
      <c r="A9" s="6" t="s">
        <v>33</v>
      </c>
      <c r="B9" s="37">
        <f t="shared" si="0"/>
        <v>817.24760610241503</v>
      </c>
      <c r="C9" s="33"/>
      <c r="D9" s="37">
        <f>IF( ISERROR(IND_andere_gas_kWh/1000),0,IND_andere_gas_kWh/1000)*0.902</f>
        <v>339.76324974661981</v>
      </c>
      <c r="E9" s="33">
        <f>C31*'E Balans VL '!I19/100/3.6*1000000</f>
        <v>238.89738519806085</v>
      </c>
      <c r="F9" s="33">
        <f>C31*'E Balans VL '!L19/100/3.6*1000000+C31*'E Balans VL '!N19/100/3.6*1000000</f>
        <v>656.72031146301322</v>
      </c>
      <c r="G9" s="34"/>
      <c r="H9" s="33"/>
      <c r="I9" s="33"/>
      <c r="J9" s="40">
        <f>C31*'E Balans VL '!D19/100/3.6*1000000+C31*'E Balans VL '!E19/100/3.6*1000000</f>
        <v>0</v>
      </c>
      <c r="K9" s="33"/>
      <c r="L9" s="33"/>
      <c r="M9" s="33"/>
      <c r="N9" s="33">
        <f>C31*'E Balans VL '!Y19/100/3.6*1000000</f>
        <v>270.0312836679779</v>
      </c>
      <c r="O9" s="33"/>
      <c r="P9" s="33"/>
      <c r="R9" s="32"/>
    </row>
    <row r="10" spans="1:18">
      <c r="A10" s="6" t="s">
        <v>41</v>
      </c>
      <c r="B10" s="37">
        <f t="shared" si="0"/>
        <v>196.89204236832799</v>
      </c>
      <c r="C10" s="33"/>
      <c r="D10" s="37">
        <f>IF( ISERROR(IND_voed_gas_kWh/1000),0,IND_voed_gas_kWh/1000)*0.902</f>
        <v>0</v>
      </c>
      <c r="E10" s="33">
        <f>C32*'E Balans VL '!I20/100/3.6*1000000</f>
        <v>0.41652816847747226</v>
      </c>
      <c r="F10" s="33">
        <f>C32*'E Balans VL '!L20/100/3.6*1000000+C32*'E Balans VL '!N20/100/3.6*1000000</f>
        <v>12.518597173101838</v>
      </c>
      <c r="G10" s="34"/>
      <c r="H10" s="33"/>
      <c r="I10" s="33"/>
      <c r="J10" s="40">
        <f>C32*'E Balans VL '!D20/100/3.6*1000000+C32*'E Balans VL '!E20/100/3.6*1000000</f>
        <v>0</v>
      </c>
      <c r="K10" s="33"/>
      <c r="L10" s="33"/>
      <c r="M10" s="33"/>
      <c r="N10" s="33">
        <f>C32*'E Balans VL '!Y20/100/3.6*1000000</f>
        <v>13.587493901564578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33.615432949262996</v>
      </c>
      <c r="C14" s="33"/>
      <c r="D14" s="37">
        <f>IF( ISERROR(IND_chemie_gas_kWh/1000),0,IND_chemie_gas_kWh/1000)*0.902</f>
        <v>0</v>
      </c>
      <c r="E14" s="33">
        <f>C36*'E Balans VL '!I24/100/3.6*1000000</f>
        <v>8.2751564467375249E-2</v>
      </c>
      <c r="F14" s="33">
        <f>C36*'E Balans VL '!L24/100/3.6*1000000+C36*'E Balans VL '!N24/100/3.6*1000000</f>
        <v>0.35995247942710434</v>
      </c>
      <c r="G14" s="34"/>
      <c r="H14" s="33"/>
      <c r="I14" s="33"/>
      <c r="J14" s="40">
        <f>C36*'E Balans VL '!D24/100/3.6*1000000+C36*'E Balans VL '!E24/100/3.6*1000000</f>
        <v>0</v>
      </c>
      <c r="K14" s="33"/>
      <c r="L14" s="33"/>
      <c r="M14" s="33"/>
      <c r="N14" s="33">
        <f>C36*'E Balans VL '!Y24/100/3.6*1000000</f>
        <v>0.75071559823373546</v>
      </c>
      <c r="O14" s="33"/>
      <c r="P14" s="33"/>
      <c r="R14" s="32"/>
    </row>
    <row r="15" spans="1:18">
      <c r="A15" s="6" t="s">
        <v>270</v>
      </c>
      <c r="B15" s="37">
        <f t="shared" si="0"/>
        <v>677.17081208452896</v>
      </c>
      <c r="C15" s="33"/>
      <c r="D15" s="37">
        <f>IF( ISERROR(IND_rest_gas_kWh/1000),0,IND_rest_gas_kWh/1000)*0.902</f>
        <v>967.37858686373374</v>
      </c>
      <c r="E15" s="33">
        <f>C37*'E Balans VL '!I15/100/3.6*1000000</f>
        <v>37.390623785591103</v>
      </c>
      <c r="F15" s="33">
        <f>C37*'E Balans VL '!L15/100/3.6*1000000+C37*'E Balans VL '!N15/100/3.6*1000000</f>
        <v>134.12726980541797</v>
      </c>
      <c r="G15" s="34"/>
      <c r="H15" s="33"/>
      <c r="I15" s="33"/>
      <c r="J15" s="40">
        <f>C37*'E Balans VL '!D15/100/3.6*1000000+C37*'E Balans VL '!E15/100/3.6*1000000</f>
        <v>2.4242586304345175</v>
      </c>
      <c r="K15" s="33"/>
      <c r="L15" s="33"/>
      <c r="M15" s="33"/>
      <c r="N15" s="33">
        <f>C37*'E Balans VL '!Y15/100/3.6*1000000</f>
        <v>151.90004242506114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1738.531098103176</v>
      </c>
      <c r="C18" s="21">
        <f>C5+C16</f>
        <v>0</v>
      </c>
      <c r="D18" s="21">
        <f>MAX((D5+D16),0)</f>
        <v>1307.1418366103535</v>
      </c>
      <c r="E18" s="21">
        <f>MAX((E5+E16),0)</f>
        <v>276.91237543284973</v>
      </c>
      <c r="F18" s="21">
        <f>MAX((F5+F16),0)</f>
        <v>805.00184614920056</v>
      </c>
      <c r="G18" s="21"/>
      <c r="H18" s="21"/>
      <c r="I18" s="21"/>
      <c r="J18" s="21">
        <f>MAX((J5+J16),0)</f>
        <v>2.4242586304345175</v>
      </c>
      <c r="K18" s="21"/>
      <c r="L18" s="21">
        <f>MAX((L5+L16),0)</f>
        <v>0</v>
      </c>
      <c r="M18" s="21"/>
      <c r="N18" s="21">
        <f>MAX((N5+N16),0)</f>
        <v>436.4636363199844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1.4158861183500624E-2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24.615620481241773</v>
      </c>
      <c r="C22" s="23">
        <f ca="1">C18*C20</f>
        <v>0</v>
      </c>
      <c r="D22" s="23">
        <f>D18*D20</f>
        <v>264.04265099529141</v>
      </c>
      <c r="E22" s="23">
        <f>E18*E20</f>
        <v>62.859109223256887</v>
      </c>
      <c r="F22" s="23">
        <f>F18*F20</f>
        <v>214.93549292183656</v>
      </c>
      <c r="G22" s="23"/>
      <c r="H22" s="23"/>
      <c r="I22" s="23"/>
      <c r="J22" s="23">
        <f>J18*J20</f>
        <v>0.85818755517381917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13.6052045986408</v>
      </c>
      <c r="C30" s="39">
        <f>IF(ISERROR(B30*3.6/1000000/'E Balans VL '!Z18*100),0,B30*3.6/1000000/'E Balans VL '!Z18*100)</f>
        <v>7.7104183063127999E-4</v>
      </c>
      <c r="D30" s="237" t="s">
        <v>754</v>
      </c>
    </row>
    <row r="31" spans="1:18">
      <c r="A31" s="6" t="s">
        <v>33</v>
      </c>
      <c r="B31" s="37">
        <f>IF( ISERROR(IND_ander_ele_kWh/1000),0,IND_ander_ele_kWh/1000)</f>
        <v>817.24760610241503</v>
      </c>
      <c r="C31" s="39">
        <f>IF(ISERROR(B31*3.6/1000000/'E Balans VL '!Z19*100),0,B31*3.6/1000000/'E Balans VL '!Z19*100)</f>
        <v>3.7066948453001215E-2</v>
      </c>
      <c r="D31" s="237" t="s">
        <v>754</v>
      </c>
    </row>
    <row r="32" spans="1:18">
      <c r="A32" s="171" t="s">
        <v>41</v>
      </c>
      <c r="B32" s="37">
        <f>IF( ISERROR(IND_voed_ele_kWh/1000),0,IND_voed_ele_kWh/1000)</f>
        <v>196.89204236832799</v>
      </c>
      <c r="C32" s="39">
        <f>IF(ISERROR(B32*3.6/1000000/'E Balans VL '!Z20*100),0,B32*3.6/1000000/'E Balans VL '!Z20*100)</f>
        <v>6.0907646848550757E-3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33.615432949262996</v>
      </c>
      <c r="C36" s="39">
        <f>IF(ISERROR(B36*3.6/1000000/'E Balans VL '!Z24*100),0,B36*3.6/1000000/'E Balans VL '!Z24*100)</f>
        <v>1.0250698482982795E-3</v>
      </c>
      <c r="D36" s="237" t="s">
        <v>754</v>
      </c>
    </row>
    <row r="37" spans="1:5">
      <c r="A37" s="171" t="s">
        <v>270</v>
      </c>
      <c r="B37" s="37">
        <f>IF( ISERROR(IND_rest_ele_kWh/1000),0,IND_rest_ele_kWh/1000)</f>
        <v>677.17081208452896</v>
      </c>
      <c r="C37" s="39">
        <f>IF(ISERROR(B37*3.6/1000000/'E Balans VL '!Z15*100),0,B37*3.6/1000000/'E Balans VL '!Z15*100)</f>
        <v>5.36741033062056E-3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2258.9916300828245</v>
      </c>
      <c r="C5" s="17">
        <f>'Eigen informatie GS &amp; warmtenet'!B60</f>
        <v>0</v>
      </c>
      <c r="D5" s="30">
        <f>IF(ISERROR(SUM(LB_lb_gas_kWh,LB_rest_gas_kWh)/1000),0,SUM(LB_lb_gas_kWh,LB_rest_gas_kWh)/1000)*0.902</f>
        <v>114.94761094911675</v>
      </c>
      <c r="E5" s="17">
        <f>B17*'E Balans VL '!I25/3.6*1000000/100</f>
        <v>66.398663764952744</v>
      </c>
      <c r="F5" s="17">
        <f>B17*('E Balans VL '!L25/3.6*1000000+'E Balans VL '!N25/3.6*1000000)/100</f>
        <v>9410.8370614244996</v>
      </c>
      <c r="G5" s="18"/>
      <c r="H5" s="17"/>
      <c r="I5" s="17"/>
      <c r="J5" s="17">
        <f>('E Balans VL '!D25+'E Balans VL '!E25)/3.6*1000000*landbouw!B17/100</f>
        <v>327.27937479842922</v>
      </c>
      <c r="K5" s="17"/>
      <c r="L5" s="17">
        <f>L6*(-1)</f>
        <v>0</v>
      </c>
      <c r="M5" s="17"/>
      <c r="N5" s="17">
        <f>N6*(-1)</f>
        <v>65529</v>
      </c>
      <c r="O5" s="17"/>
      <c r="P5" s="17"/>
      <c r="R5" s="32"/>
    </row>
    <row r="6" spans="1:18">
      <c r="A6" s="16" t="s">
        <v>488</v>
      </c>
      <c r="B6" s="17" t="s">
        <v>211</v>
      </c>
      <c r="C6" s="17">
        <f>'lokale energieproductie'!O92+'lokale energieproductie'!O61</f>
        <v>32764.499999999996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-65529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2258.9916300828245</v>
      </c>
      <c r="C8" s="21">
        <f>C5+C6</f>
        <v>32764.499999999996</v>
      </c>
      <c r="D8" s="21">
        <f>MAX((D5+D6),0)</f>
        <v>114.94761094911675</v>
      </c>
      <c r="E8" s="21">
        <f>MAX((E5+E6),0)</f>
        <v>66.398663764952744</v>
      </c>
      <c r="F8" s="21">
        <f>MAX((F5+F6),0)</f>
        <v>9410.8370614244996</v>
      </c>
      <c r="G8" s="21"/>
      <c r="H8" s="21"/>
      <c r="I8" s="21"/>
      <c r="J8" s="21">
        <f>MAX((J5+J6),0)</f>
        <v>327.27937479842922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1.4158861183500624E-2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31.984748905032504</v>
      </c>
      <c r="C12" s="23">
        <f ca="1">C8*C10</f>
        <v>0</v>
      </c>
      <c r="D12" s="23">
        <f>D8*D10</f>
        <v>23.219417411721587</v>
      </c>
      <c r="E12" s="23">
        <f>E8*E10</f>
        <v>15.072496674644274</v>
      </c>
      <c r="F12" s="23">
        <f>F8*F10</f>
        <v>2512.6934954003414</v>
      </c>
      <c r="G12" s="23"/>
      <c r="H12" s="23"/>
      <c r="I12" s="23"/>
      <c r="J12" s="23">
        <f>J8*J10</f>
        <v>115.85689867864393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0.3205579996788494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707.1265383439229</v>
      </c>
      <c r="C26" s="247">
        <f>B26*'GWP N2O_CH4'!B5</f>
        <v>14849.657305222381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191.36694400420893</v>
      </c>
      <c r="C27" s="247">
        <f>B27*'GWP N2O_CH4'!B5</f>
        <v>4018.7058240883875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8.2266052551644915</v>
      </c>
      <c r="C28" s="247">
        <f>B28*'GWP N2O_CH4'!B4</f>
        <v>2550.2476291009925</v>
      </c>
      <c r="D28" s="50"/>
    </row>
    <row r="29" spans="1:4">
      <c r="A29" s="41" t="s">
        <v>277</v>
      </c>
      <c r="B29" s="247">
        <f>B34*'ha_N2O bodem landbouw'!B4</f>
        <v>18.206087157380118</v>
      </c>
      <c r="C29" s="247">
        <f>B29*'GWP N2O_CH4'!B4</f>
        <v>5643.8870187878365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4.1545663483466364E-3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5.6190806466900736E-5</v>
      </c>
      <c r="C5" s="463" t="s">
        <v>211</v>
      </c>
      <c r="D5" s="448">
        <f>SUM(D6:D11)</f>
        <v>2.5651840163986488E-4</v>
      </c>
      <c r="E5" s="448">
        <f>SUM(E6:E11)</f>
        <v>3.3014615028019532E-4</v>
      </c>
      <c r="F5" s="461" t="s">
        <v>211</v>
      </c>
      <c r="G5" s="448">
        <f>SUM(G6:G11)</f>
        <v>9.8521009525056574E-2</v>
      </c>
      <c r="H5" s="448">
        <f>SUM(H6:H11)</f>
        <v>2.8535919768478545E-2</v>
      </c>
      <c r="I5" s="463" t="s">
        <v>211</v>
      </c>
      <c r="J5" s="463" t="s">
        <v>211</v>
      </c>
      <c r="K5" s="463" t="s">
        <v>211</v>
      </c>
      <c r="L5" s="463" t="s">
        <v>211</v>
      </c>
      <c r="M5" s="448">
        <f>SUM(M6:M11)</f>
        <v>6.5978769987806536E-3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1.848994928130978E-5</v>
      </c>
      <c r="C6" s="449"/>
      <c r="D6" s="892">
        <f>vkm_2011_GW_PW*SUMIFS(TableVerdeelsleutelVkm[CNG],TableVerdeelsleutelVkm[Voertuigtype],"Lichte voertuigen")*SUMIFS(TableECFTransport[EnergieConsumptieFactor (PJ per km)],TableECFTransport[Index],CONCATENATE($A6,"_CNG_CNG"))</f>
        <v>5.5459235578344022E-5</v>
      </c>
      <c r="E6" s="892">
        <f>vkm_2011_GW_PW*SUMIFS(TableVerdeelsleutelVkm[LPG],TableVerdeelsleutelVkm[Voertuigtype],"Lichte voertuigen")*SUMIFS(TableECFTransport[EnergieConsumptieFactor (PJ per km)],TableECFTransport[Index],CONCATENATE($A6,"_LPG_LPG"))</f>
        <v>7.5765282126610231E-5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1.9589428823426881E-2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6.3078499033566732E-3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1.3305831779754733E-3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8.9271115853628118E-3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2.7208022113894458E-6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5.2167028268367823E-4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3.7700857185590956E-5</v>
      </c>
      <c r="C8" s="449"/>
      <c r="D8" s="451">
        <f>vkm_2011_NGW_PW*SUMIFS(TableVerdeelsleutelVkm[CNG],TableVerdeelsleutelVkm[Voertuigtype],"Lichte voertuigen")*SUMIFS(TableECFTransport[EnergieConsumptieFactor (PJ per km)],TableECFTransport[Index],CONCATENATE($A8,"_CNG_CNG"))</f>
        <v>2.0105916606152089E-4</v>
      </c>
      <c r="E8" s="451">
        <f>vkm_2011_NGW_PW*SUMIFS(TableVerdeelsleutelVkm[LPG],TableVerdeelsleutelVkm[Voertuigtype],"Lichte voertuigen")*SUMIFS(TableECFTransport[EnergieConsumptieFactor (PJ per km)],TableECFTransport[Index],CONCATENATE($A8,"_LPG_LPG"))</f>
        <v>2.5438086815358506E-4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6.1291828599671055E-2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2.2222849199639138E-2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4.2364908089611575E-3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8.7126405165958258E-3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2.4998632713430317E-6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5.0913272916034466E-4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15.608557351916872</v>
      </c>
      <c r="C14" s="21"/>
      <c r="D14" s="21">
        <f t="shared" ref="D14:M14" si="0">((D5)*10^9/3600)+D12</f>
        <v>71.255111566629125</v>
      </c>
      <c r="E14" s="21">
        <f t="shared" si="0"/>
        <v>91.70726396672093</v>
      </c>
      <c r="F14" s="21"/>
      <c r="G14" s="21">
        <f t="shared" si="0"/>
        <v>27366.947090293492</v>
      </c>
      <c r="H14" s="21">
        <f t="shared" si="0"/>
        <v>7926.6443801329297</v>
      </c>
      <c r="I14" s="21"/>
      <c r="J14" s="21"/>
      <c r="K14" s="21"/>
      <c r="L14" s="21"/>
      <c r="M14" s="21">
        <f t="shared" si="0"/>
        <v>1832.7436107724038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1.4158861183500624E-2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0.2209993968204991</v>
      </c>
      <c r="C18" s="23"/>
      <c r="D18" s="23">
        <f t="shared" ref="D18:M18" si="1">D14*D16</f>
        <v>14.393532536459084</v>
      </c>
      <c r="E18" s="23">
        <f t="shared" si="1"/>
        <v>20.817548920445653</v>
      </c>
      <c r="F18" s="23"/>
      <c r="G18" s="23">
        <f t="shared" si="1"/>
        <v>7306.9748731083628</v>
      </c>
      <c r="H18" s="23">
        <f t="shared" si="1"/>
        <v>1973.7344506530994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2.116537149287564E-3</v>
      </c>
      <c r="H50" s="321">
        <f t="shared" si="2"/>
        <v>0</v>
      </c>
      <c r="I50" s="321">
        <f t="shared" si="2"/>
        <v>0</v>
      </c>
      <c r="J50" s="321">
        <f t="shared" si="2"/>
        <v>0</v>
      </c>
      <c r="K50" s="321">
        <f t="shared" si="2"/>
        <v>0</v>
      </c>
      <c r="L50" s="321">
        <f t="shared" si="2"/>
        <v>0</v>
      </c>
      <c r="M50" s="321">
        <f t="shared" si="2"/>
        <v>1.2020996646461731E-4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2.116537149287564E-3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1.2020996646461731E-4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587.92698591321232</v>
      </c>
      <c r="H54" s="21">
        <f t="shared" si="3"/>
        <v>0</v>
      </c>
      <c r="I54" s="21">
        <f t="shared" si="3"/>
        <v>0</v>
      </c>
      <c r="J54" s="21">
        <f t="shared" si="3"/>
        <v>0</v>
      </c>
      <c r="K54" s="21">
        <f t="shared" si="3"/>
        <v>0</v>
      </c>
      <c r="L54" s="21">
        <f t="shared" si="3"/>
        <v>0</v>
      </c>
      <c r="M54" s="21">
        <f t="shared" si="3"/>
        <v>33.391657351282582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1.4158861183500624E-2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156.97650523882768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7171.5086778261266</v>
      </c>
      <c r="D10" s="1013">
        <f ca="1">tertiair!C16</f>
        <v>0</v>
      </c>
      <c r="E10" s="1013">
        <f ca="1">tertiair!D16</f>
        <v>7920.7005760900629</v>
      </c>
      <c r="F10" s="1013">
        <f>tertiair!E16</f>
        <v>95.077228782019432</v>
      </c>
      <c r="G10" s="1013">
        <f ca="1">tertiair!F16</f>
        <v>1172.4574903322143</v>
      </c>
      <c r="H10" s="1013">
        <f>tertiair!G16</f>
        <v>0</v>
      </c>
      <c r="I10" s="1013">
        <f>tertiair!H16</f>
        <v>0</v>
      </c>
      <c r="J10" s="1013">
        <f>tertiair!I16</f>
        <v>0</v>
      </c>
      <c r="K10" s="1013">
        <f>tertiair!J16</f>
        <v>2.2668107216868117E-2</v>
      </c>
      <c r="L10" s="1013">
        <f>tertiair!K16</f>
        <v>0</v>
      </c>
      <c r="M10" s="1013">
        <f ca="1">tertiair!L16</f>
        <v>0</v>
      </c>
      <c r="N10" s="1013">
        <f>tertiair!M16</f>
        <v>0</v>
      </c>
      <c r="O10" s="1013">
        <f ca="1">tertiair!N16</f>
        <v>896.88752521483957</v>
      </c>
      <c r="P10" s="1013">
        <f>tertiair!O16</f>
        <v>4.6900000000000004</v>
      </c>
      <c r="Q10" s="1014">
        <f>tertiair!P16</f>
        <v>19.066666666666666</v>
      </c>
      <c r="R10" s="700">
        <f ca="1">SUM(C10:Q10)</f>
        <v>17280.410833019145</v>
      </c>
      <c r="S10" s="67"/>
    </row>
    <row r="11" spans="1:19" s="473" customFormat="1">
      <c r="A11" s="809" t="s">
        <v>225</v>
      </c>
      <c r="B11" s="814"/>
      <c r="C11" s="1013">
        <f>huishoudens!B8</f>
        <v>15132.53350169433</v>
      </c>
      <c r="D11" s="1013">
        <f>huishoudens!C8</f>
        <v>0</v>
      </c>
      <c r="E11" s="1013">
        <f>huishoudens!D8</f>
        <v>22645.165519941307</v>
      </c>
      <c r="F11" s="1013">
        <f>huishoudens!E8</f>
        <v>3264.2318104982714</v>
      </c>
      <c r="G11" s="1013">
        <f>huishoudens!F8</f>
        <v>21109.308927473998</v>
      </c>
      <c r="H11" s="1013">
        <f>huishoudens!G8</f>
        <v>0</v>
      </c>
      <c r="I11" s="1013">
        <f>huishoudens!H8</f>
        <v>0</v>
      </c>
      <c r="J11" s="1013">
        <f>huishoudens!I8</f>
        <v>0</v>
      </c>
      <c r="K11" s="1013">
        <f>huishoudens!J8</f>
        <v>1502.0899288173036</v>
      </c>
      <c r="L11" s="1013">
        <f>huishoudens!K8</f>
        <v>0</v>
      </c>
      <c r="M11" s="1013">
        <f>huishoudens!L8</f>
        <v>0</v>
      </c>
      <c r="N11" s="1013">
        <f>huishoudens!M8</f>
        <v>0</v>
      </c>
      <c r="O11" s="1013">
        <f>huishoudens!N8</f>
        <v>11607.99110198919</v>
      </c>
      <c r="P11" s="1013">
        <f>huishoudens!O8</f>
        <v>221.99333333333334</v>
      </c>
      <c r="Q11" s="1014">
        <f>huishoudens!P8</f>
        <v>762.66666666666674</v>
      </c>
      <c r="R11" s="700">
        <f>SUM(C11:Q11)</f>
        <v>76245.980790414396</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1738.531098103176</v>
      </c>
      <c r="D13" s="1013">
        <f>industrie!C18</f>
        <v>0</v>
      </c>
      <c r="E13" s="1013">
        <f>industrie!D18</f>
        <v>1307.1418366103535</v>
      </c>
      <c r="F13" s="1013">
        <f>industrie!E18</f>
        <v>276.91237543284973</v>
      </c>
      <c r="G13" s="1013">
        <f>industrie!F18</f>
        <v>805.00184614920056</v>
      </c>
      <c r="H13" s="1013">
        <f>industrie!G18</f>
        <v>0</v>
      </c>
      <c r="I13" s="1013">
        <f>industrie!H18</f>
        <v>0</v>
      </c>
      <c r="J13" s="1013">
        <f>industrie!I18</f>
        <v>0</v>
      </c>
      <c r="K13" s="1013">
        <f>industrie!J18</f>
        <v>2.4242586304345175</v>
      </c>
      <c r="L13" s="1013">
        <f>industrie!K18</f>
        <v>0</v>
      </c>
      <c r="M13" s="1013">
        <f>industrie!L18</f>
        <v>0</v>
      </c>
      <c r="N13" s="1013">
        <f>industrie!M18</f>
        <v>0</v>
      </c>
      <c r="O13" s="1013">
        <f>industrie!N18</f>
        <v>436.4636363199844</v>
      </c>
      <c r="P13" s="1013">
        <f>industrie!O18</f>
        <v>0</v>
      </c>
      <c r="Q13" s="1014">
        <f>industrie!P18</f>
        <v>0</v>
      </c>
      <c r="R13" s="700">
        <f>SUM(C13:Q13)</f>
        <v>4566.4750512459987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24042.573277623633</v>
      </c>
      <c r="D16" s="732">
        <f t="shared" ref="D16:R16" ca="1" si="0">SUM(D9:D15)</f>
        <v>0</v>
      </c>
      <c r="E16" s="732">
        <f t="shared" ca="1" si="0"/>
        <v>31873.007932641725</v>
      </c>
      <c r="F16" s="732">
        <f t="shared" si="0"/>
        <v>3636.2214147131408</v>
      </c>
      <c r="G16" s="732">
        <f t="shared" ca="1" si="0"/>
        <v>23086.768263955411</v>
      </c>
      <c r="H16" s="732">
        <f t="shared" si="0"/>
        <v>0</v>
      </c>
      <c r="I16" s="732">
        <f t="shared" si="0"/>
        <v>0</v>
      </c>
      <c r="J16" s="732">
        <f t="shared" si="0"/>
        <v>0</v>
      </c>
      <c r="K16" s="732">
        <f t="shared" si="0"/>
        <v>1504.5368555549549</v>
      </c>
      <c r="L16" s="732">
        <f t="shared" si="0"/>
        <v>0</v>
      </c>
      <c r="M16" s="732">
        <f t="shared" ca="1" si="0"/>
        <v>0</v>
      </c>
      <c r="N16" s="732">
        <f t="shared" si="0"/>
        <v>0</v>
      </c>
      <c r="O16" s="732">
        <f t="shared" ca="1" si="0"/>
        <v>12941.342263524013</v>
      </c>
      <c r="P16" s="732">
        <f t="shared" si="0"/>
        <v>226.68333333333334</v>
      </c>
      <c r="Q16" s="732">
        <f t="shared" si="0"/>
        <v>781.73333333333346</v>
      </c>
      <c r="R16" s="732">
        <f t="shared" ca="1" si="0"/>
        <v>98092.866674679535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587.92698591321232</v>
      </c>
      <c r="I19" s="1013">
        <f>transport!H54</f>
        <v>0</v>
      </c>
      <c r="J19" s="1013">
        <f>transport!I54</f>
        <v>0</v>
      </c>
      <c r="K19" s="1013">
        <f>transport!J54</f>
        <v>0</v>
      </c>
      <c r="L19" s="1013">
        <f>transport!K54</f>
        <v>0</v>
      </c>
      <c r="M19" s="1013">
        <f>transport!L54</f>
        <v>0</v>
      </c>
      <c r="N19" s="1013">
        <f>transport!M54</f>
        <v>33.391657351282582</v>
      </c>
      <c r="O19" s="1013">
        <f>transport!N54</f>
        <v>0</v>
      </c>
      <c r="P19" s="1013">
        <f>transport!O54</f>
        <v>0</v>
      </c>
      <c r="Q19" s="1014">
        <f>transport!P54</f>
        <v>0</v>
      </c>
      <c r="R19" s="700">
        <f>SUM(C19:Q19)</f>
        <v>621.31864326449488</v>
      </c>
      <c r="S19" s="67"/>
    </row>
    <row r="20" spans="1:19" s="473" customFormat="1">
      <c r="A20" s="809" t="s">
        <v>307</v>
      </c>
      <c r="B20" s="814"/>
      <c r="C20" s="1013">
        <f>transport!B14</f>
        <v>15.608557351916872</v>
      </c>
      <c r="D20" s="1013">
        <f>transport!C14</f>
        <v>0</v>
      </c>
      <c r="E20" s="1013">
        <f>transport!D14</f>
        <v>71.255111566629125</v>
      </c>
      <c r="F20" s="1013">
        <f>transport!E14</f>
        <v>91.70726396672093</v>
      </c>
      <c r="G20" s="1013">
        <f>transport!F14</f>
        <v>0</v>
      </c>
      <c r="H20" s="1013">
        <f>transport!G14</f>
        <v>27366.947090293492</v>
      </c>
      <c r="I20" s="1013">
        <f>transport!H14</f>
        <v>7926.6443801329297</v>
      </c>
      <c r="J20" s="1013">
        <f>transport!I14</f>
        <v>0</v>
      </c>
      <c r="K20" s="1013">
        <f>transport!J14</f>
        <v>0</v>
      </c>
      <c r="L20" s="1013">
        <f>transport!K14</f>
        <v>0</v>
      </c>
      <c r="M20" s="1013">
        <f>transport!L14</f>
        <v>0</v>
      </c>
      <c r="N20" s="1013">
        <f>transport!M14</f>
        <v>1832.7436107724038</v>
      </c>
      <c r="O20" s="1013">
        <f>transport!N14</f>
        <v>0</v>
      </c>
      <c r="P20" s="1013">
        <f>transport!O14</f>
        <v>0</v>
      </c>
      <c r="Q20" s="1014">
        <f>transport!P14</f>
        <v>0</v>
      </c>
      <c r="R20" s="700">
        <f>SUM(C20:Q20)</f>
        <v>37304.906014084096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15.608557351916872</v>
      </c>
      <c r="D22" s="812">
        <f t="shared" ref="D22:R22" si="1">SUM(D18:D21)</f>
        <v>0</v>
      </c>
      <c r="E22" s="812">
        <f t="shared" si="1"/>
        <v>71.255111566629125</v>
      </c>
      <c r="F22" s="812">
        <f t="shared" si="1"/>
        <v>91.70726396672093</v>
      </c>
      <c r="G22" s="812">
        <f t="shared" si="1"/>
        <v>0</v>
      </c>
      <c r="H22" s="812">
        <f t="shared" si="1"/>
        <v>27954.874076206703</v>
      </c>
      <c r="I22" s="812">
        <f t="shared" si="1"/>
        <v>7926.6443801329297</v>
      </c>
      <c r="J22" s="812">
        <f t="shared" si="1"/>
        <v>0</v>
      </c>
      <c r="K22" s="812">
        <f t="shared" si="1"/>
        <v>0</v>
      </c>
      <c r="L22" s="812">
        <f t="shared" si="1"/>
        <v>0</v>
      </c>
      <c r="M22" s="812">
        <f t="shared" si="1"/>
        <v>0</v>
      </c>
      <c r="N22" s="812">
        <f t="shared" si="1"/>
        <v>1866.1352681236865</v>
      </c>
      <c r="O22" s="812">
        <f t="shared" si="1"/>
        <v>0</v>
      </c>
      <c r="P22" s="812">
        <f t="shared" si="1"/>
        <v>0</v>
      </c>
      <c r="Q22" s="812">
        <f t="shared" si="1"/>
        <v>0</v>
      </c>
      <c r="R22" s="812">
        <f t="shared" si="1"/>
        <v>37926.22465734859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2258.9916300828245</v>
      </c>
      <c r="D24" s="1013">
        <f>+landbouw!C8</f>
        <v>32764.499999999996</v>
      </c>
      <c r="E24" s="1013">
        <f>+landbouw!D8</f>
        <v>114.94761094911675</v>
      </c>
      <c r="F24" s="1013">
        <f>+landbouw!E8</f>
        <v>66.398663764952744</v>
      </c>
      <c r="G24" s="1013">
        <f>+landbouw!F8</f>
        <v>9410.8370614244996</v>
      </c>
      <c r="H24" s="1013">
        <f>+landbouw!G8</f>
        <v>0</v>
      </c>
      <c r="I24" s="1013">
        <f>+landbouw!H8</f>
        <v>0</v>
      </c>
      <c r="J24" s="1013">
        <f>+landbouw!I8</f>
        <v>0</v>
      </c>
      <c r="K24" s="1013">
        <f>+landbouw!J8</f>
        <v>327.27937479842922</v>
      </c>
      <c r="L24" s="1013">
        <f>+landbouw!K8</f>
        <v>0</v>
      </c>
      <c r="M24" s="1013">
        <f>+landbouw!L8</f>
        <v>0</v>
      </c>
      <c r="N24" s="1013">
        <f>+landbouw!M8</f>
        <v>0</v>
      </c>
      <c r="O24" s="1013">
        <f>+landbouw!N8</f>
        <v>0</v>
      </c>
      <c r="P24" s="1013">
        <f>+landbouw!O8</f>
        <v>0</v>
      </c>
      <c r="Q24" s="1014">
        <f>+landbouw!P8</f>
        <v>0</v>
      </c>
      <c r="R24" s="700">
        <f>SUM(C24:Q24)</f>
        <v>44942.954341019817</v>
      </c>
      <c r="S24" s="67"/>
    </row>
    <row r="25" spans="1:19" s="473" customFormat="1" ht="15" thickBot="1">
      <c r="A25" s="831" t="s">
        <v>836</v>
      </c>
      <c r="B25" s="1016"/>
      <c r="C25" s="1017">
        <f>IF(Onbekend_ele_kWh="---",0,Onbekend_ele_kWh)/1000+IF(REST_rest_ele_kWh="---",0,REST_rest_ele_kWh)/1000</f>
        <v>469.66994436631603</v>
      </c>
      <c r="D25" s="1017"/>
      <c r="E25" s="1017">
        <f>IF(onbekend_gas_kWh="---",0,onbekend_gas_kWh)/1000+IF(REST_rest_gas_kWh="---",0,REST_rest_gas_kWh)/1000</f>
        <v>696.84835249708499</v>
      </c>
      <c r="F25" s="1017"/>
      <c r="G25" s="1017"/>
      <c r="H25" s="1017"/>
      <c r="I25" s="1017"/>
      <c r="J25" s="1017"/>
      <c r="K25" s="1017"/>
      <c r="L25" s="1017"/>
      <c r="M25" s="1017"/>
      <c r="N25" s="1017"/>
      <c r="O25" s="1017"/>
      <c r="P25" s="1017"/>
      <c r="Q25" s="1018"/>
      <c r="R25" s="700">
        <f>SUM(C25:Q25)</f>
        <v>1166.518296863401</v>
      </c>
      <c r="S25" s="67"/>
    </row>
    <row r="26" spans="1:19" s="473" customFormat="1" ht="15.75" thickBot="1">
      <c r="A26" s="705" t="s">
        <v>837</v>
      </c>
      <c r="B26" s="817"/>
      <c r="C26" s="812">
        <f>SUM(C24:C25)</f>
        <v>2728.6615744491405</v>
      </c>
      <c r="D26" s="812">
        <f t="shared" ref="D26:R26" si="2">SUM(D24:D25)</f>
        <v>32764.499999999996</v>
      </c>
      <c r="E26" s="812">
        <f t="shared" si="2"/>
        <v>811.79596344620177</v>
      </c>
      <c r="F26" s="812">
        <f t="shared" si="2"/>
        <v>66.398663764952744</v>
      </c>
      <c r="G26" s="812">
        <f t="shared" si="2"/>
        <v>9410.8370614244996</v>
      </c>
      <c r="H26" s="812">
        <f t="shared" si="2"/>
        <v>0</v>
      </c>
      <c r="I26" s="812">
        <f t="shared" si="2"/>
        <v>0</v>
      </c>
      <c r="J26" s="812">
        <f t="shared" si="2"/>
        <v>0</v>
      </c>
      <c r="K26" s="812">
        <f t="shared" si="2"/>
        <v>327.27937479842922</v>
      </c>
      <c r="L26" s="812">
        <f t="shared" si="2"/>
        <v>0</v>
      </c>
      <c r="M26" s="812">
        <f t="shared" si="2"/>
        <v>0</v>
      </c>
      <c r="N26" s="812">
        <f t="shared" si="2"/>
        <v>0</v>
      </c>
      <c r="O26" s="812">
        <f t="shared" si="2"/>
        <v>0</v>
      </c>
      <c r="P26" s="812">
        <f t="shared" si="2"/>
        <v>0</v>
      </c>
      <c r="Q26" s="812">
        <f t="shared" si="2"/>
        <v>0</v>
      </c>
      <c r="R26" s="812">
        <f t="shared" si="2"/>
        <v>46109.47263788322</v>
      </c>
      <c r="S26" s="67"/>
    </row>
    <row r="27" spans="1:19" s="473" customFormat="1" ht="17.25" thickTop="1" thickBot="1">
      <c r="A27" s="706" t="s">
        <v>116</v>
      </c>
      <c r="B27" s="805"/>
      <c r="C27" s="707">
        <f ca="1">C22+C16+C26</f>
        <v>26786.843409424688</v>
      </c>
      <c r="D27" s="707">
        <f t="shared" ref="D27:R27" ca="1" si="3">D22+D16+D26</f>
        <v>32764.499999999996</v>
      </c>
      <c r="E27" s="707">
        <f t="shared" ca="1" si="3"/>
        <v>32756.059007654556</v>
      </c>
      <c r="F27" s="707">
        <f t="shared" si="3"/>
        <v>3794.3273424448143</v>
      </c>
      <c r="G27" s="707">
        <f t="shared" ca="1" si="3"/>
        <v>32497.605325379911</v>
      </c>
      <c r="H27" s="707">
        <f t="shared" si="3"/>
        <v>27954.874076206703</v>
      </c>
      <c r="I27" s="707">
        <f t="shared" si="3"/>
        <v>7926.6443801329297</v>
      </c>
      <c r="J27" s="707">
        <f t="shared" si="3"/>
        <v>0</v>
      </c>
      <c r="K27" s="707">
        <f t="shared" si="3"/>
        <v>1831.8162303533841</v>
      </c>
      <c r="L27" s="707">
        <f t="shared" si="3"/>
        <v>0</v>
      </c>
      <c r="M27" s="707">
        <f t="shared" ca="1" si="3"/>
        <v>0</v>
      </c>
      <c r="N27" s="707">
        <f t="shared" si="3"/>
        <v>1866.1352681236865</v>
      </c>
      <c r="O27" s="707">
        <f t="shared" ca="1" si="3"/>
        <v>12941.342263524013</v>
      </c>
      <c r="P27" s="707">
        <f t="shared" si="3"/>
        <v>226.68333333333334</v>
      </c>
      <c r="Q27" s="707">
        <f t="shared" si="3"/>
        <v>781.73333333333346</v>
      </c>
      <c r="R27" s="707">
        <f t="shared" ca="1" si="3"/>
        <v>182128.56396991134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101.54039584561022</v>
      </c>
      <c r="D40" s="1013">
        <f ca="1">tertiair!C20</f>
        <v>0</v>
      </c>
      <c r="E40" s="1013">
        <f ca="1">tertiair!D20</f>
        <v>1599.9815163701928</v>
      </c>
      <c r="F40" s="1013">
        <f>tertiair!E20</f>
        <v>21.582530933518413</v>
      </c>
      <c r="G40" s="1013">
        <f ca="1">tertiair!F20</f>
        <v>313.04614991870125</v>
      </c>
      <c r="H40" s="1013">
        <f>tertiair!G20</f>
        <v>0</v>
      </c>
      <c r="I40" s="1013">
        <f>tertiair!H20</f>
        <v>0</v>
      </c>
      <c r="J40" s="1013">
        <f>tertiair!I20</f>
        <v>0</v>
      </c>
      <c r="K40" s="1013">
        <f>tertiair!J20</f>
        <v>8.0245099547713132E-3</v>
      </c>
      <c r="L40" s="1013">
        <f>tertiair!K20</f>
        <v>0</v>
      </c>
      <c r="M40" s="1013">
        <f ca="1">tertiair!L20</f>
        <v>0</v>
      </c>
      <c r="N40" s="1013">
        <f>tertiair!M20</f>
        <v>0</v>
      </c>
      <c r="O40" s="1013">
        <f ca="1">tertiair!N20</f>
        <v>0</v>
      </c>
      <c r="P40" s="1013">
        <f>tertiair!O20</f>
        <v>0</v>
      </c>
      <c r="Q40" s="774">
        <f>tertiair!P20</f>
        <v>0</v>
      </c>
      <c r="R40" s="850">
        <f t="shared" ca="1" si="4"/>
        <v>2036.1586175779776</v>
      </c>
    </row>
    <row r="41" spans="1:18">
      <c r="A41" s="822" t="s">
        <v>225</v>
      </c>
      <c r="B41" s="829"/>
      <c r="C41" s="1013">
        <f ca="1">huishoudens!B12</f>
        <v>214.25944120516263</v>
      </c>
      <c r="D41" s="1013">
        <f ca="1">huishoudens!C12</f>
        <v>0</v>
      </c>
      <c r="E41" s="1013">
        <f>huishoudens!D12</f>
        <v>4574.3234350281446</v>
      </c>
      <c r="F41" s="1013">
        <f>huishoudens!E12</f>
        <v>740.98062098310766</v>
      </c>
      <c r="G41" s="1013">
        <f>huishoudens!F12</f>
        <v>5636.1854836355578</v>
      </c>
      <c r="H41" s="1013">
        <f>huishoudens!G12</f>
        <v>0</v>
      </c>
      <c r="I41" s="1013">
        <f>huishoudens!H12</f>
        <v>0</v>
      </c>
      <c r="J41" s="1013">
        <f>huishoudens!I12</f>
        <v>0</v>
      </c>
      <c r="K41" s="1013">
        <f>huishoudens!J12</f>
        <v>531.73983480132551</v>
      </c>
      <c r="L41" s="1013">
        <f>huishoudens!K12</f>
        <v>0</v>
      </c>
      <c r="M41" s="1013">
        <f>huishoudens!L12</f>
        <v>0</v>
      </c>
      <c r="N41" s="1013">
        <f>huishoudens!M12</f>
        <v>0</v>
      </c>
      <c r="O41" s="1013">
        <f>huishoudens!N12</f>
        <v>0</v>
      </c>
      <c r="P41" s="1013">
        <f>huishoudens!O12</f>
        <v>0</v>
      </c>
      <c r="Q41" s="774">
        <f>huishoudens!P12</f>
        <v>0</v>
      </c>
      <c r="R41" s="850">
        <f t="shared" ca="1" si="4"/>
        <v>11697.488815653298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24.615620481241773</v>
      </c>
      <c r="D43" s="1013">
        <f ca="1">industrie!C22</f>
        <v>0</v>
      </c>
      <c r="E43" s="1013">
        <f>industrie!D22</f>
        <v>264.04265099529141</v>
      </c>
      <c r="F43" s="1013">
        <f>industrie!E22</f>
        <v>62.859109223256887</v>
      </c>
      <c r="G43" s="1013">
        <f>industrie!F22</f>
        <v>214.93549292183656</v>
      </c>
      <c r="H43" s="1013">
        <f>industrie!G22</f>
        <v>0</v>
      </c>
      <c r="I43" s="1013">
        <f>industrie!H22</f>
        <v>0</v>
      </c>
      <c r="J43" s="1013">
        <f>industrie!I22</f>
        <v>0</v>
      </c>
      <c r="K43" s="1013">
        <f>industrie!J22</f>
        <v>0.85818755517381917</v>
      </c>
      <c r="L43" s="1013">
        <f>industrie!K22</f>
        <v>0</v>
      </c>
      <c r="M43" s="1013">
        <f>industrie!L22</f>
        <v>0</v>
      </c>
      <c r="N43" s="1013">
        <f>industrie!M22</f>
        <v>0</v>
      </c>
      <c r="O43" s="1013">
        <f>industrie!N22</f>
        <v>0</v>
      </c>
      <c r="P43" s="1013">
        <f>industrie!O22</f>
        <v>0</v>
      </c>
      <c r="Q43" s="774">
        <f>industrie!P22</f>
        <v>0</v>
      </c>
      <c r="R43" s="849">
        <f t="shared" ca="1" si="4"/>
        <v>567.31106117680042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340.41545753201461</v>
      </c>
      <c r="D46" s="732">
        <f t="shared" ref="D46:Q46" ca="1" si="5">SUM(D39:D45)</f>
        <v>0</v>
      </c>
      <c r="E46" s="732">
        <f t="shared" ca="1" si="5"/>
        <v>6438.3476023936282</v>
      </c>
      <c r="F46" s="732">
        <f t="shared" si="5"/>
        <v>825.42226113988295</v>
      </c>
      <c r="G46" s="732">
        <f t="shared" ca="1" si="5"/>
        <v>6164.1671264760953</v>
      </c>
      <c r="H46" s="732">
        <f t="shared" si="5"/>
        <v>0</v>
      </c>
      <c r="I46" s="732">
        <f t="shared" si="5"/>
        <v>0</v>
      </c>
      <c r="J46" s="732">
        <f t="shared" si="5"/>
        <v>0</v>
      </c>
      <c r="K46" s="732">
        <f t="shared" si="5"/>
        <v>532.60604686645411</v>
      </c>
      <c r="L46" s="732">
        <f t="shared" si="5"/>
        <v>0</v>
      </c>
      <c r="M46" s="732">
        <f t="shared" ca="1" si="5"/>
        <v>0</v>
      </c>
      <c r="N46" s="732">
        <f t="shared" si="5"/>
        <v>0</v>
      </c>
      <c r="O46" s="732">
        <f t="shared" ca="1" si="5"/>
        <v>0</v>
      </c>
      <c r="P46" s="732">
        <f t="shared" si="5"/>
        <v>0</v>
      </c>
      <c r="Q46" s="732">
        <f t="shared" si="5"/>
        <v>0</v>
      </c>
      <c r="R46" s="732">
        <f ca="1">SUM(R39:R45)</f>
        <v>14300.958494408076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156.97650523882768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156.97650523882768</v>
      </c>
    </row>
    <row r="50" spans="1:18">
      <c r="A50" s="825" t="s">
        <v>307</v>
      </c>
      <c r="B50" s="835"/>
      <c r="C50" s="703">
        <f ca="1">transport!B18</f>
        <v>0.2209993968204991</v>
      </c>
      <c r="D50" s="703">
        <f>transport!C18</f>
        <v>0</v>
      </c>
      <c r="E50" s="703">
        <f>transport!D18</f>
        <v>14.393532536459084</v>
      </c>
      <c r="F50" s="703">
        <f>transport!E18</f>
        <v>20.817548920445653</v>
      </c>
      <c r="G50" s="703">
        <f>transport!F18</f>
        <v>0</v>
      </c>
      <c r="H50" s="703">
        <f>transport!G18</f>
        <v>7306.9748731083628</v>
      </c>
      <c r="I50" s="703">
        <f>transport!H18</f>
        <v>1973.7344506530994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9316.1414046151876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0.2209993968204991</v>
      </c>
      <c r="D52" s="732">
        <f t="shared" ref="D52:Q52" ca="1" si="6">SUM(D48:D51)</f>
        <v>0</v>
      </c>
      <c r="E52" s="732">
        <f t="shared" si="6"/>
        <v>14.393532536459084</v>
      </c>
      <c r="F52" s="732">
        <f t="shared" si="6"/>
        <v>20.817548920445653</v>
      </c>
      <c r="G52" s="732">
        <f t="shared" si="6"/>
        <v>0</v>
      </c>
      <c r="H52" s="732">
        <f t="shared" si="6"/>
        <v>7463.9513783471903</v>
      </c>
      <c r="I52" s="732">
        <f t="shared" si="6"/>
        <v>1973.7344506530994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9473.117909854016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31.984748905032504</v>
      </c>
      <c r="D54" s="703">
        <f ca="1">+landbouw!C12</f>
        <v>0</v>
      </c>
      <c r="E54" s="703">
        <f>+landbouw!D12</f>
        <v>23.219417411721587</v>
      </c>
      <c r="F54" s="703">
        <f>+landbouw!E12</f>
        <v>15.072496674644274</v>
      </c>
      <c r="G54" s="703">
        <f>+landbouw!F12</f>
        <v>2512.6934954003414</v>
      </c>
      <c r="H54" s="703">
        <f>+landbouw!G12</f>
        <v>0</v>
      </c>
      <c r="I54" s="703">
        <f>+landbouw!H12</f>
        <v>0</v>
      </c>
      <c r="J54" s="703">
        <f>+landbouw!I12</f>
        <v>0</v>
      </c>
      <c r="K54" s="703">
        <f>+landbouw!J12</f>
        <v>115.85689867864393</v>
      </c>
      <c r="L54" s="703">
        <f>+landbouw!K12</f>
        <v>0</v>
      </c>
      <c r="M54" s="703">
        <f>+landbouw!L12</f>
        <v>0</v>
      </c>
      <c r="N54" s="703">
        <f>+landbouw!M12</f>
        <v>0</v>
      </c>
      <c r="O54" s="703">
        <f>+landbouw!N12</f>
        <v>0</v>
      </c>
      <c r="P54" s="703">
        <f>+landbouw!O12</f>
        <v>0</v>
      </c>
      <c r="Q54" s="704">
        <f>+landbouw!P12</f>
        <v>0</v>
      </c>
      <c r="R54" s="731">
        <f ca="1">SUM(C54:Q54)</f>
        <v>2698.8270570703839</v>
      </c>
    </row>
    <row r="55" spans="1:18" ht="15" thickBot="1">
      <c r="A55" s="825" t="s">
        <v>836</v>
      </c>
      <c r="B55" s="835"/>
      <c r="C55" s="703">
        <f ca="1">C25*'EF ele_warmte'!B12</f>
        <v>6.6499915443451298</v>
      </c>
      <c r="D55" s="703"/>
      <c r="E55" s="703">
        <f>E25*EF_CO2_aardgas</f>
        <v>140.76336720441117</v>
      </c>
      <c r="F55" s="703"/>
      <c r="G55" s="703"/>
      <c r="H55" s="703"/>
      <c r="I55" s="703"/>
      <c r="J55" s="703"/>
      <c r="K55" s="703"/>
      <c r="L55" s="703"/>
      <c r="M55" s="703"/>
      <c r="N55" s="703"/>
      <c r="O55" s="703"/>
      <c r="P55" s="703"/>
      <c r="Q55" s="704"/>
      <c r="R55" s="731">
        <f ca="1">SUM(C55:Q55)</f>
        <v>147.41335874875631</v>
      </c>
    </row>
    <row r="56" spans="1:18" ht="15.75" thickBot="1">
      <c r="A56" s="823" t="s">
        <v>837</v>
      </c>
      <c r="B56" s="836"/>
      <c r="C56" s="732">
        <f ca="1">SUM(C54:C55)</f>
        <v>38.634740449377631</v>
      </c>
      <c r="D56" s="732">
        <f t="shared" ref="D56:Q56" ca="1" si="7">SUM(D54:D55)</f>
        <v>0</v>
      </c>
      <c r="E56" s="732">
        <f t="shared" si="7"/>
        <v>163.98278461613276</v>
      </c>
      <c r="F56" s="732">
        <f t="shared" si="7"/>
        <v>15.072496674644274</v>
      </c>
      <c r="G56" s="732">
        <f t="shared" si="7"/>
        <v>2512.6934954003414</v>
      </c>
      <c r="H56" s="732">
        <f t="shared" si="7"/>
        <v>0</v>
      </c>
      <c r="I56" s="732">
        <f t="shared" si="7"/>
        <v>0</v>
      </c>
      <c r="J56" s="732">
        <f t="shared" si="7"/>
        <v>0</v>
      </c>
      <c r="K56" s="732">
        <f t="shared" si="7"/>
        <v>115.85689867864393</v>
      </c>
      <c r="L56" s="732">
        <f t="shared" si="7"/>
        <v>0</v>
      </c>
      <c r="M56" s="732">
        <f t="shared" si="7"/>
        <v>0</v>
      </c>
      <c r="N56" s="732">
        <f t="shared" si="7"/>
        <v>0</v>
      </c>
      <c r="O56" s="732">
        <f t="shared" si="7"/>
        <v>0</v>
      </c>
      <c r="P56" s="732">
        <f t="shared" si="7"/>
        <v>0</v>
      </c>
      <c r="Q56" s="733">
        <f t="shared" si="7"/>
        <v>0</v>
      </c>
      <c r="R56" s="734">
        <f ca="1">SUM(R54:R55)</f>
        <v>2846.2404158191403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379.27119737821272</v>
      </c>
      <c r="D61" s="740">
        <f t="shared" ref="D61:Q61" ca="1" si="8">D46+D52+D56</f>
        <v>0</v>
      </c>
      <c r="E61" s="740">
        <f t="shared" ca="1" si="8"/>
        <v>6616.7239195462198</v>
      </c>
      <c r="F61" s="740">
        <f t="shared" si="8"/>
        <v>861.31230673497294</v>
      </c>
      <c r="G61" s="740">
        <f t="shared" ca="1" si="8"/>
        <v>8676.8606218764362</v>
      </c>
      <c r="H61" s="740">
        <f t="shared" si="8"/>
        <v>7463.9513783471903</v>
      </c>
      <c r="I61" s="740">
        <f t="shared" si="8"/>
        <v>1973.7344506530994</v>
      </c>
      <c r="J61" s="740">
        <f t="shared" si="8"/>
        <v>0</v>
      </c>
      <c r="K61" s="740">
        <f t="shared" si="8"/>
        <v>648.46294554509802</v>
      </c>
      <c r="L61" s="740">
        <f t="shared" si="8"/>
        <v>0</v>
      </c>
      <c r="M61" s="740">
        <f t="shared" ca="1" si="8"/>
        <v>0</v>
      </c>
      <c r="N61" s="740">
        <f t="shared" si="8"/>
        <v>0</v>
      </c>
      <c r="O61" s="740">
        <f t="shared" ca="1" si="8"/>
        <v>0</v>
      </c>
      <c r="P61" s="740">
        <f t="shared" si="8"/>
        <v>0</v>
      </c>
      <c r="Q61" s="740">
        <f t="shared" si="8"/>
        <v>0</v>
      </c>
      <c r="R61" s="740">
        <f ca="1">R46+R52+R56</f>
        <v>26620.316820081236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1.4158861183500624E-2</v>
      </c>
      <c r="D63" s="781">
        <f t="shared" ca="1" si="9"/>
        <v>0</v>
      </c>
      <c r="E63" s="1024">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2135.5341452698794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22935.15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26982.529411764714</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25070.684145269879</v>
      </c>
      <c r="C78" s="755">
        <f>SUM(C72:C77)</f>
        <v>0</v>
      </c>
      <c r="D78" s="756">
        <f t="shared" ref="D78:H78" si="10">SUM(D76:D77)</f>
        <v>0</v>
      </c>
      <c r="E78" s="756">
        <f t="shared" si="10"/>
        <v>0</v>
      </c>
      <c r="F78" s="756">
        <f t="shared" si="10"/>
        <v>0</v>
      </c>
      <c r="G78" s="756">
        <f t="shared" si="10"/>
        <v>0</v>
      </c>
      <c r="H78" s="756">
        <f t="shared" si="10"/>
        <v>0</v>
      </c>
      <c r="I78" s="756">
        <f>SUM(I76:I77)</f>
        <v>0</v>
      </c>
      <c r="J78" s="756">
        <f>SUM(J76:J77)</f>
        <v>26982.529411764714</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32764.499999999996</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38546.470588235294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32764.499999999996</v>
      </c>
      <c r="C90" s="755">
        <f>SUM(C87:C89)</f>
        <v>0</v>
      </c>
      <c r="D90" s="755">
        <f t="shared" ref="D90:H90" si="12">SUM(D87:D89)</f>
        <v>0</v>
      </c>
      <c r="E90" s="755">
        <f t="shared" si="12"/>
        <v>0</v>
      </c>
      <c r="F90" s="755">
        <f t="shared" si="12"/>
        <v>0</v>
      </c>
      <c r="G90" s="755">
        <f t="shared" si="12"/>
        <v>0</v>
      </c>
      <c r="H90" s="755">
        <f t="shared" si="12"/>
        <v>0</v>
      </c>
      <c r="I90" s="755">
        <f>SUM(I87:I89)</f>
        <v>0</v>
      </c>
      <c r="J90" s="755">
        <f>SUM(J87:J89)</f>
        <v>38546.470588235294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2135.5341452698794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22935.15</v>
      </c>
      <c r="C8" s="570">
        <f>B101</f>
        <v>0</v>
      </c>
      <c r="D8" s="1044"/>
      <c r="E8" s="1044">
        <f>E101</f>
        <v>0</v>
      </c>
      <c r="F8" s="1045"/>
      <c r="G8" s="571"/>
      <c r="H8" s="1044">
        <f>I101</f>
        <v>0</v>
      </c>
      <c r="I8" s="1044">
        <f>G101+F101</f>
        <v>0</v>
      </c>
      <c r="J8" s="1044">
        <f>H101+D101+C101</f>
        <v>26982.529411764714</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25070.684145269879</v>
      </c>
      <c r="C10" s="583">
        <f t="shared" ref="C10:L10" si="0">SUM(C8:C9)</f>
        <v>0</v>
      </c>
      <c r="D10" s="583">
        <f t="shared" si="0"/>
        <v>0</v>
      </c>
      <c r="E10" s="583">
        <f t="shared" si="0"/>
        <v>0</v>
      </c>
      <c r="F10" s="583">
        <f t="shared" si="0"/>
        <v>0</v>
      </c>
      <c r="G10" s="583">
        <f t="shared" si="0"/>
        <v>0</v>
      </c>
      <c r="H10" s="583">
        <f t="shared" si="0"/>
        <v>0</v>
      </c>
      <c r="I10" s="583">
        <f t="shared" si="0"/>
        <v>0</v>
      </c>
      <c r="J10" s="583">
        <f t="shared" si="0"/>
        <v>26982.529411764714</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32764.499999999996</v>
      </c>
      <c r="C17" s="595">
        <f>B102</f>
        <v>0</v>
      </c>
      <c r="D17" s="596"/>
      <c r="E17" s="596">
        <f>E102</f>
        <v>0</v>
      </c>
      <c r="F17" s="1050"/>
      <c r="G17" s="597"/>
      <c r="H17" s="595">
        <f>I102</f>
        <v>0</v>
      </c>
      <c r="I17" s="596">
        <f>G102+F102</f>
        <v>0</v>
      </c>
      <c r="J17" s="596">
        <f>H102+D102+C102</f>
        <v>38546.470588235294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32764.499999999996</v>
      </c>
      <c r="C20" s="582">
        <f>SUM(C17:C19)</f>
        <v>0</v>
      </c>
      <c r="D20" s="582">
        <f t="shared" ref="D20:L20" si="1">SUM(D17:D19)</f>
        <v>0</v>
      </c>
      <c r="E20" s="582">
        <f t="shared" si="1"/>
        <v>0</v>
      </c>
      <c r="F20" s="582">
        <f t="shared" si="1"/>
        <v>0</v>
      </c>
      <c r="G20" s="582">
        <f t="shared" si="1"/>
        <v>0</v>
      </c>
      <c r="H20" s="582">
        <f t="shared" si="1"/>
        <v>0</v>
      </c>
      <c r="I20" s="582">
        <f t="shared" si="1"/>
        <v>0</v>
      </c>
      <c r="J20" s="582">
        <f t="shared" si="1"/>
        <v>38546.470588235294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44080</v>
      </c>
      <c r="C28" s="796">
        <v>9930</v>
      </c>
      <c r="D28" s="653" t="s">
        <v>881</v>
      </c>
      <c r="E28" s="652" t="s">
        <v>882</v>
      </c>
      <c r="F28" s="652" t="s">
        <v>883</v>
      </c>
      <c r="G28" s="652" t="s">
        <v>884</v>
      </c>
      <c r="H28" s="652" t="s">
        <v>885</v>
      </c>
      <c r="I28" s="652" t="s">
        <v>882</v>
      </c>
      <c r="J28" s="795">
        <v>39702</v>
      </c>
      <c r="K28" s="795">
        <v>39373</v>
      </c>
      <c r="L28" s="652" t="s">
        <v>886</v>
      </c>
      <c r="M28" s="652">
        <v>1038</v>
      </c>
      <c r="N28" s="652">
        <v>4671</v>
      </c>
      <c r="O28" s="652">
        <v>6672.8571428571431</v>
      </c>
      <c r="P28" s="652">
        <v>0</v>
      </c>
      <c r="Q28" s="652">
        <v>13345.714285714286</v>
      </c>
      <c r="R28" s="652">
        <v>0</v>
      </c>
      <c r="S28" s="652">
        <v>0</v>
      </c>
      <c r="T28" s="652">
        <v>0</v>
      </c>
      <c r="U28" s="652">
        <v>0</v>
      </c>
      <c r="V28" s="652">
        <v>0</v>
      </c>
      <c r="W28" s="652">
        <v>0</v>
      </c>
      <c r="X28" s="652">
        <v>10</v>
      </c>
      <c r="Y28" s="652" t="s">
        <v>112</v>
      </c>
      <c r="Z28" s="654" t="s">
        <v>112</v>
      </c>
    </row>
    <row r="29" spans="1:26" s="606" customFormat="1" ht="25.5">
      <c r="A29" s="605"/>
      <c r="B29" s="796">
        <v>44080</v>
      </c>
      <c r="C29" s="796">
        <v>9930</v>
      </c>
      <c r="D29" s="653" t="s">
        <v>887</v>
      </c>
      <c r="E29" s="652" t="s">
        <v>888</v>
      </c>
      <c r="F29" s="652" t="s">
        <v>889</v>
      </c>
      <c r="G29" s="652" t="s">
        <v>884</v>
      </c>
      <c r="H29" s="652" t="s">
        <v>885</v>
      </c>
      <c r="I29" s="652" t="s">
        <v>888</v>
      </c>
      <c r="J29" s="795">
        <v>40744</v>
      </c>
      <c r="K29" s="795">
        <v>40192</v>
      </c>
      <c r="L29" s="652" t="s">
        <v>886</v>
      </c>
      <c r="M29" s="652">
        <v>2860</v>
      </c>
      <c r="N29" s="652">
        <v>12870</v>
      </c>
      <c r="O29" s="652">
        <v>18385.714285714286</v>
      </c>
      <c r="P29" s="652">
        <v>0</v>
      </c>
      <c r="Q29" s="652">
        <v>36771.428571428572</v>
      </c>
      <c r="R29" s="652">
        <v>0</v>
      </c>
      <c r="S29" s="652">
        <v>0</v>
      </c>
      <c r="T29" s="652">
        <v>0</v>
      </c>
      <c r="U29" s="652">
        <v>0</v>
      </c>
      <c r="V29" s="652">
        <v>0</v>
      </c>
      <c r="W29" s="652">
        <v>0</v>
      </c>
      <c r="X29" s="652">
        <v>10</v>
      </c>
      <c r="Y29" s="652" t="s">
        <v>112</v>
      </c>
      <c r="Z29" s="654" t="s">
        <v>112</v>
      </c>
    </row>
    <row r="30" spans="1:26" s="606" customFormat="1" ht="25.5">
      <c r="A30" s="605"/>
      <c r="B30" s="796">
        <v>44080</v>
      </c>
      <c r="C30" s="796">
        <v>9931</v>
      </c>
      <c r="D30" s="653" t="s">
        <v>890</v>
      </c>
      <c r="E30" s="652" t="s">
        <v>891</v>
      </c>
      <c r="F30" s="652" t="s">
        <v>892</v>
      </c>
      <c r="G30" s="652" t="s">
        <v>884</v>
      </c>
      <c r="H30" s="652" t="s">
        <v>885</v>
      </c>
      <c r="I30" s="652" t="s">
        <v>891</v>
      </c>
      <c r="J30" s="795">
        <v>41124</v>
      </c>
      <c r="K30" s="795">
        <v>41244</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44080</v>
      </c>
      <c r="C31" s="796">
        <v>9930</v>
      </c>
      <c r="D31" s="653" t="s">
        <v>881</v>
      </c>
      <c r="E31" s="652" t="s">
        <v>882</v>
      </c>
      <c r="F31" s="652" t="s">
        <v>893</v>
      </c>
      <c r="G31" s="652" t="s">
        <v>884</v>
      </c>
      <c r="H31" s="652" t="s">
        <v>885</v>
      </c>
      <c r="I31" s="652" t="s">
        <v>882</v>
      </c>
      <c r="J31" s="795">
        <v>42172</v>
      </c>
      <c r="K31" s="795">
        <v>42172</v>
      </c>
      <c r="L31" s="652" t="s">
        <v>886</v>
      </c>
      <c r="M31" s="652">
        <v>1189</v>
      </c>
      <c r="N31" s="652">
        <v>5350.5</v>
      </c>
      <c r="O31" s="652">
        <v>7643.5714285714284</v>
      </c>
      <c r="P31" s="652">
        <v>0</v>
      </c>
      <c r="Q31" s="652">
        <v>15287.142857142859</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5096.7</v>
      </c>
      <c r="N58" s="610">
        <f>SUM(N28:N57)</f>
        <v>22935.15</v>
      </c>
      <c r="O58" s="610">
        <f t="shared" ref="O58:W58" si="2">SUM(O28:O57)</f>
        <v>32764.499999999996</v>
      </c>
      <c r="P58" s="610">
        <f t="shared" si="2"/>
        <v>0</v>
      </c>
      <c r="Q58" s="610">
        <f t="shared" si="2"/>
        <v>65529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5096.7</v>
      </c>
      <c r="N61" s="615">
        <f t="shared" si="4"/>
        <v>22935.15</v>
      </c>
      <c r="O61" s="615">
        <f t="shared" si="4"/>
        <v>32764.499999999996</v>
      </c>
      <c r="P61" s="615">
        <f t="shared" si="4"/>
        <v>0</v>
      </c>
      <c r="Q61" s="615">
        <f t="shared" si="4"/>
        <v>65529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0.41176470588235303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26982.529411764714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38546.470588235294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15132.53350169433</v>
      </c>
      <c r="C4" s="477">
        <f>huishoudens!C8</f>
        <v>0</v>
      </c>
      <c r="D4" s="477">
        <f>huishoudens!D8</f>
        <v>22645.165519941307</v>
      </c>
      <c r="E4" s="477">
        <f>huishoudens!E8</f>
        <v>3264.2318104982714</v>
      </c>
      <c r="F4" s="477">
        <f>huishoudens!F8</f>
        <v>21109.308927473998</v>
      </c>
      <c r="G4" s="477">
        <f>huishoudens!G8</f>
        <v>0</v>
      </c>
      <c r="H4" s="477">
        <f>huishoudens!H8</f>
        <v>0</v>
      </c>
      <c r="I4" s="477">
        <f>huishoudens!I8</f>
        <v>0</v>
      </c>
      <c r="J4" s="477">
        <f>huishoudens!J8</f>
        <v>1502.0899288173036</v>
      </c>
      <c r="K4" s="477">
        <f>huishoudens!K8</f>
        <v>0</v>
      </c>
      <c r="L4" s="477">
        <f>huishoudens!L8</f>
        <v>0</v>
      </c>
      <c r="M4" s="477">
        <f>huishoudens!M8</f>
        <v>0</v>
      </c>
      <c r="N4" s="477">
        <f>huishoudens!N8</f>
        <v>11607.99110198919</v>
      </c>
      <c r="O4" s="477">
        <f>huishoudens!O8</f>
        <v>221.99333333333334</v>
      </c>
      <c r="P4" s="478">
        <f>huishoudens!P8</f>
        <v>762.66666666666674</v>
      </c>
      <c r="Q4" s="479">
        <f>SUM(B4:P4)</f>
        <v>76245.980790414396</v>
      </c>
    </row>
    <row r="5" spans="1:17">
      <c r="A5" s="476" t="s">
        <v>156</v>
      </c>
      <c r="B5" s="477">
        <f ca="1">tertiair!B16</f>
        <v>6505.9196778261266</v>
      </c>
      <c r="C5" s="477">
        <f ca="1">tertiair!C16</f>
        <v>0</v>
      </c>
      <c r="D5" s="477">
        <f ca="1">tertiair!D16</f>
        <v>7920.7005760900629</v>
      </c>
      <c r="E5" s="477">
        <f>tertiair!E16</f>
        <v>95.077228782019432</v>
      </c>
      <c r="F5" s="477">
        <f ca="1">tertiair!F16</f>
        <v>1172.4574903322143</v>
      </c>
      <c r="G5" s="477">
        <f>tertiair!G16</f>
        <v>0</v>
      </c>
      <c r="H5" s="477">
        <f>tertiair!H16</f>
        <v>0</v>
      </c>
      <c r="I5" s="477">
        <f>tertiair!I16</f>
        <v>0</v>
      </c>
      <c r="J5" s="477">
        <f>tertiair!J16</f>
        <v>2.2668107216868117E-2</v>
      </c>
      <c r="K5" s="477">
        <f>tertiair!K16</f>
        <v>0</v>
      </c>
      <c r="L5" s="477">
        <f ca="1">tertiair!L16</f>
        <v>0</v>
      </c>
      <c r="M5" s="477">
        <f>tertiair!M16</f>
        <v>0</v>
      </c>
      <c r="N5" s="477">
        <f ca="1">tertiair!N16</f>
        <v>896.88752521483957</v>
      </c>
      <c r="O5" s="477">
        <f>tertiair!O16</f>
        <v>4.6900000000000004</v>
      </c>
      <c r="P5" s="478">
        <f>tertiair!P16</f>
        <v>19.066666666666666</v>
      </c>
      <c r="Q5" s="476">
        <f t="shared" ref="Q5:Q14" ca="1" si="0">SUM(B5:P5)</f>
        <v>16614.821833019145</v>
      </c>
    </row>
    <row r="6" spans="1:17">
      <c r="A6" s="476" t="s">
        <v>194</v>
      </c>
      <c r="B6" s="477">
        <f>'openbare verlichting'!B8</f>
        <v>665.58900000000006</v>
      </c>
      <c r="C6" s="477"/>
      <c r="D6" s="477"/>
      <c r="E6" s="477"/>
      <c r="F6" s="477"/>
      <c r="G6" s="477"/>
      <c r="H6" s="477"/>
      <c r="I6" s="477"/>
      <c r="J6" s="477"/>
      <c r="K6" s="477"/>
      <c r="L6" s="477"/>
      <c r="M6" s="477"/>
      <c r="N6" s="477"/>
      <c r="O6" s="477"/>
      <c r="P6" s="478"/>
      <c r="Q6" s="476">
        <f t="shared" si="0"/>
        <v>665.58900000000006</v>
      </c>
    </row>
    <row r="7" spans="1:17">
      <c r="A7" s="476" t="s">
        <v>112</v>
      </c>
      <c r="B7" s="477">
        <f>landbouw!B8</f>
        <v>2258.9916300828245</v>
      </c>
      <c r="C7" s="477">
        <f>landbouw!C8</f>
        <v>32764.499999999996</v>
      </c>
      <c r="D7" s="477">
        <f>landbouw!D8</f>
        <v>114.94761094911675</v>
      </c>
      <c r="E7" s="477">
        <f>landbouw!E8</f>
        <v>66.398663764952744</v>
      </c>
      <c r="F7" s="477">
        <f>landbouw!F8</f>
        <v>9410.8370614244996</v>
      </c>
      <c r="G7" s="477">
        <f>landbouw!G8</f>
        <v>0</v>
      </c>
      <c r="H7" s="477">
        <f>landbouw!H8</f>
        <v>0</v>
      </c>
      <c r="I7" s="477">
        <f>landbouw!I8</f>
        <v>0</v>
      </c>
      <c r="J7" s="477">
        <f>landbouw!J8</f>
        <v>327.27937479842922</v>
      </c>
      <c r="K7" s="477">
        <f>landbouw!K8</f>
        <v>0</v>
      </c>
      <c r="L7" s="477">
        <f>landbouw!L8</f>
        <v>0</v>
      </c>
      <c r="M7" s="477">
        <f>landbouw!M8</f>
        <v>0</v>
      </c>
      <c r="N7" s="477">
        <f>landbouw!N8</f>
        <v>0</v>
      </c>
      <c r="O7" s="477">
        <f>landbouw!O8</f>
        <v>0</v>
      </c>
      <c r="P7" s="478">
        <f>landbouw!P8</f>
        <v>0</v>
      </c>
      <c r="Q7" s="476">
        <f t="shared" si="0"/>
        <v>44942.954341019817</v>
      </c>
    </row>
    <row r="8" spans="1:17">
      <c r="A8" s="476" t="s">
        <v>635</v>
      </c>
      <c r="B8" s="477">
        <f>industrie!B18</f>
        <v>1738.531098103176</v>
      </c>
      <c r="C8" s="477">
        <f>industrie!C18</f>
        <v>0</v>
      </c>
      <c r="D8" s="477">
        <f>industrie!D18</f>
        <v>1307.1418366103535</v>
      </c>
      <c r="E8" s="477">
        <f>industrie!E18</f>
        <v>276.91237543284973</v>
      </c>
      <c r="F8" s="477">
        <f>industrie!F18</f>
        <v>805.00184614920056</v>
      </c>
      <c r="G8" s="477">
        <f>industrie!G18</f>
        <v>0</v>
      </c>
      <c r="H8" s="477">
        <f>industrie!H18</f>
        <v>0</v>
      </c>
      <c r="I8" s="477">
        <f>industrie!I18</f>
        <v>0</v>
      </c>
      <c r="J8" s="477">
        <f>industrie!J18</f>
        <v>2.4242586304345175</v>
      </c>
      <c r="K8" s="477">
        <f>industrie!K18</f>
        <v>0</v>
      </c>
      <c r="L8" s="477">
        <f>industrie!L18</f>
        <v>0</v>
      </c>
      <c r="M8" s="477">
        <f>industrie!M18</f>
        <v>0</v>
      </c>
      <c r="N8" s="477">
        <f>industrie!N18</f>
        <v>436.4636363199844</v>
      </c>
      <c r="O8" s="477">
        <f>industrie!O18</f>
        <v>0</v>
      </c>
      <c r="P8" s="478">
        <f>industrie!P18</f>
        <v>0</v>
      </c>
      <c r="Q8" s="476">
        <f t="shared" si="0"/>
        <v>4566.4750512459987</v>
      </c>
    </row>
    <row r="9" spans="1:17" s="482" customFormat="1">
      <c r="A9" s="480" t="s">
        <v>561</v>
      </c>
      <c r="B9" s="481">
        <f>transport!B14</f>
        <v>15.608557351916872</v>
      </c>
      <c r="C9" s="481">
        <f>transport!C14</f>
        <v>0</v>
      </c>
      <c r="D9" s="481">
        <f>transport!D14</f>
        <v>71.255111566629125</v>
      </c>
      <c r="E9" s="481">
        <f>transport!E14</f>
        <v>91.70726396672093</v>
      </c>
      <c r="F9" s="481">
        <f>transport!F14</f>
        <v>0</v>
      </c>
      <c r="G9" s="481">
        <f>transport!G14</f>
        <v>27366.947090293492</v>
      </c>
      <c r="H9" s="481">
        <f>transport!H14</f>
        <v>7926.6443801329297</v>
      </c>
      <c r="I9" s="481">
        <f>transport!I14</f>
        <v>0</v>
      </c>
      <c r="J9" s="481">
        <f>transport!J14</f>
        <v>0</v>
      </c>
      <c r="K9" s="481">
        <f>transport!K14</f>
        <v>0</v>
      </c>
      <c r="L9" s="481">
        <f>transport!L14</f>
        <v>0</v>
      </c>
      <c r="M9" s="481">
        <f>transport!M14</f>
        <v>1832.7436107724038</v>
      </c>
      <c r="N9" s="481">
        <f>transport!N14</f>
        <v>0</v>
      </c>
      <c r="O9" s="481">
        <f>transport!O14</f>
        <v>0</v>
      </c>
      <c r="P9" s="481">
        <f>transport!P14</f>
        <v>0</v>
      </c>
      <c r="Q9" s="480">
        <f>SUM(B9:P9)</f>
        <v>37304.906014084096</v>
      </c>
    </row>
    <row r="10" spans="1:17">
      <c r="A10" s="476" t="s">
        <v>551</v>
      </c>
      <c r="B10" s="477">
        <f>transport!B54</f>
        <v>0</v>
      </c>
      <c r="C10" s="477">
        <f>transport!C54</f>
        <v>0</v>
      </c>
      <c r="D10" s="477">
        <f>transport!D54</f>
        <v>0</v>
      </c>
      <c r="E10" s="477">
        <f>transport!E54</f>
        <v>0</v>
      </c>
      <c r="F10" s="477">
        <f>transport!F54</f>
        <v>0</v>
      </c>
      <c r="G10" s="477">
        <f>transport!G54</f>
        <v>587.92698591321232</v>
      </c>
      <c r="H10" s="477">
        <f>transport!H54</f>
        <v>0</v>
      </c>
      <c r="I10" s="477">
        <f>transport!I54</f>
        <v>0</v>
      </c>
      <c r="J10" s="477">
        <f>transport!J54</f>
        <v>0</v>
      </c>
      <c r="K10" s="477">
        <f>transport!K54</f>
        <v>0</v>
      </c>
      <c r="L10" s="477">
        <f>transport!L54</f>
        <v>0</v>
      </c>
      <c r="M10" s="477">
        <f>transport!M54</f>
        <v>33.391657351282582</v>
      </c>
      <c r="N10" s="477">
        <f>transport!N54</f>
        <v>0</v>
      </c>
      <c r="O10" s="477">
        <f>transport!O54</f>
        <v>0</v>
      </c>
      <c r="P10" s="478">
        <f>transport!P54</f>
        <v>0</v>
      </c>
      <c r="Q10" s="476">
        <f t="shared" si="0"/>
        <v>621.31864326449488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469.66994436631603</v>
      </c>
      <c r="C14" s="484"/>
      <c r="D14" s="484">
        <f>'SEAP template'!E25</f>
        <v>696.84835249708499</v>
      </c>
      <c r="E14" s="484"/>
      <c r="F14" s="484"/>
      <c r="G14" s="484"/>
      <c r="H14" s="484"/>
      <c r="I14" s="484"/>
      <c r="J14" s="484"/>
      <c r="K14" s="484"/>
      <c r="L14" s="484"/>
      <c r="M14" s="484"/>
      <c r="N14" s="484"/>
      <c r="O14" s="484"/>
      <c r="P14" s="485"/>
      <c r="Q14" s="476">
        <f t="shared" si="0"/>
        <v>1166.518296863401</v>
      </c>
    </row>
    <row r="15" spans="1:17" s="486" customFormat="1">
      <c r="A15" s="1039" t="s">
        <v>555</v>
      </c>
      <c r="B15" s="987">
        <f ca="1">SUM(B4:B14)</f>
        <v>26786.843409424688</v>
      </c>
      <c r="C15" s="987">
        <f t="shared" ref="C15:Q15" ca="1" si="1">SUM(C4:C14)</f>
        <v>32764.499999999996</v>
      </c>
      <c r="D15" s="987">
        <f t="shared" ca="1" si="1"/>
        <v>32756.059007654552</v>
      </c>
      <c r="E15" s="987">
        <f t="shared" si="1"/>
        <v>3794.3273424448143</v>
      </c>
      <c r="F15" s="987">
        <f t="shared" ca="1" si="1"/>
        <v>32497.605325379911</v>
      </c>
      <c r="G15" s="987">
        <f t="shared" si="1"/>
        <v>27954.874076206703</v>
      </c>
      <c r="H15" s="987">
        <f t="shared" si="1"/>
        <v>7926.6443801329297</v>
      </c>
      <c r="I15" s="987">
        <f t="shared" si="1"/>
        <v>0</v>
      </c>
      <c r="J15" s="987">
        <f t="shared" si="1"/>
        <v>1831.8162303533841</v>
      </c>
      <c r="K15" s="987">
        <f t="shared" si="1"/>
        <v>0</v>
      </c>
      <c r="L15" s="987">
        <f t="shared" ca="1" si="1"/>
        <v>0</v>
      </c>
      <c r="M15" s="987">
        <f t="shared" si="1"/>
        <v>1866.1352681236865</v>
      </c>
      <c r="N15" s="987">
        <f t="shared" ca="1" si="1"/>
        <v>12941.342263524013</v>
      </c>
      <c r="O15" s="987">
        <f t="shared" si="1"/>
        <v>226.68333333333334</v>
      </c>
      <c r="P15" s="987">
        <f t="shared" si="1"/>
        <v>781.73333333333346</v>
      </c>
      <c r="Q15" s="987">
        <f t="shared" ca="1" si="1"/>
        <v>182128.56396991134</v>
      </c>
    </row>
    <row r="17" spans="1:17">
      <c r="A17" s="487" t="s">
        <v>556</v>
      </c>
      <c r="B17" s="786">
        <f ca="1">huishoudens!B10</f>
        <v>1.4158861183500624E-2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214.25944120516263</v>
      </c>
      <c r="C22" s="477">
        <f t="shared" ref="C22:C32" ca="1" si="3">C4*$C$17</f>
        <v>0</v>
      </c>
      <c r="D22" s="477">
        <f t="shared" ref="D22:D32" si="4">D4*$D$17</f>
        <v>4574.3234350281446</v>
      </c>
      <c r="E22" s="477">
        <f t="shared" ref="E22:E32" si="5">E4*$E$17</f>
        <v>740.98062098310766</v>
      </c>
      <c r="F22" s="477">
        <f t="shared" ref="F22:F32" si="6">F4*$F$17</f>
        <v>5636.1854836355578</v>
      </c>
      <c r="G22" s="477">
        <f t="shared" ref="G22:G32" si="7">G4*$G$17</f>
        <v>0</v>
      </c>
      <c r="H22" s="477">
        <f t="shared" ref="H22:H32" si="8">H4*$H$17</f>
        <v>0</v>
      </c>
      <c r="I22" s="477">
        <f t="shared" ref="I22:I32" si="9">I4*$I$17</f>
        <v>0</v>
      </c>
      <c r="J22" s="477">
        <f t="shared" ref="J22:J32" si="10">J4*$J$17</f>
        <v>531.73983480132551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11697.488815653298</v>
      </c>
    </row>
    <row r="23" spans="1:17">
      <c r="A23" s="476" t="s">
        <v>156</v>
      </c>
      <c r="B23" s="477">
        <f t="shared" ca="1" si="2"/>
        <v>92.116413589345228</v>
      </c>
      <c r="C23" s="477">
        <f t="shared" ca="1" si="3"/>
        <v>0</v>
      </c>
      <c r="D23" s="477">
        <f t="shared" ca="1" si="4"/>
        <v>1599.9815163701928</v>
      </c>
      <c r="E23" s="477">
        <f t="shared" si="5"/>
        <v>21.582530933518413</v>
      </c>
      <c r="F23" s="477">
        <f t="shared" ca="1" si="6"/>
        <v>313.04614991870125</v>
      </c>
      <c r="G23" s="477">
        <f t="shared" si="7"/>
        <v>0</v>
      </c>
      <c r="H23" s="477">
        <f t="shared" si="8"/>
        <v>0</v>
      </c>
      <c r="I23" s="477">
        <f t="shared" si="9"/>
        <v>0</v>
      </c>
      <c r="J23" s="477">
        <f t="shared" si="10"/>
        <v>8.0245099547713132E-3</v>
      </c>
      <c r="K23" s="477">
        <f t="shared" si="11"/>
        <v>0</v>
      </c>
      <c r="L23" s="477">
        <f t="shared" ca="1" si="12"/>
        <v>0</v>
      </c>
      <c r="M23" s="477">
        <f t="shared" si="13"/>
        <v>0</v>
      </c>
      <c r="N23" s="477">
        <f t="shared" ca="1" si="14"/>
        <v>0</v>
      </c>
      <c r="O23" s="477">
        <f t="shared" si="15"/>
        <v>0</v>
      </c>
      <c r="P23" s="478">
        <f t="shared" si="16"/>
        <v>0</v>
      </c>
      <c r="Q23" s="476">
        <f t="shared" ref="Q23:Q32" ca="1" si="17">SUM(B23:P23)</f>
        <v>2026.7346353217126</v>
      </c>
    </row>
    <row r="24" spans="1:17">
      <c r="A24" s="476" t="s">
        <v>194</v>
      </c>
      <c r="B24" s="477">
        <f t="shared" ca="1" si="2"/>
        <v>9.4239822562649973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9.4239822562649973</v>
      </c>
    </row>
    <row r="25" spans="1:17">
      <c r="A25" s="476" t="s">
        <v>112</v>
      </c>
      <c r="B25" s="477">
        <f t="shared" ca="1" si="2"/>
        <v>31.984748905032504</v>
      </c>
      <c r="C25" s="477">
        <f t="shared" ca="1" si="3"/>
        <v>0</v>
      </c>
      <c r="D25" s="477">
        <f t="shared" si="4"/>
        <v>23.219417411721587</v>
      </c>
      <c r="E25" s="477">
        <f t="shared" si="5"/>
        <v>15.072496674644274</v>
      </c>
      <c r="F25" s="477">
        <f t="shared" si="6"/>
        <v>2512.6934954003414</v>
      </c>
      <c r="G25" s="477">
        <f t="shared" si="7"/>
        <v>0</v>
      </c>
      <c r="H25" s="477">
        <f t="shared" si="8"/>
        <v>0</v>
      </c>
      <c r="I25" s="477">
        <f t="shared" si="9"/>
        <v>0</v>
      </c>
      <c r="J25" s="477">
        <f t="shared" si="10"/>
        <v>115.85689867864393</v>
      </c>
      <c r="K25" s="477">
        <f t="shared" si="11"/>
        <v>0</v>
      </c>
      <c r="L25" s="477">
        <f t="shared" si="12"/>
        <v>0</v>
      </c>
      <c r="M25" s="477">
        <f t="shared" si="13"/>
        <v>0</v>
      </c>
      <c r="N25" s="477">
        <f t="shared" si="14"/>
        <v>0</v>
      </c>
      <c r="O25" s="477">
        <f t="shared" si="15"/>
        <v>0</v>
      </c>
      <c r="P25" s="478">
        <f t="shared" si="16"/>
        <v>0</v>
      </c>
      <c r="Q25" s="476">
        <f t="shared" ca="1" si="17"/>
        <v>2698.8270570703839</v>
      </c>
    </row>
    <row r="26" spans="1:17">
      <c r="A26" s="476" t="s">
        <v>635</v>
      </c>
      <c r="B26" s="477">
        <f t="shared" ca="1" si="2"/>
        <v>24.615620481241773</v>
      </c>
      <c r="C26" s="477">
        <f t="shared" ca="1" si="3"/>
        <v>0</v>
      </c>
      <c r="D26" s="477">
        <f t="shared" si="4"/>
        <v>264.04265099529141</v>
      </c>
      <c r="E26" s="477">
        <f t="shared" si="5"/>
        <v>62.859109223256887</v>
      </c>
      <c r="F26" s="477">
        <f t="shared" si="6"/>
        <v>214.93549292183656</v>
      </c>
      <c r="G26" s="477">
        <f t="shared" si="7"/>
        <v>0</v>
      </c>
      <c r="H26" s="477">
        <f t="shared" si="8"/>
        <v>0</v>
      </c>
      <c r="I26" s="477">
        <f t="shared" si="9"/>
        <v>0</v>
      </c>
      <c r="J26" s="477">
        <f t="shared" si="10"/>
        <v>0.85818755517381917</v>
      </c>
      <c r="K26" s="477">
        <f t="shared" si="11"/>
        <v>0</v>
      </c>
      <c r="L26" s="477">
        <f t="shared" si="12"/>
        <v>0</v>
      </c>
      <c r="M26" s="477">
        <f t="shared" si="13"/>
        <v>0</v>
      </c>
      <c r="N26" s="477">
        <f t="shared" si="14"/>
        <v>0</v>
      </c>
      <c r="O26" s="477">
        <f t="shared" si="15"/>
        <v>0</v>
      </c>
      <c r="P26" s="478">
        <f t="shared" si="16"/>
        <v>0</v>
      </c>
      <c r="Q26" s="476">
        <f t="shared" ca="1" si="17"/>
        <v>567.31106117680042</v>
      </c>
    </row>
    <row r="27" spans="1:17" s="482" customFormat="1">
      <c r="A27" s="480" t="s">
        <v>561</v>
      </c>
      <c r="B27" s="780">
        <f t="shared" ca="1" si="2"/>
        <v>0.2209993968204991</v>
      </c>
      <c r="C27" s="481">
        <f t="shared" ca="1" si="3"/>
        <v>0</v>
      </c>
      <c r="D27" s="481">
        <f t="shared" si="4"/>
        <v>14.393532536459084</v>
      </c>
      <c r="E27" s="481">
        <f t="shared" si="5"/>
        <v>20.817548920445653</v>
      </c>
      <c r="F27" s="481">
        <f t="shared" si="6"/>
        <v>0</v>
      </c>
      <c r="G27" s="481">
        <f t="shared" si="7"/>
        <v>7306.9748731083628</v>
      </c>
      <c r="H27" s="481">
        <f t="shared" si="8"/>
        <v>1973.7344506530994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9316.1414046151876</v>
      </c>
    </row>
    <row r="28" spans="1:17">
      <c r="A28" s="476" t="s">
        <v>551</v>
      </c>
      <c r="B28" s="477">
        <f t="shared" ca="1" si="2"/>
        <v>0</v>
      </c>
      <c r="C28" s="477">
        <f t="shared" ca="1" si="3"/>
        <v>0</v>
      </c>
      <c r="D28" s="477">
        <f t="shared" si="4"/>
        <v>0</v>
      </c>
      <c r="E28" s="477">
        <f t="shared" si="5"/>
        <v>0</v>
      </c>
      <c r="F28" s="477">
        <f t="shared" si="6"/>
        <v>0</v>
      </c>
      <c r="G28" s="477">
        <f t="shared" si="7"/>
        <v>156.97650523882768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156.97650523882768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6.6499915443451298</v>
      </c>
      <c r="C32" s="477">
        <f t="shared" ca="1" si="3"/>
        <v>0</v>
      </c>
      <c r="D32" s="477">
        <f t="shared" si="4"/>
        <v>140.76336720441117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147.41335874875631</v>
      </c>
    </row>
    <row r="33" spans="1:17" s="486" customFormat="1">
      <c r="A33" s="1039" t="s">
        <v>555</v>
      </c>
      <c r="B33" s="987">
        <f ca="1">SUM(B22:B32)</f>
        <v>379.27119737821278</v>
      </c>
      <c r="C33" s="987">
        <f t="shared" ref="C33:Q33" ca="1" si="18">SUM(C22:C32)</f>
        <v>0</v>
      </c>
      <c r="D33" s="987">
        <f t="shared" ca="1" si="18"/>
        <v>6616.7239195462198</v>
      </c>
      <c r="E33" s="987">
        <f t="shared" si="18"/>
        <v>861.31230673497294</v>
      </c>
      <c r="F33" s="987">
        <f t="shared" ca="1" si="18"/>
        <v>8676.860621876438</v>
      </c>
      <c r="G33" s="987">
        <f t="shared" si="18"/>
        <v>7463.9513783471903</v>
      </c>
      <c r="H33" s="987">
        <f t="shared" si="18"/>
        <v>1973.7344506530994</v>
      </c>
      <c r="I33" s="987">
        <f t="shared" si="18"/>
        <v>0</v>
      </c>
      <c r="J33" s="987">
        <f t="shared" si="18"/>
        <v>648.46294554509802</v>
      </c>
      <c r="K33" s="987">
        <f t="shared" si="18"/>
        <v>0</v>
      </c>
      <c r="L33" s="987">
        <f t="shared" ca="1" si="18"/>
        <v>0</v>
      </c>
      <c r="M33" s="987">
        <f t="shared" si="18"/>
        <v>0</v>
      </c>
      <c r="N33" s="987">
        <f t="shared" ca="1" si="18"/>
        <v>0</v>
      </c>
      <c r="O33" s="987">
        <f t="shared" si="18"/>
        <v>0</v>
      </c>
      <c r="P33" s="987">
        <f t="shared" si="18"/>
        <v>0</v>
      </c>
      <c r="Q33" s="987">
        <f t="shared" ca="1" si="18"/>
        <v>26620.316820081229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2135.5341452698794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22935.15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26982.529411764714</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25070.684145269879</v>
      </c>
      <c r="C10" s="1060">
        <f>SUM(C4:C9)</f>
        <v>0</v>
      </c>
      <c r="D10" s="1060">
        <f t="shared" ref="D10:H10" si="0">SUM(D8:D9)</f>
        <v>0</v>
      </c>
      <c r="E10" s="1060">
        <f t="shared" si="0"/>
        <v>0</v>
      </c>
      <c r="F10" s="1060">
        <f t="shared" si="0"/>
        <v>0</v>
      </c>
      <c r="G10" s="1060">
        <f t="shared" si="0"/>
        <v>0</v>
      </c>
      <c r="H10" s="1060">
        <f t="shared" si="0"/>
        <v>0</v>
      </c>
      <c r="I10" s="1060">
        <f>SUM(I8:I9)</f>
        <v>0</v>
      </c>
      <c r="J10" s="1060">
        <f>SUM(J8:J9)</f>
        <v>26982.529411764714</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1.4158861183500624E-2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32764.499999999996</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38546.470588235294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32764.499999999996</v>
      </c>
      <c r="C20" s="1060">
        <f>SUM(C17:C19)</f>
        <v>0</v>
      </c>
      <c r="D20" s="1060">
        <f t="shared" ref="D20:H20" si="2">SUM(D17:D19)</f>
        <v>0</v>
      </c>
      <c r="E20" s="1060">
        <f t="shared" si="2"/>
        <v>0</v>
      </c>
      <c r="F20" s="1060">
        <f t="shared" si="2"/>
        <v>0</v>
      </c>
      <c r="G20" s="1060">
        <f t="shared" si="2"/>
        <v>0</v>
      </c>
      <c r="H20" s="1060">
        <f t="shared" si="2"/>
        <v>0</v>
      </c>
      <c r="I20" s="1060">
        <f>SUM(I17:I19)</f>
        <v>0</v>
      </c>
      <c r="J20" s="1060">
        <f>SUM(J17:J19)</f>
        <v>38546.470588235294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1.4158861183500624E-2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2019-08-12T08:34:47Z</dcterms:modified>
</cp:coreProperties>
</file>