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K78"/>
  <c r="K8" i="61"/>
  <c r="K10" s="1"/>
  <c r="E20"/>
  <c r="N20"/>
  <c r="N77" i="14"/>
  <c r="B10" i="18"/>
  <c r="M77" i="14"/>
  <c r="M9" i="61" s="1"/>
  <c r="H9" i="18"/>
  <c r="L20" i="61"/>
  <c r="P31" i="48"/>
  <c r="J22" i="14"/>
  <c r="P22"/>
  <c r="B20" i="18"/>
  <c r="F13" i="15"/>
  <c r="O22" i="14"/>
  <c r="G77"/>
  <c r="G9" i="61" s="1"/>
  <c r="G10" s="1"/>
  <c r="H20"/>
  <c r="P25" i="48"/>
  <c r="I77" i="14"/>
  <c r="I9" i="61" s="1"/>
  <c r="O9" i="18"/>
  <c r="O10" i="61"/>
  <c r="G20"/>
  <c r="K20"/>
  <c r="Q11" i="48"/>
  <c r="O25"/>
  <c r="B98" i="18"/>
  <c r="L78" i="14"/>
  <c r="L8" i="61"/>
  <c r="L10" s="1"/>
  <c r="E90" i="14"/>
  <c r="E18" i="61"/>
  <c r="L90" i="14"/>
  <c r="L18" i="6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N78" i="14"/>
  <c r="N9" i="61"/>
  <c r="N10" s="1"/>
  <c r="D10"/>
  <c r="G78" i="14"/>
  <c r="H78"/>
  <c r="H9" i="61"/>
  <c r="H10" s="1"/>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6"/>
  <c r="H28"/>
  <c r="H25"/>
  <c r="H30"/>
  <c r="H24"/>
  <c r="H22"/>
  <c r="H23"/>
  <c r="D11" i="14"/>
  <c r="C4" i="48"/>
  <c r="G23"/>
  <c r="G30"/>
  <c r="G32"/>
  <c r="G22"/>
  <c r="G24"/>
  <c r="G25"/>
  <c r="G29"/>
  <c r="G26"/>
  <c r="C11" i="14"/>
  <c r="B4" i="48"/>
  <c r="F30"/>
  <c r="F32"/>
  <c r="F24"/>
  <c r="F31"/>
  <c r="F27"/>
  <c r="F29"/>
  <c r="F28"/>
  <c r="N32"/>
  <c r="N24"/>
  <c r="N31"/>
  <c r="N30"/>
  <c r="N27"/>
  <c r="N29"/>
  <c r="N28"/>
  <c r="C19" i="14"/>
  <c r="B10" i="48"/>
  <c r="E31"/>
  <c r="E29"/>
  <c r="E24"/>
  <c r="E30"/>
  <c r="E28"/>
  <c r="E32"/>
  <c r="M29"/>
  <c r="M24"/>
  <c r="M22"/>
  <c r="M26"/>
  <c r="M30"/>
  <c r="M32"/>
  <c r="M25"/>
  <c r="M23"/>
  <c r="L10" i="14"/>
  <c r="L16" s="1"/>
  <c r="L27" s="1"/>
  <c r="K5" i="48"/>
  <c r="D30"/>
  <c r="D28"/>
  <c r="D29"/>
  <c r="D31"/>
  <c r="D32"/>
  <c r="D24"/>
  <c r="L29"/>
  <c r="L32"/>
  <c r="L30"/>
  <c r="L31"/>
  <c r="L28"/>
  <c r="L24"/>
  <c r="L27"/>
  <c r="L22"/>
  <c r="P5"/>
  <c r="P23" s="1"/>
  <c r="Q10" i="14"/>
  <c r="K32" i="48"/>
  <c r="K24"/>
  <c r="K27"/>
  <c r="K25"/>
  <c r="K31"/>
  <c r="K29"/>
  <c r="K26"/>
  <c r="K28"/>
  <c r="K30"/>
  <c r="K22"/>
  <c r="B7"/>
  <c r="C24" i="14"/>
  <c r="C26" s="1"/>
  <c r="J30" i="48"/>
  <c r="J32"/>
  <c r="J24"/>
  <c r="J29"/>
  <c r="J27"/>
  <c r="J28"/>
  <c r="J31"/>
  <c r="Q11" i="14"/>
  <c r="P4" i="48"/>
  <c r="P11" i="14"/>
  <c r="O4" i="48"/>
  <c r="I22"/>
  <c r="I32"/>
  <c r="I26"/>
  <c r="I31"/>
  <c r="I24"/>
  <c r="I28"/>
  <c r="I30"/>
  <c r="I29"/>
  <c r="I25"/>
  <c r="I27"/>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D9" i="48"/>
  <c r="D27" s="1"/>
  <c r="E20" i="14"/>
  <c r="E22" s="1"/>
  <c r="P10"/>
  <c r="O5" i="48"/>
  <c r="O23" s="1"/>
  <c r="O22"/>
  <c r="C20" i="14"/>
  <c r="C22" s="1"/>
  <c r="B9" i="48"/>
  <c r="J7"/>
  <c r="J25" s="1"/>
  <c r="K24" i="14"/>
  <c r="K26" s="1"/>
  <c r="K23" i="48"/>
  <c r="K15"/>
  <c r="F4"/>
  <c r="F22" s="1"/>
  <c r="G11" i="14"/>
  <c r="J10"/>
  <c r="J16" s="1"/>
  <c r="J27" s="1"/>
  <c r="J63" s="1"/>
  <c r="I5" i="48"/>
  <c r="K33"/>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O8"/>
  <c r="O26" s="1"/>
  <c r="O33" s="1"/>
  <c r="P13" i="14"/>
  <c r="J4" i="48"/>
  <c r="K11" i="14"/>
  <c r="O11"/>
  <c r="N4" i="48"/>
  <c r="N22" s="1"/>
  <c r="I23"/>
  <c r="I33" s="1"/>
  <c r="I15"/>
  <c r="N19" i="14"/>
  <c r="M10" i="48"/>
  <c r="M28" s="1"/>
  <c r="H19" i="14"/>
  <c r="G10" i="48"/>
  <c r="E7"/>
  <c r="E25" s="1"/>
  <c r="F24" i="14"/>
  <c r="F26" s="1"/>
  <c r="P16"/>
  <c r="P27" s="1"/>
  <c r="M14" i="22"/>
  <c r="M18" s="1"/>
  <c r="N50" i="14" s="1"/>
  <c r="N52" s="1"/>
  <c r="N61" s="1"/>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K10"/>
  <c r="J5" i="48"/>
  <c r="J23" s="1"/>
  <c r="E22"/>
  <c r="Q4"/>
  <c r="F10" i="14"/>
  <c r="E5" i="48"/>
  <c r="E23" s="1"/>
  <c r="H22" i="14"/>
  <c r="H27" s="1"/>
  <c r="R19"/>
  <c r="R22" s="1"/>
  <c r="J22" i="48"/>
  <c r="G28"/>
  <c r="Q10"/>
  <c r="N20" i="14"/>
  <c r="O15" i="48"/>
  <c r="Q7"/>
  <c r="M15"/>
  <c r="M27"/>
  <c r="M33" s="1"/>
  <c r="H15"/>
  <c r="H27"/>
  <c r="H33" s="1"/>
  <c r="R24" i="14"/>
  <c r="R26" s="1"/>
  <c r="N18" i="16"/>
  <c r="E20" i="15"/>
  <c r="F40" i="14" s="1"/>
  <c r="F18" i="16"/>
  <c r="J18"/>
  <c r="E18"/>
  <c r="G18" i="22"/>
  <c r="H50" i="14" s="1"/>
  <c r="H52" s="1"/>
  <c r="H61" s="1"/>
  <c r="H63" s="1"/>
  <c r="H18" i="22"/>
  <c r="I50" i="14" s="1"/>
  <c r="I52" s="1"/>
  <c r="I61" s="1"/>
  <c r="I63" s="1"/>
  <c r="J8" i="48" l="1"/>
  <c r="J26" s="1"/>
  <c r="K13" i="14"/>
  <c r="K16" s="1"/>
  <c r="K27" s="1"/>
  <c r="K63" s="1"/>
  <c r="F13"/>
  <c r="F16" s="1"/>
  <c r="F27" s="1"/>
  <c r="E8" i="48"/>
  <c r="E26" s="1"/>
  <c r="E33" s="1"/>
  <c r="G27"/>
  <c r="G33" s="1"/>
  <c r="G15"/>
  <c r="J33"/>
  <c r="E15"/>
  <c r="Q9"/>
  <c r="N8"/>
  <c r="N26" s="1"/>
  <c r="O13" i="14"/>
  <c r="F8" i="48"/>
  <c r="G13" i="14"/>
  <c r="R13" s="1"/>
  <c r="E22" i="16"/>
  <c r="F43" i="14" s="1"/>
  <c r="F46" s="1"/>
  <c r="F61" s="1"/>
  <c r="F22" i="16"/>
  <c r="G43" i="14" s="1"/>
  <c r="N22" i="16"/>
  <c r="O43" i="14" s="1"/>
  <c r="J22" i="16"/>
  <c r="K43" i="14" s="1"/>
  <c r="K46" s="1"/>
  <c r="K61" s="1"/>
  <c r="F63" l="1"/>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<sst xmlns="http://schemas.openxmlformats.org/spreadsheetml/2006/main" count="2383" uniqueCount="881">
  <si>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</si>
  <si>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</si>
  <si>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</si>
  <si>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</si>
  <si>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</si>
  <si>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</si>
  <si>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</si>
  <si>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</si>
  <si>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</si>
  <si>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</si>
  <si>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</si>
  <si>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</si>
  <si>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</si>
  <si>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</si>
  <si>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</si>
  <si>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</si>
  <si>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</si>
  <si>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</si>
  <si>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</si>
  <si>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</si>
  <si>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</si>
  <si>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</si>
  <si>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</si>
  <si>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</si>
  <si>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</si>
  <si>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</si>
  <si>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</si>
  <si>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</si>
  <si>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</si>
  <si>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</si>
  <si>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</si>
  <si>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</si>
  <si>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</si>
  <si>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</si>
  <si>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</si>
  <si>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</si>
  <si>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</si>
  <si>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</si>
  <si>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</si>
  <si>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</si>
  <si>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</si>
  <si>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</si>
  <si>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</si>
  <si>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</si>
  <si>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</si>
  <si>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</si>
  <si>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</si>
  <si>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</si>
  <si>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</si>
  <si>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</si>
  <si>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</si>
  <si>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</si>
  <si>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</si>
  <si>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</si>
  <si>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</si>
  <si>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</si>
  <si>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</si>
  <si>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</si>
  <si>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</si>
  <si>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</si>
  <si>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</si>
  <si>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</si>
  <si>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</si>
  <si>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</si>
  <si>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</si>
  <si>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</si>
  <si>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</si>
  <si>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</si>
  <si>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</si>
  <si>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</si>
  <si>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</si>
  <si>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</si>
  <si>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</si>
  <si>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</si>
  <si>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</si>
  <si>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</si>
  <si>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</si>
  <si>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</si>
  <si>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</si>
  <si>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</si>
  <si>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</si>
  <si>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</si>
  <si>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</si>
  <si>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</si>
  <si>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</si>
  <si>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</si>
  <si>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</si>
  <si>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</si>
  <si>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</si>
  <si>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</si>
  <si>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</si>
  <si>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</si>
  <si>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</si>
  <si>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</si>
  <si>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</si>
  <si>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</si>
  <si>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</si>
  <si>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</si>
  <si>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</si>
  <si>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</si>
  <si>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</si>
  <si>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</si>
  <si>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</si>
  <si>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</si>
  <si>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</si>
  <si>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</si>
  <si>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</si>
  <si>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</si>
  <si>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</si>
  <si>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</si>
  <si>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</si>
  <si>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</si>
  <si>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</si>
  <si>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</si>
  <si>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</si>
  <si>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</si>
  <si>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</si>
  <si>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</si>
  <si>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</si>
  <si>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</si>
  <si>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</si>
  <si>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</si>
  <si>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</si>
  <si>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</si>
  <si>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</si>
  <si>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</si>
  <si>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</si>
  <si>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</si>
  <si>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</si>
  <si>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</si>
  <si>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</si>
  <si>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</si>
  <si>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</si>
  <si>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</si>
  <si>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</si>
  <si>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</si>
  <si>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</si>
  <si>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</si>
  <si>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</si>
  <si>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</si>
  <si>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</si>
  <si>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</si>
  <si>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</si>
  <si>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</si>
  <si>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</si>
  <si>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</si>
  <si>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</si>
  <si>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</si>
  <si>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</si>
  <si>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</si>
  <si>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</si>
  <si>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</si>
  <si>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</si>
  <si>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</si>
  <si>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</si>
  <si>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</si>
  <si>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</si>
  <si>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</si>
  <si>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</si>
  <si>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</si>
  <si>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</si>
  <si>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</si>
  <si>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</si>
  <si>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</si>
  <si>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</si>
  <si>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</si>
  <si>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</si>
  <si>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</si>
  <si>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</si>
  <si>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</si>
  <si>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</si>
  <si>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</si>
  <si>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</si>
  <si>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</si>
  <si>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</si>
  <si>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</si>
  <si>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</si>
  <si>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</si>
  <si>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</si>
  <si>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</si>
  <si>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</si>
  <si>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</si>
  <si>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</si>
  <si>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</si>
  <si>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</si>
  <si>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</si>
  <si>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</si>
  <si>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</si>
  <si>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</si>
  <si>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</si>
  <si>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</si>
  <si>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</si>
  <si>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</si>
  <si>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</si>
  <si>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</si>
  <si>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</si>
  <si>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</si>
  <si>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</si>
  <si>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</si>
  <si>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</si>
  <si>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</si>
  <si>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</si>
  <si>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</si>
  <si>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</si>
  <si>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</si>
  <si>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</si>
  <si>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</si>
  <si>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</si>
  <si>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</si>
  <si>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</si>
  <si>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</si>
  <si>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</si>
  <si>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</si>
  <si>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</si>
  <si>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</si>
  <si>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</si>
  <si>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</si>
  <si>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</si>
  <si>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</si>
  <si>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</si>
  <si>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</si>
  <si>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</si>
  <si>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</si>
  <si>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</si>
  <si>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</si>
  <si>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</si>
  <si>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</si>
  <si>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</si>
  <si>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</si>
  <si>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</si>
  <si>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</si>
  <si>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</si>
  <si>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</si>
  <si>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</si>
  <si>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</si>
  <si>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</si>
  <si>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</si>
  <si>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</si>
  <si>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</si>
  <si>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</si>
  <si>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</si>
  <si>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</si>
  <si>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</si>
  <si>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</si>
  <si>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</si>
  <si>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</si>
  <si>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</si>
  <si>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</si>
  <si>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</si>
  <si>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</si>
  <si>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</si>
  <si>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</si>
  <si>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</si>
  <si>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</si>
  <si>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</si>
  <si>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</si>
  <si>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</si>
  <si>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</si>
  <si>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</si>
  <si>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</si>
  <si>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</si>
  <si>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</si>
  <si>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</si>
  <si>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</si>
  <si>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</si>
  <si>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</si>
  <si>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</si>
  <si>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</si>
  <si>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</si>
  <si>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</si>
  <si>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</si>
  <si>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</si>
  <si>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</si>
  <si>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</si>
  <si>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</si>
  <si>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</si>
  <si>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</si>
  <si>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</si>
  <si>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</si>
  <si>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</si>
  <si>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</si>
  <si>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</si>
  <si>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</si>
  <si>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</si>
  <si>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</si>
  <si>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</si>
  <si>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</si>
  <si>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</si>
  <si>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</si>
  <si>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</si>
  <si>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</si>
  <si>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</si>
  <si>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</si>
  <si>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</si>
  <si>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</si>
  <si>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</si>
  <si>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</si>
  <si>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</si>
  <si>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</si>
  <si>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</si>
  <si>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</si>
  <si>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</si>
  <si>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</si>
  <si>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</si>
  <si>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</si>
  <si>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</si>
  <si>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</si>
  <si>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</si>
  <si>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</si>
  <si>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</si>
  <si>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</si>
  <si>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</si>
  <si>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</si>
  <si>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</si>
  <si>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</si>
  <si>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</si>
  <si>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</si>
  <si>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</si>
  <si>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</si>
  <si>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</si>
  <si>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</si>
  <si>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</si>
  <si>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</si>
  <si>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</si>
  <si>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</si>
  <si>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</si>
  <si>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</si>
  <si>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</si>
  <si>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</si>
  <si>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</si>
  <si>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</si>
  <si>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</si>
  <si>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</si>
  <si>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</si>
  <si>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</si>
  <si>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</si>
  <si>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</si>
  <si>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</si>
  <si>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</si>
  <si>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</si>
  <si>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</si>
  <si>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</si>
  <si>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</si>
  <si>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</si>
  <si>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</si>
  <si>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</si>
  <si>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</si>
  <si>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</si>
  <si>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</si>
  <si>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</si>
  <si>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</si>
  <si>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</si>
  <si>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</si>
  <si>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</si>
  <si>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</si>
  <si>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</si>
  <si>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</si>
  <si>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</si>
  <si>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</si>
  <si>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</si>
  <si>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</si>
  <si>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</si>
  <si>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</si>
  <si>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</si>
  <si>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</si>
  <si>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</si>
  <si>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</si>
  <si>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</si>
  <si>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</si>
  <si>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</si>
  <si>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</si>
  <si>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</si>
  <si>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</si>
  <si>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</si>
  <si>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</si>
  <si>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</si>
  <si>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</si>
  <si>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</si>
  <si>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</si>
  <si>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</si>
  <si>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</si>
  <si>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</si>
  <si>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</si>
  <si>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</si>
  <si>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</si>
  <si>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</si>
  <si>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</si>
  <si>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</si>
  <si>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</si>
  <si>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</si>
  <si>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</si>
  <si>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</si>
  <si>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</si>
  <si>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</si>
  <si>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</si>
  <si>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</si>
  <si>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</si>
  <si>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</si>
  <si>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</si>
  <si>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</si>
  <si>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</si>
  <si>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</si>
  <si>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</si>
  <si>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</si>
  <si>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</si>
  <si>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</si>
  <si>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</si>
  <si>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</si>
  <si>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</si>
  <si>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</si>
  <si>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</si>
  <si>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</si>
  <si>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</si>
  <si>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</si>
  <si>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</si>
  <si>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</si>
  <si>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</si>
  <si>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</si>
  <si>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</si>
  <si>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</si>
  <si>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</si>
  <si>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</si>
  <si>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</si>
  <si>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</si>
  <si>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</si>
  <si>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</si>
  <si>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</si>
  <si>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</si>
  <si>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</si>
  <si>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</si>
  <si>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</si>
  <si>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</si>
  <si>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</si>
  <si>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</si>
  <si>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</si>
  <si>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</si>
  <si>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</si>
  <si>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</si>
  <si>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</si>
  <si>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</si>
  <si>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</si>
  <si>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</si>
  <si>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</si>
  <si>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</si>
  <si>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</si>
  <si>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</si>
  <si>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</si>
  <si>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</si>
  <si>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</si>
  <si>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</si>
  <si>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</si>
  <si>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</si>
  <si>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</si>
  <si>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</si>
  <si>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</si>
  <si>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</si>
  <si>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</si>
  <si>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</si>
  <si>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</si>
  <si>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</si>
  <si>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</si>
  <si>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</si>
  <si>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</si>
  <si>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</si>
  <si>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</si>
  <si>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</si>
  <si>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</si>
  <si>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</si>
  <si>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</si>
  <si>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</si>
  <si>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</si>
  <si>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</si>
  <si>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</si>
  <si>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</si>
  <si>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</si>
  <si>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</si>
  <si>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</si>
  <si>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</si>
  <si>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</si>
  <si>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</si>
  <si>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</si>
  <si>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</si>
  <si>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</si>
  <si>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</si>
  <si>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</si>
  <si>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</si>
  <si>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</si>
  <si>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</si>
  <si>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</si>
  <si>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</si>
  <si>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</si>
  <si>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</si>
  <si>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</si>
  <si>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</si>
  <si>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</si>
  <si>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</si>
  <si>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</si>
  <si>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</si>
  <si>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</si>
  <si>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</si>
  <si>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</si>
  <si>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</si>
  <si>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</si>
  <si>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</si>
  <si>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</si>
  <si>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</si>
  <si>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</si>
  <si>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</si>
  <si>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</si>
  <si>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</si>
  <si>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</si>
  <si>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</si>
  <si>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</si>
  <si>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</si>
  <si>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</si>
  <si>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</si>
  <si>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</si>
  <si>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</si>
  <si>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</si>
  <si>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</si>
  <si>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</si>
  <si>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</si>
  <si>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</si>
  <si>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</si>
  <si>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</si>
  <si>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</si>
  <si>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</si>
  <si>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</si>
  <si>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</si>
  <si>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</si>
  <si>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</si>
  <si>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</si>
  <si>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</si>
  <si>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</si>
  <si>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</si>
  <si>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</si>
  <si>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</si>
  <si>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</si>
  <si>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</si>
  <si>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</si>
  <si>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</si>
  <si>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</si>
  <si>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</si>
  <si>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</si>
  <si>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</si>
  <si>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</si>
  <si>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</si>
  <si>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</si>
  <si>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</si>
  <si>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</si>
  <si>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</si>
  <si>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</si>
  <si>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</si>
  <si>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</si>
  <si>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</si>
  <si>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</si>
  <si>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</si>
  <si>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</si>
  <si>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</si>
  <si>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</si>
  <si>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</si>
  <si>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</si>
  <si>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</si>
  <si>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</si>
  <si>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</si>
  <si>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</si>
  <si>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</si>
  <si>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</si>
  <si>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</si>
  <si>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</si>
  <si>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</si>
  <si>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</si>
  <si>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</si>
  <si>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</si>
  <si>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</si>
  <si>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</si>
  <si>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</si>
  <si>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</si>
  <si>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</si>
  <si>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</si>
  <si>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</si>
  <si>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</si>
  <si>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</si>
  <si>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</si>
  <si>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</si>
  <si>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</si>
  <si>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</si>
  <si>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</si>
  <si>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</si>
  <si>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</si>
  <si>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</si>
  <si>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</si>
  <si>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</si>
  <si>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</si>
  <si>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</si>
  <si>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</si>
  <si>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</si>
  <si>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</si>
  <si>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</si>
  <si>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</si>
  <si>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</si>
  <si>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</si>
  <si>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</si>
  <si>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</si>
  <si>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</si>
  <si>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</si>
  <si>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</si>
  <si>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</si>
  <si>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</si>
  <si>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</si>
  <si>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</si>
  <si>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</si>
  <si>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</si>
  <si>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</si>
  <si>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</si>
  <si>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</si>
  <si>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</si>
  <si>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</si>
  <si>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</si>
  <si>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</si>
  <si>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</si>
  <si>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</si>
  <si>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</si>
  <si>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</si>
  <si>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</si>
  <si>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</si>
  <si>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</si>
  <si>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</si>
  <si>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</si>
  <si>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</si>
  <si>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</si>
  <si>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</si>
  <si>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</si>
  <si>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</si>
  <si>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</si>
  <si>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</si>
  <si>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</si>
  <si>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</si>
  <si>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</si>
  <si>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</si>
  <si>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</si>
  <si>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</si>
  <si>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</si>
  <si>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</si>
  <si>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</si>
  <si>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</si>
  <si>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</si>
  <si>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</si>
  <si>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</si>
  <si>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</si>
  <si>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</si>
  <si>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</si>
  <si>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</si>
  <si>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</si>
  <si>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</si>
  <si>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</si>
  <si>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</si>
  <si>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</si>
  <si>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</si>
  <si>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</si>
  <si>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</si>
  <si>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</si>
  <si>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</si>
  <si>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</si>
  <si>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</si>
  <si>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</si>
  <si>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</si>
  <si>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</si>
  <si>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</si>
  <si>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</si>
  <si>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</si>
  <si>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</si>
  <si>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</si>
  <si>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</si>
  <si>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</si>
  <si>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</si>
  <si>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</si>
  <si>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</si>
  <si>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</si>
  <si>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</si>
  <si>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</si>
  <si>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</si>
  <si>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</si>
  <si>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</si>
  <si>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</si>
  <si>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</si>
  <si>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</si>
  <si>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</si>
  <si>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</si>
  <si>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</si>
  <si>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</si>
  <si>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</si>
  <si>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</si>
  <si>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</si>
  <si>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</si>
  <si>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</si>
  <si>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</si>
  <si>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</si>
  <si>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</si>
  <si>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</si>
  <si>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</si>
  <si>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</si>
  <si>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</si>
  <si>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</si>
  <si>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</si>
  <si>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</si>
  <si>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</si>
  <si>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</si>
  <si>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</si>
  <si>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</si>
  <si>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</si>
  <si>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</si>
  <si>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</si>
  <si>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</si>
  <si>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</si>
  <si>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</si>
  <si>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</si>
  <si>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</si>
  <si>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</si>
  <si>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</si>
  <si>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</si>
  <si>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</si>
  <si>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</si>
  <si>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</si>
  <si>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</si>
  <si>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</si>
  <si>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</si>
  <si>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</si>
  <si>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</si>
  <si>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</si>
  <si>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</si>
  <si>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</si>
  <si>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</si>
  <si>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</si>
  <si>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</si>
  <si>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</si>
  <si>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</si>
  <si>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</si>
  <si>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</si>
  <si>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</si>
  <si>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</si>
  <si>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</si>
  <si>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</si>
  <si>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</si>
  <si>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</si>
  <si>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</si>
  <si>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</si>
  <si>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</si>
  <si>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</si>
  <si>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</si>
  <si>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</si>
  <si>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</si>
  <si>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</si>
  <si>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</si>
  <si>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</si>
  <si>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</si>
  <si>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</si>
  <si>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</si>
  <si>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</si>
  <si>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</si>
  <si>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</si>
  <si>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</si>
  <si>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</si>
  <si>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</si>
  <si>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</si>
  <si>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</si>
  <si>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</si>
  <si>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</si>
  <si>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</si>
  <si>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</si>
  <si>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</si>
  <si>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</si>
  <si>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</si>
  <si>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</si>
  <si>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</si>
  <si>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</si>
  <si>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</si>
  <si>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</si>
  <si>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</si>
  <si>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</si>
  <si>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</si>
  <si>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</si>
  <si>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</si>
  <si>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</si>
  <si>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</si>
  <si>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</si>
  <si>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</si>
  <si>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</si>
  <si>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</si>
  <si>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</si>
  <si>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</si>
  <si>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</si>
  <si>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</si>
  <si>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</si>
  <si>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</si>
  <si>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</si>
  <si>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</si>
  <si>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</si>
  <si>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</si>
  <si>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</si>
  <si>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</si>
  <si>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</si>
  <si>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</si>
  <si>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</si>
  <si>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</si>
  <si>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</si>
  <si>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</si>
  <si>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</si>
  <si>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</si>
  <si>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</si>
  <si>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</si>
  <si>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</si>
  <si>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</si>
  <si>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</si>
  <si>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</si>
  <si>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</si>
  <si>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</si>
  <si>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</si>
  <si>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</si>
  <si>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</si>
  <si>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</si>
  <si>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</si>
  <si>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</si>
  <si>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</si>
  <si>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</si>
  <si>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</si>
  <si>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</si>
  <si>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</si>
  <si>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</si>
  <si>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</si>
  <si>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</si>
  <si>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</si>
  <si>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</si>
  <si>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</si>
  <si>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</si>
  <si>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</si>
  <si>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</si>
  <si>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</si>
  <si>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</si>
  <si>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</si>
  <si>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</si>
  <si>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</si>
  <si>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</si>
  <si>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</si>
  <si>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</si>
  <si>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</si>
  <si>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</si>
  <si>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</si>
  <si>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</si>
  <si>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</si>
  <si>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</si>
  <si>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</si>
  <si>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</si>
  <si>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</si>
  <si>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</si>
  <si>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</si>
  <si>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</si>
  <si>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</si>
  <si>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</si>
  <si>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</si>
  <si>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</si>
  <si>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</si>
  <si>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</si>
  <si>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</si>
  <si>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</si>
  <si>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</si>
  <si>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</si>
  <si>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</si>
  <si>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</si>
  <si>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</si>
  <si>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</si>
  <si>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</si>
  <si>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</si>
  <si>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44064</t>
  </si>
  <si>
    <t>SINT-MARTENS-LATEM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</si>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</sst>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85866.51347525719</c:v>
                </c:pt>
                <c:pt idx="1">
                  <c:v>39793.654960276093</c:v>
                </c:pt>
                <c:pt idx="2">
                  <c:v>586.02700000000004</c:v>
                </c:pt>
                <c:pt idx="3">
                  <c:v>1146.1545030176719</c:v>
                </c:pt>
                <c:pt idx="4">
                  <c:v>6005.7401606319672</c:v>
                </c:pt>
                <c:pt idx="5">
                  <c:v>43965.151799378582</c:v>
                </c:pt>
                <c:pt idx="6">
                  <c:v>661.61483256993085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85866.51347525719</c:v>
                </c:pt>
                <c:pt idx="1">
                  <c:v>39793.654960276093</c:v>
                </c:pt>
                <c:pt idx="2">
                  <c:v>586.02700000000004</c:v>
                </c:pt>
                <c:pt idx="3">
                  <c:v>1146.1545030176719</c:v>
                </c:pt>
                <c:pt idx="4">
                  <c:v>6005.7401606319672</c:v>
                </c:pt>
                <c:pt idx="5">
                  <c:v>43965.151799378582</c:v>
                </c:pt>
                <c:pt idx="6">
                  <c:v>661.61483256993085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19211.897710815705</c:v>
                </c:pt>
                <c:pt idx="2">
                  <c:v>8267.9773164493563</c:v>
                </c:pt>
                <c:pt idx="3">
                  <c:v>126.18950685505772</c:v>
                </c:pt>
                <c:pt idx="4">
                  <c:v>294.30671473048807</c:v>
                </c:pt>
                <c:pt idx="5">
                  <c:v>1182.8463599743409</c:v>
                </c:pt>
                <c:pt idx="6">
                  <c:v>11008.320443702387</c:v>
                </c:pt>
                <c:pt idx="7">
                  <c:v>167.15736016758729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19211.897710815705</c:v>
                </c:pt>
                <c:pt idx="2">
                  <c:v>8267.9773164493563</c:v>
                </c:pt>
                <c:pt idx="3">
                  <c:v>126.18950685505772</c:v>
                </c:pt>
                <c:pt idx="4">
                  <c:v>294.30671473048807</c:v>
                </c:pt>
                <c:pt idx="5">
                  <c:v>1182.8463599743409</c:v>
                </c:pt>
                <c:pt idx="6">
                  <c:v>11008.320443702387</c:v>
                </c:pt>
                <c:pt idx="7">
                  <c:v>167.15736016758729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18106.098002124214</v>
      </c>
      <c r="D10" s="1013">
        <f ca="1">tertiair!C16</f>
        <v>0</v>
      </c>
      <c r="E10" s="1013">
        <f ca="1">tertiair!D16</f>
        <v>18199.504270195619</v>
      </c>
      <c r="F10" s="1013">
        <f>tertiair!E16</f>
        <v>219.23584457385405</v>
      </c>
      <c r="G10" s="1013">
        <f ca="1">tertiair!F16</f>
        <v>2881.2604225794048</v>
      </c>
      <c r="H10" s="1013">
        <f>tertiair!G16</f>
        <v>0</v>
      </c>
      <c r="I10" s="1013">
        <f>tertiair!H16</f>
        <v>0</v>
      </c>
      <c r="J10" s="1013">
        <f>tertiair!I16</f>
        <v>0</v>
      </c>
      <c r="K10" s="1013">
        <f>tertiair!J16</f>
        <v>2.2992991666482269E-2</v>
      </c>
      <c r="L10" s="1013">
        <f>tertiair!K16</f>
        <v>0</v>
      </c>
      <c r="M10" s="1013">
        <f ca="1">tertiair!L16</f>
        <v>0</v>
      </c>
      <c r="N10" s="1013">
        <f>tertiair!M16</f>
        <v>0</v>
      </c>
      <c r="O10" s="1013">
        <f ca="1">tertiair!N16</f>
        <v>933.86376114466555</v>
      </c>
      <c r="P10" s="1013">
        <f>tertiair!O16</f>
        <v>1.5633333333333335</v>
      </c>
      <c r="Q10" s="1014">
        <f>tertiair!P16</f>
        <v>38.133333333333333</v>
      </c>
      <c r="R10" s="700">
        <f ca="1">SUM(C10:Q10)</f>
        <v>40379.681960276095</v>
      </c>
      <c r="S10" s="67"/>
    </row>
    <row r="11" spans="1:19" s="473" customFormat="1">
      <c r="A11" s="809" t="s">
        <v>225</v>
      </c>
      <c r="B11" s="814"/>
      <c r="C11" s="1013">
        <f>huishoudens!B8</f>
        <v>19945.186230067826</v>
      </c>
      <c r="D11" s="1013">
        <f>huishoudens!C8</f>
        <v>0</v>
      </c>
      <c r="E11" s="1013">
        <f>huishoudens!D8</f>
        <v>27232.183592321264</v>
      </c>
      <c r="F11" s="1013">
        <f>huishoudens!E8</f>
        <v>1609.648934870389</v>
      </c>
      <c r="G11" s="1013">
        <f>huishoudens!F8</f>
        <v>33898.12252837191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1645.6788562924662</v>
      </c>
      <c r="P11" s="1013">
        <f>huishoudens!O8</f>
        <v>143.82666666666668</v>
      </c>
      <c r="Q11" s="1014">
        <f>huishoudens!P8</f>
        <v>1391.8666666666668</v>
      </c>
      <c r="R11" s="700">
        <f>SUM(C11:Q11)</f>
        <v>85866.51347525719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2212.8256734052038</v>
      </c>
      <c r="D13" s="1013">
        <f>industrie!C18</f>
        <v>0</v>
      </c>
      <c r="E13" s="1013">
        <f>industrie!D18</f>
        <v>1706.9877642417302</v>
      </c>
      <c r="F13" s="1013">
        <f>industrie!E18</f>
        <v>359.51683135302943</v>
      </c>
      <c r="G13" s="1013">
        <f>industrie!F18</f>
        <v>1046.1909359223591</v>
      </c>
      <c r="H13" s="1013">
        <f>industrie!G18</f>
        <v>0</v>
      </c>
      <c r="I13" s="1013">
        <f>industrie!H18</f>
        <v>0</v>
      </c>
      <c r="J13" s="1013">
        <f>industrie!I18</f>
        <v>0</v>
      </c>
      <c r="K13" s="1013">
        <f>industrie!J18</f>
        <v>1.7022515841247576</v>
      </c>
      <c r="L13" s="1013">
        <f>industrie!K18</f>
        <v>0</v>
      </c>
      <c r="M13" s="1013">
        <f>industrie!L18</f>
        <v>0</v>
      </c>
      <c r="N13" s="1013">
        <f>industrie!M18</f>
        <v>0</v>
      </c>
      <c r="O13" s="1013">
        <f>industrie!N18</f>
        <v>678.51670412551971</v>
      </c>
      <c r="P13" s="1013">
        <f>industrie!O18</f>
        <v>0</v>
      </c>
      <c r="Q13" s="1014">
        <f>industrie!P18</f>
        <v>0</v>
      </c>
      <c r="R13" s="700">
        <f>SUM(C13:Q13)</f>
        <v>6005.7401606319672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40264.109905597245</v>
      </c>
      <c r="D16" s="732">
        <f t="shared" ref="D16:R16" ca="1" si="0">SUM(D9:D15)</f>
        <v>0</v>
      </c>
      <c r="E16" s="732">
        <f t="shared" ca="1" si="0"/>
        <v>47138.67562675861</v>
      </c>
      <c r="F16" s="732">
        <f t="shared" si="0"/>
        <v>2188.4016107972725</v>
      </c>
      <c r="G16" s="732">
        <f t="shared" ca="1" si="0"/>
        <v>37825.573886873673</v>
      </c>
      <c r="H16" s="732">
        <f t="shared" si="0"/>
        <v>0</v>
      </c>
      <c r="I16" s="732">
        <f t="shared" si="0"/>
        <v>0</v>
      </c>
      <c r="J16" s="732">
        <f t="shared" si="0"/>
        <v>0</v>
      </c>
      <c r="K16" s="732">
        <f t="shared" si="0"/>
        <v>1.7252445757912398</v>
      </c>
      <c r="L16" s="732">
        <f t="shared" si="0"/>
        <v>0</v>
      </c>
      <c r="M16" s="732">
        <f t="shared" ca="1" si="0"/>
        <v>0</v>
      </c>
      <c r="N16" s="732">
        <f t="shared" si="0"/>
        <v>0</v>
      </c>
      <c r="O16" s="732">
        <f t="shared" ca="1" si="0"/>
        <v>3258.0593215626513</v>
      </c>
      <c r="P16" s="732">
        <f t="shared" si="0"/>
        <v>145.39000000000001</v>
      </c>
      <c r="Q16" s="732">
        <f t="shared" si="0"/>
        <v>1430.0000000000002</v>
      </c>
      <c r="R16" s="732">
        <f t="shared" ca="1" si="0"/>
        <v>132251.93559616525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626.05752871755533</v>
      </c>
      <c r="I19" s="1013">
        <f>transport!H54</f>
        <v>0</v>
      </c>
      <c r="J19" s="1013">
        <f>transport!I54</f>
        <v>0</v>
      </c>
      <c r="K19" s="1013">
        <f>transport!J54</f>
        <v>0</v>
      </c>
      <c r="L19" s="1013">
        <f>transport!K54</f>
        <v>0</v>
      </c>
      <c r="M19" s="1013">
        <f>transport!L54</f>
        <v>0</v>
      </c>
      <c r="N19" s="1013">
        <f>transport!M54</f>
        <v>35.55730385237549</v>
      </c>
      <c r="O19" s="1013">
        <f>transport!N54</f>
        <v>0</v>
      </c>
      <c r="P19" s="1013">
        <f>transport!O54</f>
        <v>0</v>
      </c>
      <c r="Q19" s="1014">
        <f>transport!P54</f>
        <v>0</v>
      </c>
      <c r="R19" s="700">
        <f>SUM(C19:Q19)</f>
        <v>661.61483256993085</v>
      </c>
      <c r="S19" s="67"/>
    </row>
    <row r="20" spans="1:19" s="473" customFormat="1">
      <c r="A20" s="809" t="s">
        <v>307</v>
      </c>
      <c r="B20" s="814"/>
      <c r="C20" s="1013">
        <f>transport!B14</f>
        <v>18.495937037102134</v>
      </c>
      <c r="D20" s="1013">
        <f>transport!C14</f>
        <v>0</v>
      </c>
      <c r="E20" s="1013">
        <f>transport!D14</f>
        <v>63.220400239816108</v>
      </c>
      <c r="F20" s="1013">
        <f>transport!E14</f>
        <v>84.581944109613019</v>
      </c>
      <c r="G20" s="1013">
        <f>transport!F14</f>
        <v>0</v>
      </c>
      <c r="H20" s="1013">
        <f>transport!G14</f>
        <v>34438.485575847335</v>
      </c>
      <c r="I20" s="1013">
        <f>transport!H14</f>
        <v>7137.7165975525422</v>
      </c>
      <c r="J20" s="1013">
        <f>transport!I14</f>
        <v>0</v>
      </c>
      <c r="K20" s="1013">
        <f>transport!J14</f>
        <v>0</v>
      </c>
      <c r="L20" s="1013">
        <f>transport!K14</f>
        <v>0</v>
      </c>
      <c r="M20" s="1013">
        <f>transport!L14</f>
        <v>0</v>
      </c>
      <c r="N20" s="1013">
        <f>transport!M14</f>
        <v>2222.6513445921751</v>
      </c>
      <c r="O20" s="1013">
        <f>transport!N14</f>
        <v>0</v>
      </c>
      <c r="P20" s="1013">
        <f>transport!O14</f>
        <v>0</v>
      </c>
      <c r="Q20" s="1014">
        <f>transport!P14</f>
        <v>0</v>
      </c>
      <c r="R20" s="700">
        <f>SUM(C20:Q20)</f>
        <v>43965.151799378582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18.495937037102134</v>
      </c>
      <c r="D22" s="812">
        <f t="shared" ref="D22:R22" si="1">SUM(D18:D21)</f>
        <v>0</v>
      </c>
      <c r="E22" s="812">
        <f t="shared" si="1"/>
        <v>63.220400239816108</v>
      </c>
      <c r="F22" s="812">
        <f t="shared" si="1"/>
        <v>84.581944109613019</v>
      </c>
      <c r="G22" s="812">
        <f t="shared" si="1"/>
        <v>0</v>
      </c>
      <c r="H22" s="812">
        <f t="shared" si="1"/>
        <v>35064.543104564887</v>
      </c>
      <c r="I22" s="812">
        <f t="shared" si="1"/>
        <v>7137.7165975525422</v>
      </c>
      <c r="J22" s="812">
        <f t="shared" si="1"/>
        <v>0</v>
      </c>
      <c r="K22" s="812">
        <f t="shared" si="1"/>
        <v>0</v>
      </c>
      <c r="L22" s="812">
        <f t="shared" si="1"/>
        <v>0</v>
      </c>
      <c r="M22" s="812">
        <f t="shared" si="1"/>
        <v>0</v>
      </c>
      <c r="N22" s="812">
        <f t="shared" si="1"/>
        <v>2258.2086484445504</v>
      </c>
      <c r="O22" s="812">
        <f t="shared" si="1"/>
        <v>0</v>
      </c>
      <c r="P22" s="812">
        <f t="shared" si="1"/>
        <v>0</v>
      </c>
      <c r="Q22" s="812">
        <f t="shared" si="1"/>
        <v>0</v>
      </c>
      <c r="R22" s="812">
        <f t="shared" si="1"/>
        <v>44626.766631948514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204.59091094974062</v>
      </c>
      <c r="D24" s="1013">
        <f>+landbouw!C8</f>
        <v>0</v>
      </c>
      <c r="E24" s="1013">
        <f>+landbouw!D8</f>
        <v>53.594531441769291</v>
      </c>
      <c r="F24" s="1013">
        <f>+landbouw!E8</f>
        <v>6.0135517655809769</v>
      </c>
      <c r="G24" s="1013">
        <f>+landbouw!F8</f>
        <v>852.31467950406989</v>
      </c>
      <c r="H24" s="1013">
        <f>+landbouw!G8</f>
        <v>0</v>
      </c>
      <c r="I24" s="1013">
        <f>+landbouw!H8</f>
        <v>0</v>
      </c>
      <c r="J24" s="1013">
        <f>+landbouw!I8</f>
        <v>0</v>
      </c>
      <c r="K24" s="1013">
        <f>+landbouw!J8</f>
        <v>29.640829356511272</v>
      </c>
      <c r="L24" s="1013">
        <f>+landbouw!K8</f>
        <v>0</v>
      </c>
      <c r="M24" s="1013">
        <f>+landbouw!L8</f>
        <v>0</v>
      </c>
      <c r="N24" s="1013">
        <f>+landbouw!M8</f>
        <v>0</v>
      </c>
      <c r="O24" s="1013">
        <f>+landbouw!N8</f>
        <v>0</v>
      </c>
      <c r="P24" s="1013">
        <f>+landbouw!O8</f>
        <v>0</v>
      </c>
      <c r="Q24" s="1014">
        <f>+landbouw!P8</f>
        <v>0</v>
      </c>
      <c r="R24" s="700">
        <f>SUM(C24:Q24)</f>
        <v>1146.1545030176719</v>
      </c>
      <c r="S24" s="67"/>
    </row>
    <row r="25" spans="1:19" s="473" customFormat="1" ht="15" thickBot="1">
      <c r="A25" s="831" t="s">
        <v>836</v>
      </c>
      <c r="B25" s="1016"/>
      <c r="C25" s="1017">
        <f>IF(Onbekend_ele_kWh="---",0,Onbekend_ele_kWh)/1000+IF(REST_rest_ele_kWh="---",0,REST_rest_ele_kWh)/1000</f>
        <v>943.48164628906306</v>
      </c>
      <c r="D25" s="1017"/>
      <c r="E25" s="1017">
        <f>IF(onbekend_gas_kWh="---",0,onbekend_gas_kWh)/1000+IF(REST_rest_gas_kWh="---",0,REST_rest_gas_kWh)/1000</f>
        <v>1197.59642116849</v>
      </c>
      <c r="F25" s="1017"/>
      <c r="G25" s="1017"/>
      <c r="H25" s="1017"/>
      <c r="I25" s="1017"/>
      <c r="J25" s="1017"/>
      <c r="K25" s="1017"/>
      <c r="L25" s="1017"/>
      <c r="M25" s="1017"/>
      <c r="N25" s="1017"/>
      <c r="O25" s="1017"/>
      <c r="P25" s="1017"/>
      <c r="Q25" s="1018"/>
      <c r="R25" s="700">
        <f>SUM(C25:Q25)</f>
        <v>2141.0780674575531</v>
      </c>
      <c r="S25" s="67"/>
    </row>
    <row r="26" spans="1:19" s="473" customFormat="1" ht="15.75" thickBot="1">
      <c r="A26" s="705" t="s">
        <v>837</v>
      </c>
      <c r="B26" s="817"/>
      <c r="C26" s="812">
        <f>SUM(C24:C25)</f>
        <v>1148.0725572388037</v>
      </c>
      <c r="D26" s="812">
        <f t="shared" ref="D26:R26" si="2">SUM(D24:D25)</f>
        <v>0</v>
      </c>
      <c r="E26" s="812">
        <f t="shared" si="2"/>
        <v>1251.1909526102593</v>
      </c>
      <c r="F26" s="812">
        <f t="shared" si="2"/>
        <v>6.0135517655809769</v>
      </c>
      <c r="G26" s="812">
        <f t="shared" si="2"/>
        <v>852.31467950406989</v>
      </c>
      <c r="H26" s="812">
        <f t="shared" si="2"/>
        <v>0</v>
      </c>
      <c r="I26" s="812">
        <f t="shared" si="2"/>
        <v>0</v>
      </c>
      <c r="J26" s="812">
        <f t="shared" si="2"/>
        <v>0</v>
      </c>
      <c r="K26" s="812">
        <f t="shared" si="2"/>
        <v>29.640829356511272</v>
      </c>
      <c r="L26" s="812">
        <f t="shared" si="2"/>
        <v>0</v>
      </c>
      <c r="M26" s="812">
        <f t="shared" si="2"/>
        <v>0</v>
      </c>
      <c r="N26" s="812">
        <f t="shared" si="2"/>
        <v>0</v>
      </c>
      <c r="O26" s="812">
        <f t="shared" si="2"/>
        <v>0</v>
      </c>
      <c r="P26" s="812">
        <f t="shared" si="2"/>
        <v>0</v>
      </c>
      <c r="Q26" s="812">
        <f t="shared" si="2"/>
        <v>0</v>
      </c>
      <c r="R26" s="812">
        <f t="shared" si="2"/>
        <v>3287.2325704752247</v>
      </c>
      <c r="S26" s="67"/>
    </row>
    <row r="27" spans="1:19" s="473" customFormat="1" ht="17.25" thickTop="1" thickBot="1">
      <c r="A27" s="706" t="s">
        <v>116</v>
      </c>
      <c r="B27" s="805"/>
      <c r="C27" s="707">
        <f ca="1">C22+C16+C26</f>
        <v>41430.678399873148</v>
      </c>
      <c r="D27" s="707">
        <f t="shared" ref="D27:R27" ca="1" si="3">D22+D16+D26</f>
        <v>0</v>
      </c>
      <c r="E27" s="707">
        <f t="shared" ca="1" si="3"/>
        <v>48453.086979608684</v>
      </c>
      <c r="F27" s="707">
        <f t="shared" si="3"/>
        <v>2278.9971066724665</v>
      </c>
      <c r="G27" s="707">
        <f t="shared" ca="1" si="3"/>
        <v>38677.88856637774</v>
      </c>
      <c r="H27" s="707">
        <f t="shared" si="3"/>
        <v>35064.543104564887</v>
      </c>
      <c r="I27" s="707">
        <f t="shared" si="3"/>
        <v>7137.7165975525422</v>
      </c>
      <c r="J27" s="707">
        <f t="shared" si="3"/>
        <v>0</v>
      </c>
      <c r="K27" s="707">
        <f t="shared" si="3"/>
        <v>31.366073932302513</v>
      </c>
      <c r="L27" s="707">
        <f t="shared" si="3"/>
        <v>0</v>
      </c>
      <c r="M27" s="707">
        <f t="shared" ca="1" si="3"/>
        <v>0</v>
      </c>
      <c r="N27" s="707">
        <f t="shared" si="3"/>
        <v>2258.2086484445504</v>
      </c>
      <c r="O27" s="707">
        <f t="shared" ca="1" si="3"/>
        <v>3258.0593215626513</v>
      </c>
      <c r="P27" s="707">
        <f t="shared" si="3"/>
        <v>145.39000000000001</v>
      </c>
      <c r="Q27" s="707">
        <f t="shared" si="3"/>
        <v>1430.0000000000002</v>
      </c>
      <c r="R27" s="707">
        <f t="shared" ca="1" si="3"/>
        <v>180165.93479858901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3898.7957516588822</v>
      </c>
      <c r="D40" s="1013">
        <f ca="1">tertiair!C20</f>
        <v>0</v>
      </c>
      <c r="E40" s="1013">
        <f ca="1">tertiair!D20</f>
        <v>3676.2998625795153</v>
      </c>
      <c r="F40" s="1013">
        <f>tertiair!E20</f>
        <v>49.766536718264874</v>
      </c>
      <c r="G40" s="1013">
        <f ca="1">tertiair!F20</f>
        <v>769.29653282870117</v>
      </c>
      <c r="H40" s="1013">
        <f>tertiair!G20</f>
        <v>0</v>
      </c>
      <c r="I40" s="1013">
        <f>tertiair!H20</f>
        <v>0</v>
      </c>
      <c r="J40" s="1013">
        <f>tertiair!I20</f>
        <v>0</v>
      </c>
      <c r="K40" s="1013">
        <f>tertiair!J20</f>
        <v>8.1395190499347226E-3</v>
      </c>
      <c r="L40" s="1013">
        <f>tertiair!K20</f>
        <v>0</v>
      </c>
      <c r="M40" s="1013">
        <f ca="1">tertiair!L20</f>
        <v>0</v>
      </c>
      <c r="N40" s="1013">
        <f>tertiair!M20</f>
        <v>0</v>
      </c>
      <c r="O40" s="1013">
        <f ca="1">tertiair!N20</f>
        <v>0</v>
      </c>
      <c r="P40" s="1013">
        <f>tertiair!O20</f>
        <v>0</v>
      </c>
      <c r="Q40" s="774">
        <f>tertiair!P20</f>
        <v>0</v>
      </c>
      <c r="R40" s="850">
        <f t="shared" ca="1" si="4"/>
        <v>8394.1668233044129</v>
      </c>
    </row>
    <row r="41" spans="1:18">
      <c r="A41" s="822" t="s">
        <v>225</v>
      </c>
      <c r="B41" s="829"/>
      <c r="C41" s="1013">
        <f ca="1">huishoudens!B12</f>
        <v>4294.8076018759311</v>
      </c>
      <c r="D41" s="1013">
        <f ca="1">huishoudens!C12</f>
        <v>0</v>
      </c>
      <c r="E41" s="1013">
        <f>huishoudens!D12</f>
        <v>5500.9010856488958</v>
      </c>
      <c r="F41" s="1013">
        <f>huishoudens!E12</f>
        <v>365.39030821557833</v>
      </c>
      <c r="G41" s="1013">
        <f>huishoudens!F12</f>
        <v>9050.7987150752997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19211.897710815705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476.48893392832355</v>
      </c>
      <c r="D43" s="1013">
        <f ca="1">industrie!C22</f>
        <v>0</v>
      </c>
      <c r="E43" s="1013">
        <f>industrie!D22</f>
        <v>344.81152837682953</v>
      </c>
      <c r="F43" s="1013">
        <f>industrie!E22</f>
        <v>81.610320717137682</v>
      </c>
      <c r="G43" s="1013">
        <f>industrie!F22</f>
        <v>279.33297989126993</v>
      </c>
      <c r="H43" s="1013">
        <f>industrie!G22</f>
        <v>0</v>
      </c>
      <c r="I43" s="1013">
        <f>industrie!H22</f>
        <v>0</v>
      </c>
      <c r="J43" s="1013">
        <f>industrie!I22</f>
        <v>0</v>
      </c>
      <c r="K43" s="1013">
        <f>industrie!J22</f>
        <v>0.60259706078016417</v>
      </c>
      <c r="L43" s="1013">
        <f>industrie!K22</f>
        <v>0</v>
      </c>
      <c r="M43" s="1013">
        <f>industrie!L22</f>
        <v>0</v>
      </c>
      <c r="N43" s="1013">
        <f>industrie!M22</f>
        <v>0</v>
      </c>
      <c r="O43" s="1013">
        <f>industrie!N22</f>
        <v>0</v>
      </c>
      <c r="P43" s="1013">
        <f>industrie!O22</f>
        <v>0</v>
      </c>
      <c r="Q43" s="774">
        <f>industrie!P22</f>
        <v>0</v>
      </c>
      <c r="R43" s="849">
        <f t="shared" ca="1" si="4"/>
        <v>1182.8463599743409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8670.0922874631378</v>
      </c>
      <c r="D46" s="732">
        <f t="shared" ref="D46:Q46" ca="1" si="5">SUM(D39:D45)</f>
        <v>0</v>
      </c>
      <c r="E46" s="732">
        <f t="shared" ca="1" si="5"/>
        <v>9522.0124766052413</v>
      </c>
      <c r="F46" s="732">
        <f t="shared" si="5"/>
        <v>496.76716565098093</v>
      </c>
      <c r="G46" s="732">
        <f t="shared" ca="1" si="5"/>
        <v>10099.42822779527</v>
      </c>
      <c r="H46" s="732">
        <f t="shared" si="5"/>
        <v>0</v>
      </c>
      <c r="I46" s="732">
        <f t="shared" si="5"/>
        <v>0</v>
      </c>
      <c r="J46" s="732">
        <f t="shared" si="5"/>
        <v>0</v>
      </c>
      <c r="K46" s="732">
        <f t="shared" si="5"/>
        <v>0.61073657983009888</v>
      </c>
      <c r="L46" s="732">
        <f t="shared" si="5"/>
        <v>0</v>
      </c>
      <c r="M46" s="732">
        <f t="shared" ca="1" si="5"/>
        <v>0</v>
      </c>
      <c r="N46" s="732">
        <f t="shared" si="5"/>
        <v>0</v>
      </c>
      <c r="O46" s="732">
        <f t="shared" ca="1" si="5"/>
        <v>0</v>
      </c>
      <c r="P46" s="732">
        <f t="shared" si="5"/>
        <v>0</v>
      </c>
      <c r="Q46" s="732">
        <f t="shared" si="5"/>
        <v>0</v>
      </c>
      <c r="R46" s="732">
        <f ca="1">SUM(R39:R45)</f>
        <v>28788.910894094457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167.15736016758729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167.15736016758729</v>
      </c>
    </row>
    <row r="50" spans="1:18">
      <c r="A50" s="825" t="s">
        <v>307</v>
      </c>
      <c r="B50" s="835"/>
      <c r="C50" s="703">
        <f ca="1">transport!B18</f>
        <v>3.9827399992391399</v>
      </c>
      <c r="D50" s="703">
        <f>transport!C18</f>
        <v>0</v>
      </c>
      <c r="E50" s="703">
        <f>transport!D18</f>
        <v>12.770520848442855</v>
      </c>
      <c r="F50" s="703">
        <f>transport!E18</f>
        <v>19.200101312882158</v>
      </c>
      <c r="G50" s="703">
        <f>transport!F18</f>
        <v>0</v>
      </c>
      <c r="H50" s="703">
        <f>transport!G18</f>
        <v>9195.075648751239</v>
      </c>
      <c r="I50" s="703">
        <f>transport!H18</f>
        <v>1777.291432790583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11008.320443702387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3.9827399992391399</v>
      </c>
      <c r="D52" s="732">
        <f t="shared" ref="D52:Q52" ca="1" si="6">SUM(D48:D51)</f>
        <v>0</v>
      </c>
      <c r="E52" s="732">
        <f t="shared" si="6"/>
        <v>12.770520848442855</v>
      </c>
      <c r="F52" s="732">
        <f t="shared" si="6"/>
        <v>19.200101312882158</v>
      </c>
      <c r="G52" s="732">
        <f t="shared" si="6"/>
        <v>0</v>
      </c>
      <c r="H52" s="732">
        <f t="shared" si="6"/>
        <v>9362.2330089188254</v>
      </c>
      <c r="I52" s="732">
        <f t="shared" si="6"/>
        <v>1777.291432790583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11175.477803869973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44.05467010867212</v>
      </c>
      <c r="D54" s="703">
        <f ca="1">+landbouw!C12</f>
        <v>0</v>
      </c>
      <c r="E54" s="703">
        <f>+landbouw!D12</f>
        <v>10.826095351237397</v>
      </c>
      <c r="F54" s="703">
        <f>+landbouw!E12</f>
        <v>1.3650762507868819</v>
      </c>
      <c r="G54" s="703">
        <f>+landbouw!F12</f>
        <v>227.56801942758668</v>
      </c>
      <c r="H54" s="703">
        <f>+landbouw!G12</f>
        <v>0</v>
      </c>
      <c r="I54" s="703">
        <f>+landbouw!H12</f>
        <v>0</v>
      </c>
      <c r="J54" s="703">
        <f>+landbouw!I12</f>
        <v>0</v>
      </c>
      <c r="K54" s="703">
        <f>+landbouw!J12</f>
        <v>10.492853592204989</v>
      </c>
      <c r="L54" s="703">
        <f>+landbouw!K12</f>
        <v>0</v>
      </c>
      <c r="M54" s="703">
        <f>+landbouw!L12</f>
        <v>0</v>
      </c>
      <c r="N54" s="703">
        <f>+landbouw!M12</f>
        <v>0</v>
      </c>
      <c r="O54" s="703">
        <f>+landbouw!N12</f>
        <v>0</v>
      </c>
      <c r="P54" s="703">
        <f>+landbouw!O12</f>
        <v>0</v>
      </c>
      <c r="Q54" s="704">
        <f>+landbouw!P12</f>
        <v>0</v>
      </c>
      <c r="R54" s="731">
        <f ca="1">SUM(C54:Q54)</f>
        <v>294.30671473048807</v>
      </c>
    </row>
    <row r="55" spans="1:18" ht="15" thickBot="1">
      <c r="A55" s="825" t="s">
        <v>836</v>
      </c>
      <c r="B55" s="835"/>
      <c r="C55" s="703">
        <f ca="1">C25*'EF ele_warmte'!B12</f>
        <v>203.16040672531275</v>
      </c>
      <c r="D55" s="703"/>
      <c r="E55" s="703">
        <f>E25*EF_CO2_aardgas</f>
        <v>241.91447707603498</v>
      </c>
      <c r="F55" s="703"/>
      <c r="G55" s="703"/>
      <c r="H55" s="703"/>
      <c r="I55" s="703"/>
      <c r="J55" s="703"/>
      <c r="K55" s="703"/>
      <c r="L55" s="703"/>
      <c r="M55" s="703"/>
      <c r="N55" s="703"/>
      <c r="O55" s="703"/>
      <c r="P55" s="703"/>
      <c r="Q55" s="704"/>
      <c r="R55" s="731">
        <f ca="1">SUM(C55:Q55)</f>
        <v>445.07488380134771</v>
      </c>
    </row>
    <row r="56" spans="1:18" ht="15.75" thickBot="1">
      <c r="A56" s="823" t="s">
        <v>837</v>
      </c>
      <c r="B56" s="836"/>
      <c r="C56" s="732">
        <f ca="1">SUM(C54:C55)</f>
        <v>247.21507683398488</v>
      </c>
      <c r="D56" s="732">
        <f t="shared" ref="D56:Q56" ca="1" si="7">SUM(D54:D55)</f>
        <v>0</v>
      </c>
      <c r="E56" s="732">
        <f t="shared" si="7"/>
        <v>252.74057242727238</v>
      </c>
      <c r="F56" s="732">
        <f t="shared" si="7"/>
        <v>1.3650762507868819</v>
      </c>
      <c r="G56" s="732">
        <f t="shared" si="7"/>
        <v>227.56801942758668</v>
      </c>
      <c r="H56" s="732">
        <f t="shared" si="7"/>
        <v>0</v>
      </c>
      <c r="I56" s="732">
        <f t="shared" si="7"/>
        <v>0</v>
      </c>
      <c r="J56" s="732">
        <f t="shared" si="7"/>
        <v>0</v>
      </c>
      <c r="K56" s="732">
        <f t="shared" si="7"/>
        <v>10.492853592204989</v>
      </c>
      <c r="L56" s="732">
        <f t="shared" si="7"/>
        <v>0</v>
      </c>
      <c r="M56" s="732">
        <f t="shared" si="7"/>
        <v>0</v>
      </c>
      <c r="N56" s="732">
        <f t="shared" si="7"/>
        <v>0</v>
      </c>
      <c r="O56" s="732">
        <f t="shared" si="7"/>
        <v>0</v>
      </c>
      <c r="P56" s="732">
        <f t="shared" si="7"/>
        <v>0</v>
      </c>
      <c r="Q56" s="733">
        <f t="shared" si="7"/>
        <v>0</v>
      </c>
      <c r="R56" s="734">
        <f ca="1">SUM(R54:R55)</f>
        <v>739.38159853183583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8921.2901042963622</v>
      </c>
      <c r="D61" s="740">
        <f t="shared" ref="D61:Q61" ca="1" si="8">D46+D52+D56</f>
        <v>0</v>
      </c>
      <c r="E61" s="740">
        <f t="shared" ca="1" si="8"/>
        <v>9787.5235698809556</v>
      </c>
      <c r="F61" s="740">
        <f t="shared" si="8"/>
        <v>517.33234321464988</v>
      </c>
      <c r="G61" s="740">
        <f t="shared" ca="1" si="8"/>
        <v>10326.996247222856</v>
      </c>
      <c r="H61" s="740">
        <f t="shared" si="8"/>
        <v>9362.2330089188254</v>
      </c>
      <c r="I61" s="740">
        <f t="shared" si="8"/>
        <v>1777.291432790583</v>
      </c>
      <c r="J61" s="740">
        <f t="shared" si="8"/>
        <v>0</v>
      </c>
      <c r="K61" s="740">
        <f t="shared" si="8"/>
        <v>11.103590172035089</v>
      </c>
      <c r="L61" s="740">
        <f t="shared" si="8"/>
        <v>0</v>
      </c>
      <c r="M61" s="740">
        <f t="shared" ca="1" si="8"/>
        <v>0</v>
      </c>
      <c r="N61" s="740">
        <f t="shared" si="8"/>
        <v>0</v>
      </c>
      <c r="O61" s="740">
        <f t="shared" ca="1" si="8"/>
        <v>0</v>
      </c>
      <c r="P61" s="740">
        <f t="shared" si="8"/>
        <v>0</v>
      </c>
      <c r="Q61" s="740">
        <f t="shared" si="8"/>
        <v>0</v>
      </c>
      <c r="R61" s="740">
        <f ca="1">R46+R52+R56</f>
        <v>40703.770296496266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0.21533053401133004</v>
      </c>
      <c r="D63" s="781">
        <f t="shared" ca="1" si="9"/>
        <v>0</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1062.8498736452643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1062.8498736452643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19945.186230067826</v>
      </c>
      <c r="C4" s="477">
        <f>huishoudens!C8</f>
        <v>0</v>
      </c>
      <c r="D4" s="477">
        <f>huishoudens!D8</f>
        <v>27232.183592321264</v>
      </c>
      <c r="E4" s="477">
        <f>huishoudens!E8</f>
        <v>1609.648934870389</v>
      </c>
      <c r="F4" s="477">
        <f>huishoudens!F8</f>
        <v>33898.12252837191</v>
      </c>
      <c r="G4" s="477">
        <f>huishoudens!G8</f>
        <v>0</v>
      </c>
      <c r="H4" s="477">
        <f>huishoudens!H8</f>
        <v>0</v>
      </c>
      <c r="I4" s="477">
        <f>huishoudens!I8</f>
        <v>0</v>
      </c>
      <c r="J4" s="477">
        <f>huishoudens!J8</f>
        <v>0</v>
      </c>
      <c r="K4" s="477">
        <f>huishoudens!K8</f>
        <v>0</v>
      </c>
      <c r="L4" s="477">
        <f>huishoudens!L8</f>
        <v>0</v>
      </c>
      <c r="M4" s="477">
        <f>huishoudens!M8</f>
        <v>0</v>
      </c>
      <c r="N4" s="477">
        <f>huishoudens!N8</f>
        <v>1645.6788562924662</v>
      </c>
      <c r="O4" s="477">
        <f>huishoudens!O8</f>
        <v>143.82666666666668</v>
      </c>
      <c r="P4" s="478">
        <f>huishoudens!P8</f>
        <v>1391.8666666666668</v>
      </c>
      <c r="Q4" s="479">
        <f>SUM(B4:P4)</f>
        <v>85866.51347525719</v>
      </c>
    </row>
    <row r="5" spans="1:17">
      <c r="A5" s="476" t="s">
        <v>156</v>
      </c>
      <c r="B5" s="477">
        <f ca="1">tertiair!B16</f>
        <v>17520.071002124212</v>
      </c>
      <c r="C5" s="477">
        <f ca="1">tertiair!C16</f>
        <v>0</v>
      </c>
      <c r="D5" s="477">
        <f ca="1">tertiair!D16</f>
        <v>18199.504270195619</v>
      </c>
      <c r="E5" s="477">
        <f>tertiair!E16</f>
        <v>219.23584457385405</v>
      </c>
      <c r="F5" s="477">
        <f ca="1">tertiair!F16</f>
        <v>2881.2604225794048</v>
      </c>
      <c r="G5" s="477">
        <f>tertiair!G16</f>
        <v>0</v>
      </c>
      <c r="H5" s="477">
        <f>tertiair!H16</f>
        <v>0</v>
      </c>
      <c r="I5" s="477">
        <f>tertiair!I16</f>
        <v>0</v>
      </c>
      <c r="J5" s="477">
        <f>tertiair!J16</f>
        <v>2.2992991666482269E-2</v>
      </c>
      <c r="K5" s="477">
        <f>tertiair!K16</f>
        <v>0</v>
      </c>
      <c r="L5" s="477">
        <f ca="1">tertiair!L16</f>
        <v>0</v>
      </c>
      <c r="M5" s="477">
        <f>tertiair!M16</f>
        <v>0</v>
      </c>
      <c r="N5" s="477">
        <f ca="1">tertiair!N16</f>
        <v>933.86376114466555</v>
      </c>
      <c r="O5" s="477">
        <f>tertiair!O16</f>
        <v>1.5633333333333335</v>
      </c>
      <c r="P5" s="478">
        <f>tertiair!P16</f>
        <v>38.133333333333333</v>
      </c>
      <c r="Q5" s="476">
        <f t="shared" ref="Q5:Q14" ca="1" si="0">SUM(B5:P5)</f>
        <v>39793.654960276093</v>
      </c>
    </row>
    <row r="6" spans="1:17">
      <c r="A6" s="476" t="s">
        <v>194</v>
      </c>
      <c r="B6" s="477">
        <f>'openbare verlichting'!B8</f>
        <v>586.02700000000004</v>
      </c>
      <c r="C6" s="477"/>
      <c r="D6" s="477"/>
      <c r="E6" s="477"/>
      <c r="F6" s="477"/>
      <c r="G6" s="477"/>
      <c r="H6" s="477"/>
      <c r="I6" s="477"/>
      <c r="J6" s="477"/>
      <c r="K6" s="477"/>
      <c r="L6" s="477"/>
      <c r="M6" s="477"/>
      <c r="N6" s="477"/>
      <c r="O6" s="477"/>
      <c r="P6" s="478"/>
      <c r="Q6" s="476">
        <f t="shared" si="0"/>
        <v>586.02700000000004</v>
      </c>
    </row>
    <row r="7" spans="1:17">
      <c r="A7" s="476" t="s">
        <v>112</v>
      </c>
      <c r="B7" s="477">
        <f>landbouw!B8</f>
        <v>204.59091094974062</v>
      </c>
      <c r="C7" s="477">
        <f>landbouw!C8</f>
        <v>0</v>
      </c>
      <c r="D7" s="477">
        <f>landbouw!D8</f>
        <v>53.594531441769291</v>
      </c>
      <c r="E7" s="477">
        <f>landbouw!E8</f>
        <v>6.0135517655809769</v>
      </c>
      <c r="F7" s="477">
        <f>landbouw!F8</f>
        <v>852.31467950406989</v>
      </c>
      <c r="G7" s="477">
        <f>landbouw!G8</f>
        <v>0</v>
      </c>
      <c r="H7" s="477">
        <f>landbouw!H8</f>
        <v>0</v>
      </c>
      <c r="I7" s="477">
        <f>landbouw!I8</f>
        <v>0</v>
      </c>
      <c r="J7" s="477">
        <f>landbouw!J8</f>
        <v>29.640829356511272</v>
      </c>
      <c r="K7" s="477">
        <f>landbouw!K8</f>
        <v>0</v>
      </c>
      <c r="L7" s="477">
        <f>landbouw!L8</f>
        <v>0</v>
      </c>
      <c r="M7" s="477">
        <f>landbouw!M8</f>
        <v>0</v>
      </c>
      <c r="N7" s="477">
        <f>landbouw!N8</f>
        <v>0</v>
      </c>
      <c r="O7" s="477">
        <f>landbouw!O8</f>
        <v>0</v>
      </c>
      <c r="P7" s="478">
        <f>landbouw!P8</f>
        <v>0</v>
      </c>
      <c r="Q7" s="476">
        <f t="shared" si="0"/>
        <v>1146.1545030176719</v>
      </c>
    </row>
    <row r="8" spans="1:17">
      <c r="A8" s="476" t="s">
        <v>635</v>
      </c>
      <c r="B8" s="477">
        <f>industrie!B18</f>
        <v>2212.8256734052038</v>
      </c>
      <c r="C8" s="477">
        <f>industrie!C18</f>
        <v>0</v>
      </c>
      <c r="D8" s="477">
        <f>industrie!D18</f>
        <v>1706.9877642417302</v>
      </c>
      <c r="E8" s="477">
        <f>industrie!E18</f>
        <v>359.51683135302943</v>
      </c>
      <c r="F8" s="477">
        <f>industrie!F18</f>
        <v>1046.1909359223591</v>
      </c>
      <c r="G8" s="477">
        <f>industrie!G18</f>
        <v>0</v>
      </c>
      <c r="H8" s="477">
        <f>industrie!H18</f>
        <v>0</v>
      </c>
      <c r="I8" s="477">
        <f>industrie!I18</f>
        <v>0</v>
      </c>
      <c r="J8" s="477">
        <f>industrie!J18</f>
        <v>1.7022515841247576</v>
      </c>
      <c r="K8" s="477">
        <f>industrie!K18</f>
        <v>0</v>
      </c>
      <c r="L8" s="477">
        <f>industrie!L18</f>
        <v>0</v>
      </c>
      <c r="M8" s="477">
        <f>industrie!M18</f>
        <v>0</v>
      </c>
      <c r="N8" s="477">
        <f>industrie!N18</f>
        <v>678.51670412551971</v>
      </c>
      <c r="O8" s="477">
        <f>industrie!O18</f>
        <v>0</v>
      </c>
      <c r="P8" s="478">
        <f>industrie!P18</f>
        <v>0</v>
      </c>
      <c r="Q8" s="476">
        <f t="shared" si="0"/>
        <v>6005.7401606319672</v>
      </c>
    </row>
    <row r="9" spans="1:17" s="482" customFormat="1">
      <c r="A9" s="480" t="s">
        <v>561</v>
      </c>
      <c r="B9" s="481">
        <f>transport!B14</f>
        <v>18.495937037102134</v>
      </c>
      <c r="C9" s="481">
        <f>transport!C14</f>
        <v>0</v>
      </c>
      <c r="D9" s="481">
        <f>transport!D14</f>
        <v>63.220400239816108</v>
      </c>
      <c r="E9" s="481">
        <f>transport!E14</f>
        <v>84.581944109613019</v>
      </c>
      <c r="F9" s="481">
        <f>transport!F14</f>
        <v>0</v>
      </c>
      <c r="G9" s="481">
        <f>transport!G14</f>
        <v>34438.485575847335</v>
      </c>
      <c r="H9" s="481">
        <f>transport!H14</f>
        <v>7137.7165975525422</v>
      </c>
      <c r="I9" s="481">
        <f>transport!I14</f>
        <v>0</v>
      </c>
      <c r="J9" s="481">
        <f>transport!J14</f>
        <v>0</v>
      </c>
      <c r="K9" s="481">
        <f>transport!K14</f>
        <v>0</v>
      </c>
      <c r="L9" s="481">
        <f>transport!L14</f>
        <v>0</v>
      </c>
      <c r="M9" s="481">
        <f>transport!M14</f>
        <v>2222.6513445921751</v>
      </c>
      <c r="N9" s="481">
        <f>transport!N14</f>
        <v>0</v>
      </c>
      <c r="O9" s="481">
        <f>transport!O14</f>
        <v>0</v>
      </c>
      <c r="P9" s="481">
        <f>transport!P14</f>
        <v>0</v>
      </c>
      <c r="Q9" s="480">
        <f>SUM(B9:P9)</f>
        <v>43965.151799378582</v>
      </c>
    </row>
    <row r="10" spans="1:17">
      <c r="A10" s="476" t="s">
        <v>551</v>
      </c>
      <c r="B10" s="477">
        <f>transport!B54</f>
        <v>0</v>
      </c>
      <c r="C10" s="477">
        <f>transport!C54</f>
        <v>0</v>
      </c>
      <c r="D10" s="477">
        <f>transport!D54</f>
        <v>0</v>
      </c>
      <c r="E10" s="477">
        <f>transport!E54</f>
        <v>0</v>
      </c>
      <c r="F10" s="477">
        <f>transport!F54</f>
        <v>0</v>
      </c>
      <c r="G10" s="477">
        <f>transport!G54</f>
        <v>626.05752871755533</v>
      </c>
      <c r="H10" s="477">
        <f>transport!H54</f>
        <v>0</v>
      </c>
      <c r="I10" s="477">
        <f>transport!I54</f>
        <v>0</v>
      </c>
      <c r="J10" s="477">
        <f>transport!J54</f>
        <v>0</v>
      </c>
      <c r="K10" s="477">
        <f>transport!K54</f>
        <v>0</v>
      </c>
      <c r="L10" s="477">
        <f>transport!L54</f>
        <v>0</v>
      </c>
      <c r="M10" s="477">
        <f>transport!M54</f>
        <v>35.55730385237549</v>
      </c>
      <c r="N10" s="477">
        <f>transport!N54</f>
        <v>0</v>
      </c>
      <c r="O10" s="477">
        <f>transport!O54</f>
        <v>0</v>
      </c>
      <c r="P10" s="478">
        <f>transport!P54</f>
        <v>0</v>
      </c>
      <c r="Q10" s="476">
        <f t="shared" si="0"/>
        <v>661.61483256993085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943.48164628906306</v>
      </c>
      <c r="C14" s="484"/>
      <c r="D14" s="484">
        <f>'SEAP template'!E25</f>
        <v>1197.59642116849</v>
      </c>
      <c r="E14" s="484"/>
      <c r="F14" s="484"/>
      <c r="G14" s="484"/>
      <c r="H14" s="484"/>
      <c r="I14" s="484"/>
      <c r="J14" s="484"/>
      <c r="K14" s="484"/>
      <c r="L14" s="484"/>
      <c r="M14" s="484"/>
      <c r="N14" s="484"/>
      <c r="O14" s="484"/>
      <c r="P14" s="485"/>
      <c r="Q14" s="476">
        <f t="shared" si="0"/>
        <v>2141.0780674575531</v>
      </c>
    </row>
    <row r="15" spans="1:17" s="486" customFormat="1">
      <c r="A15" s="1039" t="s">
        <v>555</v>
      </c>
      <c r="B15" s="987">
        <f ca="1">SUM(B4:B14)</f>
        <v>41430.678399873141</v>
      </c>
      <c r="C15" s="987">
        <f t="shared" ref="C15:Q15" ca="1" si="1">SUM(C4:C14)</f>
        <v>0</v>
      </c>
      <c r="D15" s="987">
        <f t="shared" ca="1" si="1"/>
        <v>48453.086979608684</v>
      </c>
      <c r="E15" s="987">
        <f t="shared" si="1"/>
        <v>2278.997106672467</v>
      </c>
      <c r="F15" s="987">
        <f t="shared" ca="1" si="1"/>
        <v>38677.88856637774</v>
      </c>
      <c r="G15" s="987">
        <f t="shared" si="1"/>
        <v>35064.543104564887</v>
      </c>
      <c r="H15" s="987">
        <f t="shared" si="1"/>
        <v>7137.7165975525422</v>
      </c>
      <c r="I15" s="987">
        <f t="shared" si="1"/>
        <v>0</v>
      </c>
      <c r="J15" s="987">
        <f t="shared" si="1"/>
        <v>31.366073932302509</v>
      </c>
      <c r="K15" s="987">
        <f t="shared" si="1"/>
        <v>0</v>
      </c>
      <c r="L15" s="987">
        <f t="shared" ca="1" si="1"/>
        <v>0</v>
      </c>
      <c r="M15" s="987">
        <f t="shared" si="1"/>
        <v>2258.2086484445504</v>
      </c>
      <c r="N15" s="987">
        <f t="shared" ca="1" si="1"/>
        <v>3258.0593215626513</v>
      </c>
      <c r="O15" s="987">
        <f t="shared" si="1"/>
        <v>145.39000000000001</v>
      </c>
      <c r="P15" s="987">
        <f t="shared" si="1"/>
        <v>1430.0000000000002</v>
      </c>
      <c r="Q15" s="987">
        <f t="shared" ca="1" si="1"/>
        <v>180165.93479858903</v>
      </c>
    </row>
    <row r="17" spans="1:17">
      <c r="A17" s="487" t="s">
        <v>556</v>
      </c>
      <c r="B17" s="786">
        <f ca="1">huishoudens!B10</f>
        <v>0.21533053401133004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4294.8076018759311</v>
      </c>
      <c r="C22" s="477">
        <f t="shared" ref="C22:C32" ca="1" si="3">C4*$C$17</f>
        <v>0</v>
      </c>
      <c r="D22" s="477">
        <f t="shared" ref="D22:D32" si="4">D4*$D$17</f>
        <v>5500.9010856488958</v>
      </c>
      <c r="E22" s="477">
        <f t="shared" ref="E22:E32" si="5">E4*$E$17</f>
        <v>365.39030821557833</v>
      </c>
      <c r="F22" s="477">
        <f t="shared" ref="F22:F32" si="6">F4*$F$17</f>
        <v>9050.7987150752997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19211.897710815705</v>
      </c>
    </row>
    <row r="23" spans="1:17">
      <c r="A23" s="476" t="s">
        <v>156</v>
      </c>
      <c r="B23" s="477">
        <f t="shared" ca="1" si="2"/>
        <v>3772.6062448038247</v>
      </c>
      <c r="C23" s="477">
        <f t="shared" ca="1" si="3"/>
        <v>0</v>
      </c>
      <c r="D23" s="477">
        <f t="shared" ca="1" si="4"/>
        <v>3676.2998625795153</v>
      </c>
      <c r="E23" s="477">
        <f t="shared" si="5"/>
        <v>49.766536718264874</v>
      </c>
      <c r="F23" s="477">
        <f t="shared" ca="1" si="6"/>
        <v>769.29653282870117</v>
      </c>
      <c r="G23" s="477">
        <f t="shared" si="7"/>
        <v>0</v>
      </c>
      <c r="H23" s="477">
        <f t="shared" si="8"/>
        <v>0</v>
      </c>
      <c r="I23" s="477">
        <f t="shared" si="9"/>
        <v>0</v>
      </c>
      <c r="J23" s="477">
        <f t="shared" si="10"/>
        <v>8.1395190499347226E-3</v>
      </c>
      <c r="K23" s="477">
        <f t="shared" si="11"/>
        <v>0</v>
      </c>
      <c r="L23" s="477">
        <f t="shared" ca="1" si="12"/>
        <v>0</v>
      </c>
      <c r="M23" s="477">
        <f t="shared" si="13"/>
        <v>0</v>
      </c>
      <c r="N23" s="477">
        <f t="shared" ca="1" si="14"/>
        <v>0</v>
      </c>
      <c r="O23" s="477">
        <f t="shared" si="15"/>
        <v>0</v>
      </c>
      <c r="P23" s="478">
        <f t="shared" si="16"/>
        <v>0</v>
      </c>
      <c r="Q23" s="476">
        <f t="shared" ref="Q23:Q32" ca="1" si="17">SUM(B23:P23)</f>
        <v>8267.9773164493563</v>
      </c>
    </row>
    <row r="24" spans="1:17">
      <c r="A24" s="476" t="s">
        <v>194</v>
      </c>
      <c r="B24" s="477">
        <f t="shared" ca="1" si="2"/>
        <v>126.18950685505772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126.18950685505772</v>
      </c>
    </row>
    <row r="25" spans="1:17">
      <c r="A25" s="476" t="s">
        <v>112</v>
      </c>
      <c r="B25" s="477">
        <f t="shared" ca="1" si="2"/>
        <v>44.05467010867212</v>
      </c>
      <c r="C25" s="477">
        <f t="shared" ca="1" si="3"/>
        <v>0</v>
      </c>
      <c r="D25" s="477">
        <f t="shared" si="4"/>
        <v>10.826095351237397</v>
      </c>
      <c r="E25" s="477">
        <f t="shared" si="5"/>
        <v>1.3650762507868819</v>
      </c>
      <c r="F25" s="477">
        <f t="shared" si="6"/>
        <v>227.56801942758668</v>
      </c>
      <c r="G25" s="477">
        <f t="shared" si="7"/>
        <v>0</v>
      </c>
      <c r="H25" s="477">
        <f t="shared" si="8"/>
        <v>0</v>
      </c>
      <c r="I25" s="477">
        <f t="shared" si="9"/>
        <v>0</v>
      </c>
      <c r="J25" s="477">
        <f t="shared" si="10"/>
        <v>10.492853592204989</v>
      </c>
      <c r="K25" s="477">
        <f t="shared" si="11"/>
        <v>0</v>
      </c>
      <c r="L25" s="477">
        <f t="shared" si="12"/>
        <v>0</v>
      </c>
      <c r="M25" s="477">
        <f t="shared" si="13"/>
        <v>0</v>
      </c>
      <c r="N25" s="477">
        <f t="shared" si="14"/>
        <v>0</v>
      </c>
      <c r="O25" s="477">
        <f t="shared" si="15"/>
        <v>0</v>
      </c>
      <c r="P25" s="478">
        <f t="shared" si="16"/>
        <v>0</v>
      </c>
      <c r="Q25" s="476">
        <f t="shared" ca="1" si="17"/>
        <v>294.30671473048807</v>
      </c>
    </row>
    <row r="26" spans="1:17">
      <c r="A26" s="476" t="s">
        <v>635</v>
      </c>
      <c r="B26" s="477">
        <f t="shared" ca="1" si="2"/>
        <v>476.48893392832355</v>
      </c>
      <c r="C26" s="477">
        <f t="shared" ca="1" si="3"/>
        <v>0</v>
      </c>
      <c r="D26" s="477">
        <f t="shared" si="4"/>
        <v>344.81152837682953</v>
      </c>
      <c r="E26" s="477">
        <f t="shared" si="5"/>
        <v>81.610320717137682</v>
      </c>
      <c r="F26" s="477">
        <f t="shared" si="6"/>
        <v>279.33297989126993</v>
      </c>
      <c r="G26" s="477">
        <f t="shared" si="7"/>
        <v>0</v>
      </c>
      <c r="H26" s="477">
        <f t="shared" si="8"/>
        <v>0</v>
      </c>
      <c r="I26" s="477">
        <f t="shared" si="9"/>
        <v>0</v>
      </c>
      <c r="J26" s="477">
        <f t="shared" si="10"/>
        <v>0.60259706078016417</v>
      </c>
      <c r="K26" s="477">
        <f t="shared" si="11"/>
        <v>0</v>
      </c>
      <c r="L26" s="477">
        <f t="shared" si="12"/>
        <v>0</v>
      </c>
      <c r="M26" s="477">
        <f t="shared" si="13"/>
        <v>0</v>
      </c>
      <c r="N26" s="477">
        <f t="shared" si="14"/>
        <v>0</v>
      </c>
      <c r="O26" s="477">
        <f t="shared" si="15"/>
        <v>0</v>
      </c>
      <c r="P26" s="478">
        <f t="shared" si="16"/>
        <v>0</v>
      </c>
      <c r="Q26" s="476">
        <f t="shared" ca="1" si="17"/>
        <v>1182.8463599743409</v>
      </c>
    </row>
    <row r="27" spans="1:17" s="482" customFormat="1">
      <c r="A27" s="480" t="s">
        <v>561</v>
      </c>
      <c r="B27" s="780">
        <f t="shared" ca="1" si="2"/>
        <v>3.9827399992391399</v>
      </c>
      <c r="C27" s="481">
        <f t="shared" ca="1" si="3"/>
        <v>0</v>
      </c>
      <c r="D27" s="481">
        <f t="shared" si="4"/>
        <v>12.770520848442855</v>
      </c>
      <c r="E27" s="481">
        <f t="shared" si="5"/>
        <v>19.200101312882158</v>
      </c>
      <c r="F27" s="481">
        <f t="shared" si="6"/>
        <v>0</v>
      </c>
      <c r="G27" s="481">
        <f t="shared" si="7"/>
        <v>9195.075648751239</v>
      </c>
      <c r="H27" s="481">
        <f t="shared" si="8"/>
        <v>1777.291432790583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11008.320443702387</v>
      </c>
    </row>
    <row r="28" spans="1:17">
      <c r="A28" s="476" t="s">
        <v>551</v>
      </c>
      <c r="B28" s="477">
        <f t="shared" ca="1" si="2"/>
        <v>0</v>
      </c>
      <c r="C28" s="477">
        <f t="shared" ca="1" si="3"/>
        <v>0</v>
      </c>
      <c r="D28" s="477">
        <f t="shared" si="4"/>
        <v>0</v>
      </c>
      <c r="E28" s="477">
        <f t="shared" si="5"/>
        <v>0</v>
      </c>
      <c r="F28" s="477">
        <f t="shared" si="6"/>
        <v>0</v>
      </c>
      <c r="G28" s="477">
        <f t="shared" si="7"/>
        <v>167.15736016758729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167.15736016758729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203.16040672531275</v>
      </c>
      <c r="C32" s="477">
        <f t="shared" ca="1" si="3"/>
        <v>0</v>
      </c>
      <c r="D32" s="477">
        <f t="shared" si="4"/>
        <v>241.91447707603498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445.07488380134771</v>
      </c>
    </row>
    <row r="33" spans="1:17" s="486" customFormat="1">
      <c r="A33" s="1039" t="s">
        <v>555</v>
      </c>
      <c r="B33" s="987">
        <f ca="1">SUM(B22:B32)</f>
        <v>8921.2901042963604</v>
      </c>
      <c r="C33" s="987">
        <f t="shared" ref="C33:Q33" ca="1" si="18">SUM(C22:C32)</f>
        <v>0</v>
      </c>
      <c r="D33" s="987">
        <f t="shared" ca="1" si="18"/>
        <v>9787.5235698809574</v>
      </c>
      <c r="E33" s="987">
        <f t="shared" si="18"/>
        <v>517.33234321464988</v>
      </c>
      <c r="F33" s="987">
        <f t="shared" ca="1" si="18"/>
        <v>10326.996247222856</v>
      </c>
      <c r="G33" s="987">
        <f t="shared" si="18"/>
        <v>9362.2330089188254</v>
      </c>
      <c r="H33" s="987">
        <f t="shared" si="18"/>
        <v>1777.291432790583</v>
      </c>
      <c r="I33" s="987">
        <f t="shared" si="18"/>
        <v>0</v>
      </c>
      <c r="J33" s="987">
        <f t="shared" si="18"/>
        <v>11.103590172035089</v>
      </c>
      <c r="K33" s="987">
        <f t="shared" si="18"/>
        <v>0</v>
      </c>
      <c r="L33" s="987">
        <f t="shared" ca="1" si="18"/>
        <v>0</v>
      </c>
      <c r="M33" s="987">
        <f t="shared" si="18"/>
        <v>0</v>
      </c>
      <c r="N33" s="987">
        <f t="shared" ca="1" si="18"/>
        <v>0</v>
      </c>
      <c r="O33" s="987">
        <f t="shared" si="18"/>
        <v>0</v>
      </c>
      <c r="P33" s="987">
        <f t="shared" si="18"/>
        <v>0</v>
      </c>
      <c r="Q33" s="987">
        <f t="shared" ca="1" si="18"/>
        <v>40703.770296496266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1062.8498736452643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1062.8498736452643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0.21533053401133004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0.21533053401133004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0.21533053401133004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0.21533053401133004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3512</v>
      </c>
      <c r="C9" s="342">
        <v>3460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386.42</v>
      </c>
    </row>
    <row r="15" spans="1:6">
      <c r="A15" s="348" t="s">
        <v>184</v>
      </c>
      <c r="B15" s="334">
        <v>0</v>
      </c>
    </row>
    <row r="16" spans="1:6">
      <c r="A16" s="348" t="s">
        <v>6</v>
      </c>
      <c r="B16" s="334">
        <v>0</v>
      </c>
    </row>
    <row r="17" spans="1:6">
      <c r="A17" s="348" t="s">
        <v>7</v>
      </c>
      <c r="B17" s="334">
        <v>13</v>
      </c>
    </row>
    <row r="18" spans="1:6">
      <c r="A18" s="348" t="s">
        <v>8</v>
      </c>
      <c r="B18" s="334">
        <v>12</v>
      </c>
    </row>
    <row r="19" spans="1:6">
      <c r="A19" s="348" t="s">
        <v>9</v>
      </c>
      <c r="B19" s="334">
        <v>16</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26</v>
      </c>
    </row>
    <row r="27" spans="1:6">
      <c r="A27" s="348" t="s">
        <v>17</v>
      </c>
      <c r="B27" s="334">
        <v>0</v>
      </c>
    </row>
    <row r="28" spans="1:6" s="356" customFormat="1">
      <c r="A28" s="355" t="s">
        <v>18</v>
      </c>
      <c r="B28" s="355">
        <v>0</v>
      </c>
    </row>
    <row r="29" spans="1:6">
      <c r="A29" s="355" t="s">
        <v>744</v>
      </c>
      <c r="B29" s="355">
        <v>88</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23261.746311941999</v>
      </c>
    </row>
    <row r="39" spans="1:6">
      <c r="A39" s="348" t="s">
        <v>30</v>
      </c>
      <c r="B39" s="348" t="s">
        <v>31</v>
      </c>
      <c r="C39" s="334">
        <v>1304</v>
      </c>
      <c r="D39" s="334">
        <v>30190890.900577899</v>
      </c>
      <c r="E39" s="334">
        <v>3107</v>
      </c>
      <c r="F39" s="334">
        <v>18942986.587678999</v>
      </c>
    </row>
    <row r="40" spans="1:6">
      <c r="A40" s="348" t="s">
        <v>30</v>
      </c>
      <c r="B40" s="348" t="s">
        <v>29</v>
      </c>
      <c r="C40" s="334">
        <v>0</v>
      </c>
      <c r="D40" s="334">
        <v>0</v>
      </c>
      <c r="E40" s="334">
        <v>0</v>
      </c>
      <c r="F40" s="334">
        <v>0</v>
      </c>
    </row>
    <row r="41" spans="1:6">
      <c r="A41" s="348" t="s">
        <v>32</v>
      </c>
      <c r="B41" s="348" t="s">
        <v>33</v>
      </c>
      <c r="C41" s="334">
        <v>26</v>
      </c>
      <c r="D41" s="334">
        <v>1119652.53974188</v>
      </c>
      <c r="E41" s="334">
        <v>76</v>
      </c>
      <c r="F41" s="334">
        <v>1136009.5689097799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55194.645771000804</v>
      </c>
    </row>
    <row r="48" spans="1:6">
      <c r="A48" s="348" t="s">
        <v>32</v>
      </c>
      <c r="B48" s="348" t="s">
        <v>29</v>
      </c>
      <c r="C48" s="334">
        <v>21</v>
      </c>
      <c r="D48" s="334">
        <v>517148.16197098402</v>
      </c>
      <c r="E48" s="334">
        <v>31</v>
      </c>
      <c r="F48" s="334">
        <v>473107.32133801002</v>
      </c>
    </row>
    <row r="49" spans="1:6">
      <c r="A49" s="348" t="s">
        <v>32</v>
      </c>
      <c r="B49" s="348" t="s">
        <v>40</v>
      </c>
      <c r="C49" s="334">
        <v>0</v>
      </c>
      <c r="D49" s="334">
        <v>0</v>
      </c>
      <c r="E49" s="334">
        <v>3</v>
      </c>
      <c r="F49" s="334">
        <v>90536.294996359997</v>
      </c>
    </row>
    <row r="50" spans="1:6">
      <c r="A50" s="348" t="s">
        <v>32</v>
      </c>
      <c r="B50" s="348" t="s">
        <v>41</v>
      </c>
      <c r="C50" s="334">
        <v>3</v>
      </c>
      <c r="D50" s="334">
        <v>255646.930484176</v>
      </c>
      <c r="E50" s="334">
        <v>7</v>
      </c>
      <c r="F50" s="334">
        <v>457977.84239005297</v>
      </c>
    </row>
    <row r="51" spans="1:6">
      <c r="A51" s="348" t="s">
        <v>42</v>
      </c>
      <c r="B51" s="348" t="s">
        <v>43</v>
      </c>
      <c r="C51" s="334">
        <v>0</v>
      </c>
      <c r="D51" s="334">
        <v>0</v>
      </c>
      <c r="E51" s="334">
        <v>11</v>
      </c>
      <c r="F51" s="334">
        <v>125224.959174937</v>
      </c>
    </row>
    <row r="52" spans="1:6">
      <c r="A52" s="348" t="s">
        <v>42</v>
      </c>
      <c r="B52" s="348" t="s">
        <v>29</v>
      </c>
      <c r="C52" s="334">
        <v>3</v>
      </c>
      <c r="D52" s="334">
        <v>59417.440622804097</v>
      </c>
      <c r="E52" s="334">
        <v>11</v>
      </c>
      <c r="F52" s="334">
        <v>79365.951774803601</v>
      </c>
    </row>
    <row r="53" spans="1:6">
      <c r="A53" s="348" t="s">
        <v>44</v>
      </c>
      <c r="B53" s="348" t="s">
        <v>45</v>
      </c>
      <c r="C53" s="334">
        <v>57</v>
      </c>
      <c r="D53" s="334">
        <v>1197596.4211684901</v>
      </c>
      <c r="E53" s="334">
        <v>162</v>
      </c>
      <c r="F53" s="334">
        <v>943481.64628906304</v>
      </c>
    </row>
    <row r="54" spans="1:6">
      <c r="A54" s="348" t="s">
        <v>46</v>
      </c>
      <c r="B54" s="348" t="s">
        <v>47</v>
      </c>
      <c r="C54" s="334">
        <v>0</v>
      </c>
      <c r="D54" s="334">
        <v>0</v>
      </c>
      <c r="E54" s="334">
        <v>2</v>
      </c>
      <c r="F54" s="334">
        <v>586027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249550.411028036</v>
      </c>
      <c r="E57" s="334">
        <v>35</v>
      </c>
      <c r="F57" s="334">
        <v>625234.26498495496</v>
      </c>
    </row>
    <row r="58" spans="1:6">
      <c r="A58" s="348" t="s">
        <v>49</v>
      </c>
      <c r="B58" s="348" t="s">
        <v>51</v>
      </c>
      <c r="C58" s="334">
        <v>23</v>
      </c>
      <c r="D58" s="334">
        <v>969983.41973412305</v>
      </c>
      <c r="E58" s="334">
        <v>63</v>
      </c>
      <c r="F58" s="334">
        <v>949868.94196333794</v>
      </c>
    </row>
    <row r="59" spans="1:6">
      <c r="A59" s="348" t="s">
        <v>49</v>
      </c>
      <c r="B59" s="348" t="s">
        <v>52</v>
      </c>
      <c r="C59" s="334">
        <v>60</v>
      </c>
      <c r="D59" s="334">
        <v>2972602.2842877898</v>
      </c>
      <c r="E59" s="334">
        <v>156</v>
      </c>
      <c r="F59" s="334">
        <v>3599989.1006026599</v>
      </c>
    </row>
    <row r="60" spans="1:6">
      <c r="A60" s="348" t="s">
        <v>49</v>
      </c>
      <c r="B60" s="348" t="s">
        <v>53</v>
      </c>
      <c r="C60" s="334">
        <v>37</v>
      </c>
      <c r="D60" s="334">
        <v>2956261.0543169701</v>
      </c>
      <c r="E60" s="334">
        <v>73</v>
      </c>
      <c r="F60" s="334">
        <v>2650165.39669907</v>
      </c>
    </row>
    <row r="61" spans="1:6">
      <c r="A61" s="348" t="s">
        <v>49</v>
      </c>
      <c r="B61" s="348" t="s">
        <v>54</v>
      </c>
      <c r="C61" s="334">
        <v>166</v>
      </c>
      <c r="D61" s="334">
        <v>6928356.7775514498</v>
      </c>
      <c r="E61" s="334">
        <v>449</v>
      </c>
      <c r="F61" s="334">
        <v>5700732.4059570599</v>
      </c>
    </row>
    <row r="62" spans="1:6">
      <c r="A62" s="348" t="s">
        <v>49</v>
      </c>
      <c r="B62" s="348" t="s">
        <v>55</v>
      </c>
      <c r="C62" s="334">
        <v>0</v>
      </c>
      <c r="D62" s="334">
        <v>0</v>
      </c>
      <c r="E62" s="334">
        <v>4</v>
      </c>
      <c r="F62" s="334">
        <v>103307.22488238</v>
      </c>
    </row>
    <row r="63" spans="1:6">
      <c r="A63" s="348" t="s">
        <v>49</v>
      </c>
      <c r="B63" s="348" t="s">
        <v>29</v>
      </c>
      <c r="C63" s="334">
        <v>138</v>
      </c>
      <c r="D63" s="334">
        <v>6100080.0555157997</v>
      </c>
      <c r="E63" s="334">
        <v>170</v>
      </c>
      <c r="F63" s="334">
        <v>3890773.6670347499</v>
      </c>
    </row>
    <row r="64" spans="1:6">
      <c r="A64" s="348" t="s">
        <v>56</v>
      </c>
      <c r="B64" s="348" t="s">
        <v>57</v>
      </c>
      <c r="C64" s="334">
        <v>0</v>
      </c>
      <c r="D64" s="334">
        <v>0</v>
      </c>
      <c r="E64" s="334">
        <v>0</v>
      </c>
      <c r="F64" s="334">
        <v>0</v>
      </c>
    </row>
    <row r="65" spans="1:6">
      <c r="A65" s="348" t="s">
        <v>56</v>
      </c>
      <c r="B65" s="348" t="s">
        <v>29</v>
      </c>
      <c r="C65" s="334">
        <v>1</v>
      </c>
      <c r="D65" s="334">
        <v>26236.714620305</v>
      </c>
      <c r="E65" s="334">
        <v>3</v>
      </c>
      <c r="F65" s="334">
        <v>160642.95110350699</v>
      </c>
    </row>
    <row r="66" spans="1:6">
      <c r="A66" s="348" t="s">
        <v>56</v>
      </c>
      <c r="B66" s="348" t="s">
        <v>58</v>
      </c>
      <c r="C66" s="334">
        <v>0</v>
      </c>
      <c r="D66" s="334">
        <v>0</v>
      </c>
      <c r="E66" s="334">
        <v>3</v>
      </c>
      <c r="F66" s="334">
        <v>18930.737646519901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38580716</v>
      </c>
      <c r="E73" s="475">
        <v>40411298.828270592</v>
      </c>
    </row>
    <row r="74" spans="1:6">
      <c r="A74" s="348" t="s">
        <v>64</v>
      </c>
      <c r="B74" s="348" t="s">
        <v>657</v>
      </c>
      <c r="C74" s="1295" t="s">
        <v>659</v>
      </c>
      <c r="D74" s="475">
        <v>4298508.5</v>
      </c>
      <c r="E74" s="475">
        <v>4430404.8305597631</v>
      </c>
    </row>
    <row r="75" spans="1:6">
      <c r="A75" s="348" t="s">
        <v>65</v>
      </c>
      <c r="B75" s="348" t="s">
        <v>656</v>
      </c>
      <c r="C75" s="1295" t="s">
        <v>660</v>
      </c>
      <c r="D75" s="475">
        <v>8434488</v>
      </c>
      <c r="E75" s="475">
        <v>8829755.5214708634</v>
      </c>
    </row>
    <row r="76" spans="1:6">
      <c r="A76" s="348" t="s">
        <v>65</v>
      </c>
      <c r="B76" s="348" t="s">
        <v>657</v>
      </c>
      <c r="C76" s="1295" t="s">
        <v>661</v>
      </c>
      <c r="D76" s="475">
        <v>526232.5</v>
      </c>
      <c r="E76" s="475">
        <v>539686.44980508601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179441</v>
      </c>
      <c r="C83" s="475">
        <v>178751.71167409047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1002.1996423888274</v>
      </c>
    </row>
    <row r="92" spans="1:6">
      <c r="A92" s="341" t="s">
        <v>69</v>
      </c>
      <c r="B92" s="342">
        <v>60.650231256436996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59</v>
      </c>
      <c r="C123" s="334">
        <v>23</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1</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41430.678399873148</v>
      </c>
      <c r="C3" s="43" t="s">
        <v>170</v>
      </c>
      <c r="D3" s="43"/>
      <c r="E3" s="154"/>
      <c r="F3" s="43"/>
      <c r="G3" s="43"/>
      <c r="H3" s="43"/>
      <c r="I3" s="43"/>
      <c r="J3" s="43"/>
      <c r="K3" s="96"/>
    </row>
    <row r="4" spans="1:11">
      <c r="A4" s="383" t="s">
        <v>171</v>
      </c>
      <c r="B4" s="49">
        <f>IF(ISERROR('SEAP template'!B78+'SEAP template'!C78),0,'SEAP template'!B78+'SEAP template'!C78)</f>
        <v>1062.8498736452643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0.21533053401133004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586.02700000000004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586.02700000000004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0.21533053401133004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126.18950685505772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18942.986587678999</v>
      </c>
      <c r="C5" s="17">
        <f>IF(ISERROR('Eigen informatie GS &amp; warmtenet'!B57),0,'Eigen informatie GS &amp; warmtenet'!B57)</f>
        <v>0</v>
      </c>
      <c r="D5" s="30">
        <f>(SUM(HH_hh_gas_kWh,HH_rest_gas_kWh)/1000)*0.902</f>
        <v>27232.183592321264</v>
      </c>
      <c r="E5" s="17">
        <f>B46*B57</f>
        <v>1609.648934870389</v>
      </c>
      <c r="F5" s="17">
        <f>B51*B62</f>
        <v>33898.12252837191</v>
      </c>
      <c r="G5" s="18"/>
      <c r="H5" s="17"/>
      <c r="I5" s="17"/>
      <c r="J5" s="17">
        <f>B50*B61+C50*C61</f>
        <v>0</v>
      </c>
      <c r="K5" s="17"/>
      <c r="L5" s="17"/>
      <c r="M5" s="17"/>
      <c r="N5" s="17">
        <f>B48*B59+C48*C59</f>
        <v>1645.6788562924662</v>
      </c>
      <c r="O5" s="17">
        <f>B69*B70*B71</f>
        <v>143.82666666666668</v>
      </c>
      <c r="P5" s="17">
        <f>B77*B78*B79/1000-B77*B78*B79/1000/B80</f>
        <v>1391.8666666666668</v>
      </c>
    </row>
    <row r="6" spans="1:16">
      <c r="A6" s="16" t="s">
        <v>621</v>
      </c>
      <c r="B6" s="788">
        <f>kWh_PV_kleiner_dan_10kW</f>
        <v>1002.1996423888274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19945.186230067826</v>
      </c>
      <c r="C8" s="21">
        <f>C5</f>
        <v>0</v>
      </c>
      <c r="D8" s="21">
        <f>D5</f>
        <v>27232.183592321264</v>
      </c>
      <c r="E8" s="21">
        <f>E5</f>
        <v>1609.648934870389</v>
      </c>
      <c r="F8" s="21">
        <f>F5</f>
        <v>33898.12252837191</v>
      </c>
      <c r="G8" s="21"/>
      <c r="H8" s="21"/>
      <c r="I8" s="21"/>
      <c r="J8" s="21">
        <f>J5</f>
        <v>0</v>
      </c>
      <c r="K8" s="21"/>
      <c r="L8" s="21">
        <f>L5</f>
        <v>0</v>
      </c>
      <c r="M8" s="21">
        <f>M5</f>
        <v>0</v>
      </c>
      <c r="N8" s="21">
        <f>N5</f>
        <v>1645.6788562924662</v>
      </c>
      <c r="O8" s="21">
        <f>O5</f>
        <v>143.82666666666668</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0.21533053401133004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4294.8076018759311</v>
      </c>
      <c r="C12" s="23">
        <f ca="1">C10*C8</f>
        <v>0</v>
      </c>
      <c r="D12" s="23">
        <f>D8*D10</f>
        <v>5500.9010856488958</v>
      </c>
      <c r="E12" s="23">
        <f>E10*E8</f>
        <v>365.39030821557833</v>
      </c>
      <c r="F12" s="23">
        <f>F10*F8</f>
        <v>9050.7987150752997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3512</v>
      </c>
      <c r="C28" s="36"/>
      <c r="D28" s="228"/>
    </row>
    <row r="29" spans="1:7" s="15" customFormat="1">
      <c r="A29" s="230" t="s">
        <v>794</v>
      </c>
      <c r="B29" s="37">
        <f>SUM(HH_hh_gas_aantal,HH_rest_gas_aantal)</f>
        <v>1304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1304</v>
      </c>
      <c r="C32" s="167">
        <f>IF(ISERROR(B32/SUM($B$32,$B$34,$B$35,$B$36,$B$38,$B$39)*100),0,B32/SUM($B$32,$B$34,$B$35,$B$36,$B$38,$B$39)*100)</f>
        <v>37.917999418435592</v>
      </c>
      <c r="D32" s="233"/>
      <c r="G32" s="15"/>
    </row>
    <row r="33" spans="1:7">
      <c r="A33" s="171" t="s">
        <v>72</v>
      </c>
      <c r="B33" s="34" t="s">
        <v>111</v>
      </c>
      <c r="C33" s="167"/>
      <c r="D33" s="233"/>
      <c r="G33" s="15"/>
    </row>
    <row r="34" spans="1:7">
      <c r="A34" s="171" t="s">
        <v>73</v>
      </c>
      <c r="B34" s="33">
        <f>IF((($B$28-$B$32-$B$39-$B$77-$B$38)*C20/100)&lt;0,0,($B$28-$B$32-$B$39-$B$77-$B$38)*C20/100)</f>
        <v>76.02209944751381</v>
      </c>
      <c r="C34" s="167">
        <f>IF(ISERROR(B34/SUM($B$32,$B$34,$B$35,$B$36,$B$38,$B$39)*100),0,B34/SUM($B$32,$B$34,$B$35,$B$36,$B$38,$B$39)*100)</f>
        <v>2.2105873639870257</v>
      </c>
      <c r="D34" s="233"/>
      <c r="G34" s="15"/>
    </row>
    <row r="35" spans="1:7">
      <c r="A35" s="171" t="s">
        <v>74</v>
      </c>
      <c r="B35" s="33">
        <f>IF((($B$28-$B$32-$B$39-$B$77-$B$38)*C21/100)&lt;0,0,($B$28-$B$32-$B$39-$B$77-$B$38)*C21/100)</f>
        <v>726.77127071823202</v>
      </c>
      <c r="C35" s="167">
        <f>IF(ISERROR(B35/SUM($B$32,$B$34,$B$35,$B$36,$B$38,$B$39)*100),0,B35/SUM($B$32,$B$34,$B$35,$B$36,$B$38,$B$39)*100)</f>
        <v>21.133215199715966</v>
      </c>
      <c r="D35" s="233"/>
      <c r="G35" s="15"/>
    </row>
    <row r="36" spans="1:7">
      <c r="A36" s="171" t="s">
        <v>75</v>
      </c>
      <c r="B36" s="33">
        <f>IF((($B$28-$B$32-$B$39-$B$77-$B$38)*C22/100)&lt;0,0,($B$28-$B$32-$B$39-$B$77-$B$38)*C22/100)</f>
        <v>22.806629834254139</v>
      </c>
      <c r="C36" s="167">
        <f>IF(ISERROR(B36/SUM($B$32,$B$34,$B$35,$B$36,$B$38,$B$39)*100),0,B36/SUM($B$32,$B$34,$B$35,$B$36,$B$38,$B$39)*100)</f>
        <v>0.66317620919610754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1309.4000000000001</v>
      </c>
      <c r="C39" s="167">
        <f>IF(ISERROR(B39/SUM($B$32,$B$34,$B$35,$B$36,$B$38,$B$39)*100),0,B39/SUM($B$32,$B$34,$B$35,$B$36,$B$38,$B$39)*100)</f>
        <v>38.075021808665312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1304</v>
      </c>
      <c r="C44" s="34" t="s">
        <v>111</v>
      </c>
      <c r="D44" s="174"/>
    </row>
    <row r="45" spans="1:7">
      <c r="A45" s="171" t="s">
        <v>72</v>
      </c>
      <c r="B45" s="33" t="str">
        <f t="shared" si="0"/>
        <v>-</v>
      </c>
      <c r="C45" s="34" t="s">
        <v>111</v>
      </c>
      <c r="D45" s="174"/>
    </row>
    <row r="46" spans="1:7">
      <c r="A46" s="171" t="s">
        <v>73</v>
      </c>
      <c r="B46" s="33">
        <f t="shared" si="0"/>
        <v>76.02209944751381</v>
      </c>
      <c r="C46" s="34" t="s">
        <v>111</v>
      </c>
      <c r="D46" s="174"/>
    </row>
    <row r="47" spans="1:7">
      <c r="A47" s="171" t="s">
        <v>74</v>
      </c>
      <c r="B47" s="33">
        <f t="shared" si="0"/>
        <v>726.77127071823202</v>
      </c>
      <c r="C47" s="34" t="s">
        <v>111</v>
      </c>
      <c r="D47" s="174"/>
    </row>
    <row r="48" spans="1:7">
      <c r="A48" s="171" t="s">
        <v>75</v>
      </c>
      <c r="B48" s="33">
        <f t="shared" si="0"/>
        <v>22.806629834254139</v>
      </c>
      <c r="C48" s="33">
        <f>B48*10</f>
        <v>228.06629834254139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1309.4000000000001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17520.071002124212</v>
      </c>
      <c r="C5" s="17">
        <f>IF(ISERROR('Eigen informatie GS &amp; warmtenet'!B58),0,'Eigen informatie GS &amp; warmtenet'!B58)</f>
        <v>0</v>
      </c>
      <c r="D5" s="30">
        <f>SUM(D6:D12)</f>
        <v>18199.504270195619</v>
      </c>
      <c r="E5" s="17">
        <f>SUM(E6:E12)</f>
        <v>219.23584457385405</v>
      </c>
      <c r="F5" s="17">
        <f>SUM(F6:F12)</f>
        <v>2881.2604225794048</v>
      </c>
      <c r="G5" s="18"/>
      <c r="H5" s="17"/>
      <c r="I5" s="17"/>
      <c r="J5" s="17">
        <f>SUM(J6:J12)</f>
        <v>2.2992991666482269E-2</v>
      </c>
      <c r="K5" s="17"/>
      <c r="L5" s="17"/>
      <c r="M5" s="17"/>
      <c r="N5" s="17">
        <f>SUM(N6:N12)</f>
        <v>933.86376114466555</v>
      </c>
      <c r="O5" s="17">
        <f>B38*B39*B40</f>
        <v>1.5633333333333335</v>
      </c>
      <c r="P5" s="17">
        <f>B46*B47*B48/1000-B46*B47*B48/1000/B49</f>
        <v>38.133333333333333</v>
      </c>
      <c r="R5" s="32"/>
    </row>
    <row r="6" spans="1:18">
      <c r="A6" s="32" t="s">
        <v>54</v>
      </c>
      <c r="B6" s="37">
        <f>B26</f>
        <v>5700.7324059570601</v>
      </c>
      <c r="C6" s="33"/>
      <c r="D6" s="37">
        <f>IF(ISERROR(TER_kantoor_gas_kWh/1000),0,TER_kantoor_gas_kWh/1000)*0.902</f>
        <v>6249.3778133514079</v>
      </c>
      <c r="E6" s="33">
        <f>$C$26*'E Balans VL '!I12/100/3.6*1000000</f>
        <v>3.5730294686644674E-2</v>
      </c>
      <c r="F6" s="33">
        <f>$C$26*('E Balans VL '!L12+'E Balans VL '!N12)/100/3.6*1000000</f>
        <v>856.66078695948829</v>
      </c>
      <c r="G6" s="34"/>
      <c r="H6" s="33"/>
      <c r="I6" s="33"/>
      <c r="J6" s="33">
        <f>$C$26*('E Balans VL '!D12+'E Balans VL '!E12)/100/3.6*1000000</f>
        <v>0</v>
      </c>
      <c r="K6" s="33"/>
      <c r="L6" s="33"/>
      <c r="M6" s="33"/>
      <c r="N6" s="33">
        <f>$C$26*'E Balans VL '!Y12/100/3.6*1000000</f>
        <v>5.4519053199600842</v>
      </c>
      <c r="O6" s="33"/>
      <c r="P6" s="33"/>
      <c r="R6" s="32"/>
    </row>
    <row r="7" spans="1:18">
      <c r="A7" s="32" t="s">
        <v>53</v>
      </c>
      <c r="B7" s="37">
        <f t="shared" ref="B7:B12" si="0">B27</f>
        <v>2650.1653966990698</v>
      </c>
      <c r="C7" s="33"/>
      <c r="D7" s="37">
        <f>IF(ISERROR(TER_horeca_gas_kWh/1000),0,TER_horeca_gas_kWh/1000)*0.902</f>
        <v>2666.5474709939067</v>
      </c>
      <c r="E7" s="33">
        <f>$C$27*'E Balans VL '!I9/100/3.6*1000000</f>
        <v>37.949927047444362</v>
      </c>
      <c r="F7" s="33">
        <f>$C$27*('E Balans VL '!L9+'E Balans VL '!N9)/100/3.6*1000000</f>
        <v>335.59834504427016</v>
      </c>
      <c r="G7" s="34"/>
      <c r="H7" s="33"/>
      <c r="I7" s="33"/>
      <c r="J7" s="33">
        <f>$C$27*('E Balans VL '!D9+'E Balans VL '!E9)/100/3.6*1000000</f>
        <v>0</v>
      </c>
      <c r="K7" s="33"/>
      <c r="L7" s="33"/>
      <c r="M7" s="33"/>
      <c r="N7" s="33">
        <f>$C$27*'E Balans VL '!Y9/100/3.6*1000000</f>
        <v>0.76186412041969409</v>
      </c>
      <c r="O7" s="33"/>
      <c r="P7" s="33"/>
      <c r="R7" s="32"/>
    </row>
    <row r="8" spans="1:18">
      <c r="A8" s="6" t="s">
        <v>52</v>
      </c>
      <c r="B8" s="37">
        <f t="shared" si="0"/>
        <v>3599.9891006026601</v>
      </c>
      <c r="C8" s="33"/>
      <c r="D8" s="37">
        <f>IF(ISERROR(TER_handel_gas_kWh/1000),0,TER_handel_gas_kWh/1000)*0.902</f>
        <v>2681.2872604275863</v>
      </c>
      <c r="E8" s="33">
        <f>$C$28*'E Balans VL '!I13/100/3.6*1000000</f>
        <v>130.57116074809136</v>
      </c>
      <c r="F8" s="33">
        <f>$C$28*('E Balans VL '!L13+'E Balans VL '!N13)/100/3.6*1000000</f>
        <v>693.39435298327487</v>
      </c>
      <c r="G8" s="34"/>
      <c r="H8" s="33"/>
      <c r="I8" s="33"/>
      <c r="J8" s="33">
        <f>$C$28*('E Balans VL '!D13+'E Balans VL '!E13)/100/3.6*1000000</f>
        <v>0</v>
      </c>
      <c r="K8" s="33"/>
      <c r="L8" s="33"/>
      <c r="M8" s="33"/>
      <c r="N8" s="33">
        <f>$C$28*'E Balans VL '!Y13/100/3.6*1000000</f>
        <v>4.9868132248847425</v>
      </c>
      <c r="O8" s="33"/>
      <c r="P8" s="33"/>
      <c r="R8" s="32"/>
    </row>
    <row r="9" spans="1:18">
      <c r="A9" s="32" t="s">
        <v>51</v>
      </c>
      <c r="B9" s="37">
        <f t="shared" si="0"/>
        <v>949.86894196333799</v>
      </c>
      <c r="C9" s="33"/>
      <c r="D9" s="37">
        <f>IF(ISERROR(TER_gezond_gas_kWh/1000),0,TER_gezond_gas_kWh/1000)*0.902</f>
        <v>874.92504460017892</v>
      </c>
      <c r="E9" s="33">
        <f>$C$29*'E Balans VL '!I10/100/3.6*1000000</f>
        <v>5.947117402842593E-2</v>
      </c>
      <c r="F9" s="33">
        <f>$C$29*('E Balans VL '!L10+'E Balans VL '!N10)/100/3.6*1000000</f>
        <v>141.10592340415539</v>
      </c>
      <c r="G9" s="34"/>
      <c r="H9" s="33"/>
      <c r="I9" s="33"/>
      <c r="J9" s="33">
        <f>$C$29*('E Balans VL '!D10+'E Balans VL '!E10)/100/3.6*1000000</f>
        <v>0</v>
      </c>
      <c r="K9" s="33"/>
      <c r="L9" s="33"/>
      <c r="M9" s="33"/>
      <c r="N9" s="33">
        <f>$C$29*'E Balans VL '!Y10/100/3.6*1000000</f>
        <v>14.692664448807166</v>
      </c>
      <c r="O9" s="33"/>
      <c r="P9" s="33"/>
      <c r="R9" s="32"/>
    </row>
    <row r="10" spans="1:18">
      <c r="A10" s="32" t="s">
        <v>50</v>
      </c>
      <c r="B10" s="37">
        <f t="shared" si="0"/>
        <v>625.23426498495496</v>
      </c>
      <c r="C10" s="33"/>
      <c r="D10" s="37">
        <f>IF(ISERROR(TER_ander_gas_kWh/1000),0,TER_ander_gas_kWh/1000)*0.902</f>
        <v>225.09447074728848</v>
      </c>
      <c r="E10" s="33">
        <f>$C$30*'E Balans VL '!I14/100/3.6*1000000</f>
        <v>0.74525690176458681</v>
      </c>
      <c r="F10" s="33">
        <f>$C$30*('E Balans VL '!L14+'E Balans VL '!N14)/100/3.6*1000000</f>
        <v>163.5890794523213</v>
      </c>
      <c r="G10" s="34"/>
      <c r="H10" s="33"/>
      <c r="I10" s="33"/>
      <c r="J10" s="33">
        <f>$C$30*('E Balans VL '!D14+'E Balans VL '!E14)/100/3.6*1000000</f>
        <v>1.357138504217742E-2</v>
      </c>
      <c r="K10" s="33"/>
      <c r="L10" s="33"/>
      <c r="M10" s="33"/>
      <c r="N10" s="33">
        <f>$C$30*'E Balans VL '!Y14/100/3.6*1000000</f>
        <v>530.93363855811208</v>
      </c>
      <c r="O10" s="33"/>
      <c r="P10" s="33"/>
      <c r="R10" s="32"/>
    </row>
    <row r="11" spans="1:18">
      <c r="A11" s="32" t="s">
        <v>55</v>
      </c>
      <c r="B11" s="37">
        <f t="shared" si="0"/>
        <v>103.30722488238</v>
      </c>
      <c r="C11" s="33"/>
      <c r="D11" s="37">
        <f>IF(ISERROR(TER_onderwijs_gas_kWh/1000),0,TER_onderwijs_gas_kWh/1000)*0.902</f>
        <v>0</v>
      </c>
      <c r="E11" s="33">
        <f>$C$31*'E Balans VL '!I11/100/3.6*1000000</f>
        <v>1.5587396313672666</v>
      </c>
      <c r="F11" s="33">
        <f>$C$31*('E Balans VL '!L11+'E Balans VL '!N11)/100/3.6*1000000</f>
        <v>18.101076181408789</v>
      </c>
      <c r="G11" s="34"/>
      <c r="H11" s="33"/>
      <c r="I11" s="33"/>
      <c r="J11" s="33">
        <f>$C$31*('E Balans VL '!D11+'E Balans VL '!E11)/100/3.6*1000000</f>
        <v>0</v>
      </c>
      <c r="K11" s="33"/>
      <c r="L11" s="33"/>
      <c r="M11" s="33"/>
      <c r="N11" s="33">
        <f>$C$31*'E Balans VL '!Y11/100/3.6*1000000</f>
        <v>0.29071438453333703</v>
      </c>
      <c r="O11" s="33"/>
      <c r="P11" s="33"/>
      <c r="R11" s="32"/>
    </row>
    <row r="12" spans="1:18">
      <c r="A12" s="32" t="s">
        <v>260</v>
      </c>
      <c r="B12" s="37">
        <f t="shared" si="0"/>
        <v>3890.7736670347499</v>
      </c>
      <c r="C12" s="33"/>
      <c r="D12" s="37">
        <f>IF(ISERROR(TER_rest_gas_kWh/1000),0,TER_rest_gas_kWh/1000)*0.902</f>
        <v>5502.2722100752508</v>
      </c>
      <c r="E12" s="33">
        <f>$C$32*'E Balans VL '!I8/100/3.6*1000000</f>
        <v>48.315558776471413</v>
      </c>
      <c r="F12" s="33">
        <f>$C$32*('E Balans VL '!L8+'E Balans VL '!N8)/100/3.6*1000000</f>
        <v>672.81085855448646</v>
      </c>
      <c r="G12" s="34"/>
      <c r="H12" s="33"/>
      <c r="I12" s="33"/>
      <c r="J12" s="33">
        <f>$C$32*('E Balans VL '!D8+'E Balans VL '!E8)/100/3.6*1000000</f>
        <v>9.4216066243048482E-3</v>
      </c>
      <c r="K12" s="33"/>
      <c r="L12" s="33"/>
      <c r="M12" s="33"/>
      <c r="N12" s="33">
        <f>$C$32*'E Balans VL '!Y8/100/3.6*1000000</f>
        <v>376.74616108794851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17520.071002124212</v>
      </c>
      <c r="C16" s="21">
        <f t="shared" ca="1" si="1"/>
        <v>0</v>
      </c>
      <c r="D16" s="21">
        <f t="shared" ca="1" si="1"/>
        <v>18199.504270195619</v>
      </c>
      <c r="E16" s="21">
        <f t="shared" si="1"/>
        <v>219.23584457385405</v>
      </c>
      <c r="F16" s="21">
        <f t="shared" ca="1" si="1"/>
        <v>2881.2604225794048</v>
      </c>
      <c r="G16" s="21">
        <f t="shared" si="1"/>
        <v>0</v>
      </c>
      <c r="H16" s="21">
        <f t="shared" si="1"/>
        <v>0</v>
      </c>
      <c r="I16" s="21">
        <f t="shared" si="1"/>
        <v>0</v>
      </c>
      <c r="J16" s="21">
        <f t="shared" si="1"/>
        <v>2.2992991666482269E-2</v>
      </c>
      <c r="K16" s="21">
        <f t="shared" si="1"/>
        <v>0</v>
      </c>
      <c r="L16" s="21">
        <f t="shared" ca="1" si="1"/>
        <v>0</v>
      </c>
      <c r="M16" s="21">
        <f t="shared" si="1"/>
        <v>0</v>
      </c>
      <c r="N16" s="21">
        <f t="shared" ca="1" si="1"/>
        <v>933.86376114466555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0.21533053401133004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3772.6062448038247</v>
      </c>
      <c r="C20" s="23">
        <f t="shared" ref="C20:P20" ca="1" si="2">C16*C18</f>
        <v>0</v>
      </c>
      <c r="D20" s="23">
        <f t="shared" ca="1" si="2"/>
        <v>3676.2998625795153</v>
      </c>
      <c r="E20" s="23">
        <f t="shared" si="2"/>
        <v>49.766536718264874</v>
      </c>
      <c r="F20" s="23">
        <f t="shared" ca="1" si="2"/>
        <v>769.29653282870117</v>
      </c>
      <c r="G20" s="23">
        <f t="shared" si="2"/>
        <v>0</v>
      </c>
      <c r="H20" s="23">
        <f t="shared" si="2"/>
        <v>0</v>
      </c>
      <c r="I20" s="23">
        <f t="shared" si="2"/>
        <v>0</v>
      </c>
      <c r="J20" s="23">
        <f t="shared" si="2"/>
        <v>8.1395190499347226E-3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5700.7324059570601</v>
      </c>
      <c r="C26" s="39">
        <f>IF(ISERROR(B26*3.6/1000000/'E Balans VL '!Z12*100),0,B26*3.6/1000000/'E Balans VL '!Z12*100)</f>
        <v>0.12050445237234662</v>
      </c>
      <c r="D26" s="237" t="s">
        <v>754</v>
      </c>
      <c r="F26" s="6"/>
    </row>
    <row r="27" spans="1:18">
      <c r="A27" s="231" t="s">
        <v>53</v>
      </c>
      <c r="B27" s="33">
        <f>IF(ISERROR(TER_horeca_ele_kWh/1000),0,TER_horeca_ele_kWh/1000)</f>
        <v>2650.1653966990698</v>
      </c>
      <c r="C27" s="39">
        <f>IF(ISERROR(B27*3.6/1000000/'E Balans VL '!Z9*100),0,B27*3.6/1000000/'E Balans VL '!Z9*100)</f>
        <v>0.20891155045471699</v>
      </c>
      <c r="D27" s="237" t="s">
        <v>754</v>
      </c>
      <c r="F27" s="6"/>
    </row>
    <row r="28" spans="1:18">
      <c r="A28" s="171" t="s">
        <v>52</v>
      </c>
      <c r="B28" s="33">
        <f>IF(ISERROR(TER_handel_ele_kWh/1000),0,TER_handel_ele_kWh/1000)</f>
        <v>3599.9891006026601</v>
      </c>
      <c r="C28" s="39">
        <f>IF(ISERROR(B28*3.6/1000000/'E Balans VL '!Z13*100),0,B28*3.6/1000000/'E Balans VL '!Z13*100)</f>
        <v>0.10448622928537731</v>
      </c>
      <c r="D28" s="237" t="s">
        <v>754</v>
      </c>
      <c r="F28" s="6"/>
    </row>
    <row r="29" spans="1:18">
      <c r="A29" s="231" t="s">
        <v>51</v>
      </c>
      <c r="B29" s="33">
        <f>IF(ISERROR(TER_gezond_ele_kWh/1000),0,TER_gezond_ele_kWh/1000)</f>
        <v>949.86894196333799</v>
      </c>
      <c r="C29" s="39">
        <f>IF(ISERROR(B29*3.6/1000000/'E Balans VL '!Z10*100),0,B29*3.6/1000000/'E Balans VL '!Z10*100)</f>
        <v>0.10003679684847389</v>
      </c>
      <c r="D29" s="237" t="s">
        <v>754</v>
      </c>
      <c r="F29" s="6"/>
    </row>
    <row r="30" spans="1:18">
      <c r="A30" s="231" t="s">
        <v>50</v>
      </c>
      <c r="B30" s="33">
        <f>IF(ISERROR(TER_ander_ele_kWh/1000),0,TER_ander_ele_kWh/1000)</f>
        <v>625.23426498495496</v>
      </c>
      <c r="C30" s="39">
        <f>IF(ISERROR(B30*3.6/1000000/'E Balans VL '!Z14*100),0,B30*3.6/1000000/'E Balans VL '!Z14*100)</f>
        <v>4.6117415185497113E-2</v>
      </c>
      <c r="D30" s="237" t="s">
        <v>754</v>
      </c>
      <c r="F30" s="6"/>
    </row>
    <row r="31" spans="1:18">
      <c r="A31" s="231" t="s">
        <v>55</v>
      </c>
      <c r="B31" s="33">
        <f>IF(ISERROR(TER_onderwijs_ele_kWh/1000),0,TER_onderwijs_ele_kWh/1000)</f>
        <v>103.30722488238</v>
      </c>
      <c r="C31" s="39">
        <f>IF(ISERROR(B31*3.6/1000000/'E Balans VL '!Z11*100),0,B31*3.6/1000000/'E Balans VL '!Z11*100)</f>
        <v>2.5656023133698632E-2</v>
      </c>
      <c r="D31" s="237" t="s">
        <v>754</v>
      </c>
    </row>
    <row r="32" spans="1:18">
      <c r="A32" s="231" t="s">
        <v>260</v>
      </c>
      <c r="B32" s="33">
        <f>IF(ISERROR(TER_rest_ele_kWh/1000),0,TER_rest_ele_kWh/1000)</f>
        <v>3890.7736670347499</v>
      </c>
      <c r="C32" s="39">
        <f>IF(ISERROR(B32*3.6/1000000/'E Balans VL '!Z8*100),0,B32*3.6/1000000/'E Balans VL '!Z8*100)</f>
        <v>3.2015902802635721E-2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2212.8256734052038</v>
      </c>
      <c r="C5" s="17">
        <f>IF(ISERROR('Eigen informatie GS &amp; warmtenet'!B59),0,'Eigen informatie GS &amp; warmtenet'!B59)</f>
        <v>0</v>
      </c>
      <c r="D5" s="30">
        <f>SUM(D6:D15)</f>
        <v>1706.9877642417302</v>
      </c>
      <c r="E5" s="17">
        <f>SUM(E6:E15)</f>
        <v>359.51683135302943</v>
      </c>
      <c r="F5" s="17">
        <f>SUM(F6:F15)</f>
        <v>1046.1909359223591</v>
      </c>
      <c r="G5" s="18"/>
      <c r="H5" s="17"/>
      <c r="I5" s="17"/>
      <c r="J5" s="17">
        <f>SUM(J6:J15)</f>
        <v>1.7022515841247576</v>
      </c>
      <c r="K5" s="17"/>
      <c r="L5" s="17"/>
      <c r="M5" s="17"/>
      <c r="N5" s="17">
        <f>SUM(N6:N15)</f>
        <v>678.51670412551971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1136.00956890978</v>
      </c>
      <c r="C9" s="33"/>
      <c r="D9" s="37">
        <f>IF( ISERROR(IND_andere_gas_kWh/1000),0,IND_andere_gas_kWh/1000)*0.902</f>
        <v>1009.9265908471758</v>
      </c>
      <c r="E9" s="33">
        <f>C31*'E Balans VL '!I19/100/3.6*1000000</f>
        <v>332.07771249012745</v>
      </c>
      <c r="F9" s="33">
        <f>C31*'E Balans VL '!L19/100/3.6*1000000+C31*'E Balans VL '!N19/100/3.6*1000000</f>
        <v>912.86967664228598</v>
      </c>
      <c r="G9" s="34"/>
      <c r="H9" s="33"/>
      <c r="I9" s="33"/>
      <c r="J9" s="40">
        <f>C31*'E Balans VL '!D19/100/3.6*1000000+C31*'E Balans VL '!E19/100/3.6*1000000</f>
        <v>0</v>
      </c>
      <c r="K9" s="33"/>
      <c r="L9" s="33"/>
      <c r="M9" s="33"/>
      <c r="N9" s="33">
        <f>C31*'E Balans VL '!Y19/100/3.6*1000000</f>
        <v>375.35517982706955</v>
      </c>
      <c r="O9" s="33"/>
      <c r="P9" s="33"/>
      <c r="R9" s="32"/>
    </row>
    <row r="10" spans="1:18">
      <c r="A10" s="6" t="s">
        <v>41</v>
      </c>
      <c r="B10" s="37">
        <f t="shared" si="0"/>
        <v>457.97784239005296</v>
      </c>
      <c r="C10" s="33"/>
      <c r="D10" s="37">
        <f>IF( ISERROR(IND_voed_gas_kWh/1000),0,IND_voed_gas_kWh/1000)*0.902</f>
        <v>230.59353129672678</v>
      </c>
      <c r="E10" s="33">
        <f>C32*'E Balans VL '!I20/100/3.6*1000000</f>
        <v>0.96885922660670709</v>
      </c>
      <c r="F10" s="33">
        <f>C32*'E Balans VL '!L20/100/3.6*1000000+C32*'E Balans VL '!N20/100/3.6*1000000</f>
        <v>29.118699029807232</v>
      </c>
      <c r="G10" s="34"/>
      <c r="H10" s="33"/>
      <c r="I10" s="33"/>
      <c r="J10" s="40">
        <f>C32*'E Balans VL '!D20/100/3.6*1000000+C32*'E Balans VL '!E20/100/3.6*1000000</f>
        <v>0</v>
      </c>
      <c r="K10" s="33"/>
      <c r="L10" s="33"/>
      <c r="M10" s="33"/>
      <c r="N10" s="33">
        <f>C32*'E Balans VL '!Y20/100/3.6*1000000</f>
        <v>31.60499056069289</v>
      </c>
      <c r="O10" s="33"/>
      <c r="P10" s="33"/>
      <c r="R10" s="32"/>
    </row>
    <row r="11" spans="1:18">
      <c r="A11" s="6" t="s">
        <v>40</v>
      </c>
      <c r="B11" s="37">
        <f t="shared" si="0"/>
        <v>90.536294996359999</v>
      </c>
      <c r="C11" s="33"/>
      <c r="D11" s="37">
        <f>IF( ISERROR(IND_textiel_gas_kWh/1000),0,IND_textiel_gas_kWh/1000)*0.902</f>
        <v>0</v>
      </c>
      <c r="E11" s="33">
        <f>C33*'E Balans VL '!I21/100/3.6*1000000</f>
        <v>0.26888499040996705</v>
      </c>
      <c r="F11" s="33">
        <f>C33*'E Balans VL '!L21/100/3.6*1000000+C33*'E Balans VL '!N21/100/3.6*1000000</f>
        <v>9.1466513886328933</v>
      </c>
      <c r="G11" s="34"/>
      <c r="H11" s="33"/>
      <c r="I11" s="33"/>
      <c r="J11" s="40">
        <f>C33*'E Balans VL '!D21/100/3.6*1000000+C33*'E Balans VL '!E21/100/3.6*1000000</f>
        <v>0</v>
      </c>
      <c r="K11" s="33"/>
      <c r="L11" s="33"/>
      <c r="M11" s="33"/>
      <c r="N11" s="33">
        <f>C33*'E Balans VL '!Y21/100/3.6*1000000</f>
        <v>4.9933656024391855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55.1946457710008</v>
      </c>
      <c r="C13" s="33"/>
      <c r="D13" s="37">
        <f>IF( ISERROR(IND_papier_gas_kWh/1000),0,IND_papier_gas_kWh/1000)*0.902</f>
        <v>0</v>
      </c>
      <c r="E13" s="33">
        <f>C35*'E Balans VL '!I23/100/3.6*1000000</f>
        <v>7.8308579431553768E-2</v>
      </c>
      <c r="F13" s="33">
        <f>C35*'E Balans VL '!L23/100/3.6*1000000+C35*'E Balans VL '!N23/100/3.6*1000000</f>
        <v>1.3475088485195861</v>
      </c>
      <c r="G13" s="34"/>
      <c r="H13" s="33"/>
      <c r="I13" s="33"/>
      <c r="J13" s="40">
        <f>C35*'E Balans VL '!D23/100/3.6*1000000+C35*'E Balans VL '!E23/100/3.6*1000000</f>
        <v>8.5363701673974949E-3</v>
      </c>
      <c r="K13" s="33"/>
      <c r="L13" s="33"/>
      <c r="M13" s="33"/>
      <c r="N13" s="33">
        <f>C35*'E Balans VL '!Y23/100/3.6*1000000</f>
        <v>160.43776978622316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473.10732133801002</v>
      </c>
      <c r="C15" s="33"/>
      <c r="D15" s="37">
        <f>IF( ISERROR(IND_rest_gas_kWh/1000),0,IND_rest_gas_kWh/1000)*0.902</f>
        <v>466.46764209782759</v>
      </c>
      <c r="E15" s="33">
        <f>C37*'E Balans VL '!I15/100/3.6*1000000</f>
        <v>26.123066066453756</v>
      </c>
      <c r="F15" s="33">
        <f>C37*'E Balans VL '!L15/100/3.6*1000000+C37*'E Balans VL '!N15/100/3.6*1000000</f>
        <v>93.708400013113348</v>
      </c>
      <c r="G15" s="34"/>
      <c r="H15" s="33"/>
      <c r="I15" s="33"/>
      <c r="J15" s="40">
        <f>C37*'E Balans VL '!D15/100/3.6*1000000+C37*'E Balans VL '!E15/100/3.6*1000000</f>
        <v>1.6937152139573601</v>
      </c>
      <c r="K15" s="33"/>
      <c r="L15" s="33"/>
      <c r="M15" s="33"/>
      <c r="N15" s="33">
        <f>C37*'E Balans VL '!Y15/100/3.6*1000000</f>
        <v>106.12539834909495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2212.8256734052038</v>
      </c>
      <c r="C18" s="21">
        <f>C5+C16</f>
        <v>0</v>
      </c>
      <c r="D18" s="21">
        <f>MAX((D5+D16),0)</f>
        <v>1706.9877642417302</v>
      </c>
      <c r="E18" s="21">
        <f>MAX((E5+E16),0)</f>
        <v>359.51683135302943</v>
      </c>
      <c r="F18" s="21">
        <f>MAX((F5+F16),0)</f>
        <v>1046.1909359223591</v>
      </c>
      <c r="G18" s="21"/>
      <c r="H18" s="21"/>
      <c r="I18" s="21"/>
      <c r="J18" s="21">
        <f>MAX((J5+J16),0)</f>
        <v>1.7022515841247576</v>
      </c>
      <c r="K18" s="21"/>
      <c r="L18" s="21">
        <f>MAX((L5+L16),0)</f>
        <v>0</v>
      </c>
      <c r="M18" s="21"/>
      <c r="N18" s="21">
        <f>MAX((N5+N16),0)</f>
        <v>678.51670412551971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0.21533053401133004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476.48893392832355</v>
      </c>
      <c r="C22" s="23">
        <f ca="1">C18*C20</f>
        <v>0</v>
      </c>
      <c r="D22" s="23">
        <f>D18*D20</f>
        <v>344.81152837682953</v>
      </c>
      <c r="E22" s="23">
        <f>E18*E20</f>
        <v>81.610320717137682</v>
      </c>
      <c r="F22" s="23">
        <f>F18*F20</f>
        <v>279.33297989126993</v>
      </c>
      <c r="G22" s="23"/>
      <c r="H22" s="23"/>
      <c r="I22" s="23"/>
      <c r="J22" s="23">
        <f>J18*J20</f>
        <v>0.60259706078016417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1136.00956890978</v>
      </c>
      <c r="C31" s="39">
        <f>IF(ISERROR(B31*3.6/1000000/'E Balans VL '!Z19*100),0,B31*3.6/1000000/'E Balans VL '!Z19*100)</f>
        <v>5.1524663784231435E-2</v>
      </c>
      <c r="D31" s="237" t="s">
        <v>754</v>
      </c>
    </row>
    <row r="32" spans="1:18">
      <c r="A32" s="171" t="s">
        <v>41</v>
      </c>
      <c r="B32" s="37">
        <f>IF( ISERROR(IND_voed_ele_kWh/1000),0,IND_voed_ele_kWh/1000)</f>
        <v>457.97784239005296</v>
      </c>
      <c r="C32" s="39">
        <f>IF(ISERROR(B32*3.6/1000000/'E Balans VL '!Z20*100),0,B32*3.6/1000000/'E Balans VL '!Z20*100)</f>
        <v>1.4167333708983695E-2</v>
      </c>
      <c r="D32" s="237" t="s">
        <v>754</v>
      </c>
    </row>
    <row r="33" spans="1:5">
      <c r="A33" s="171" t="s">
        <v>40</v>
      </c>
      <c r="B33" s="37">
        <f>IF( ISERROR(IND_textiel_ele_kWh/1000),0,IND_textiel_ele_kWh/1000)</f>
        <v>90.536294996359999</v>
      </c>
      <c r="C33" s="39">
        <f>IF(ISERROR(B33*3.6/1000000/'E Balans VL '!Z21*100),0,B33*3.6/1000000/'E Balans VL '!Z21*100)</f>
        <v>1.1804926505362362E-2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55.1946457710008</v>
      </c>
      <c r="C35" s="39">
        <f>IF(ISERROR(B35*3.6/1000000/'E Balans VL '!Z22*100),0,B35*3.6/1000000/'E Balans VL '!Z22*100)</f>
        <v>9.9277947210877297E-3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473.10732133801002</v>
      </c>
      <c r="C37" s="39">
        <f>IF(ISERROR(B37*3.6/1000000/'E Balans VL '!Z15*100),0,B37*3.6/1000000/'E Balans VL '!Z15*100)</f>
        <v>3.7499565526531819E-3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204.59091094974062</v>
      </c>
      <c r="C5" s="17">
        <f>'Eigen informatie GS &amp; warmtenet'!B60</f>
        <v>0</v>
      </c>
      <c r="D5" s="30">
        <f>IF(ISERROR(SUM(LB_lb_gas_kWh,LB_rest_gas_kWh)/1000),0,SUM(LB_lb_gas_kWh,LB_rest_gas_kWh)/1000)*0.902</f>
        <v>53.594531441769291</v>
      </c>
      <c r="E5" s="17">
        <f>B17*'E Balans VL '!I25/3.6*1000000/100</f>
        <v>6.0135517655809769</v>
      </c>
      <c r="F5" s="17">
        <f>B17*('E Balans VL '!L25/3.6*1000000+'E Balans VL '!N25/3.6*1000000)/100</f>
        <v>852.31467950406989</v>
      </c>
      <c r="G5" s="18"/>
      <c r="H5" s="17"/>
      <c r="I5" s="17"/>
      <c r="J5" s="17">
        <f>('E Balans VL '!D25+'E Balans VL '!E25)/3.6*1000000*landbouw!B17/100</f>
        <v>29.640829356511272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204.59091094974062</v>
      </c>
      <c r="C8" s="21">
        <f>C5+C6</f>
        <v>0</v>
      </c>
      <c r="D8" s="21">
        <f>MAX((D5+D6),0)</f>
        <v>53.594531441769291</v>
      </c>
      <c r="E8" s="21">
        <f>MAX((E5+E6),0)</f>
        <v>6.0135517655809769</v>
      </c>
      <c r="F8" s="21">
        <f>MAX((F5+F6),0)</f>
        <v>852.31467950406989</v>
      </c>
      <c r="G8" s="21"/>
      <c r="H8" s="21"/>
      <c r="I8" s="21"/>
      <c r="J8" s="21">
        <f>MAX((J5+J6),0)</f>
        <v>29.640829356511272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0.21533053401133004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44.05467010867212</v>
      </c>
      <c r="C12" s="23">
        <f ca="1">C8*C10</f>
        <v>0</v>
      </c>
      <c r="D12" s="23">
        <f>D8*D10</f>
        <v>10.826095351237397</v>
      </c>
      <c r="E12" s="23">
        <f>E8*E10</f>
        <v>1.3650762507868819</v>
      </c>
      <c r="F12" s="23">
        <f>F8*F10</f>
        <v>227.56801942758668</v>
      </c>
      <c r="G12" s="23"/>
      <c r="H12" s="23"/>
      <c r="I12" s="23"/>
      <c r="J12" s="23">
        <f>J8*J10</f>
        <v>10.492853592204989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2.9032092148175825E-2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5.4857279917337776</v>
      </c>
      <c r="C26" s="247">
        <f>B26*'GWP N2O_CH4'!B5</f>
        <v>115.20028782640932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0.3778833045650154</v>
      </c>
      <c r="C27" s="247">
        <f>B27*'GWP N2O_CH4'!B5</f>
        <v>7.9355493958653236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6.7841614862612351E-2</v>
      </c>
      <c r="C28" s="247">
        <f>B28*'GWP N2O_CH4'!B4</f>
        <v>21.03090060740983</v>
      </c>
      <c r="D28" s="50"/>
    </row>
    <row r="29" spans="1:4">
      <c r="A29" s="41" t="s">
        <v>277</v>
      </c>
      <c r="B29" s="247">
        <f>B34*'ha_N2O bodem landbouw'!B4</f>
        <v>2.5141414095791386</v>
      </c>
      <c r="C29" s="247">
        <f>B29*'GWP N2O_CH4'!B4</f>
        <v>779.38383696953292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5.737184055492208E-4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6.6585373333567674E-5</v>
      </c>
      <c r="C5" s="463" t="s">
        <v>211</v>
      </c>
      <c r="D5" s="448">
        <f>SUM(D6:D11)</f>
        <v>2.2759344086333797E-4</v>
      </c>
      <c r="E5" s="448">
        <f>SUM(E6:E11)</f>
        <v>3.0449499879460691E-4</v>
      </c>
      <c r="F5" s="461" t="s">
        <v>211</v>
      </c>
      <c r="G5" s="448">
        <f>SUM(G6:G11)</f>
        <v>0.12397854807305039</v>
      </c>
      <c r="H5" s="448">
        <f>SUM(H6:H11)</f>
        <v>2.5695779751189154E-2</v>
      </c>
      <c r="I5" s="463" t="s">
        <v>211</v>
      </c>
      <c r="J5" s="463" t="s">
        <v>211</v>
      </c>
      <c r="K5" s="463" t="s">
        <v>211</v>
      </c>
      <c r="L5" s="463" t="s">
        <v>211</v>
      </c>
      <c r="M5" s="448">
        <f>SUM(M6:M11)</f>
        <v>8.001544840531831E-3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5.4640013437702996E-5</v>
      </c>
      <c r="C6" s="449"/>
      <c r="D6" s="892">
        <f>vkm_2011_GW_PW*SUMIFS(TableVerdeelsleutelVkm[CNG],TableVerdeelsleutelVkm[Voertuigtype],"Lichte voertuigen")*SUMIFS(TableECFTransport[EnergieConsumptieFactor (PJ per km)],TableECFTransport[Index],CONCATENATE($A6,"_CNG_CNG"))</f>
        <v>1.6388867979797917E-4</v>
      </c>
      <c r="E6" s="892">
        <f>vkm_2011_GW_PW*SUMIFS(TableVerdeelsleutelVkm[LPG],TableVerdeelsleutelVkm[Voertuigtype],"Lichte voertuigen")*SUMIFS(TableECFTransport[EnergieConsumptieFactor (PJ per km)],TableECFTransport[Index],CONCATENATE($A6,"_LPG_LPG"))</f>
        <v>2.2389547805271682E-4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5.7889107096195845E-2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1.8640451536057825E-2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3.9320325663657705E-3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4.03374147673995E-2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1.2294024360670458E-5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2.3571824282941187E-3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1.1945359895864677E-5</v>
      </c>
      <c r="C8" s="449"/>
      <c r="D8" s="451">
        <f>vkm_2011_NGW_PW*SUMIFS(TableVerdeelsleutelVkm[CNG],TableVerdeelsleutelVkm[Voertuigtype],"Lichte voertuigen")*SUMIFS(TableECFTransport[EnergieConsumptieFactor (PJ per km)],TableECFTransport[Index],CONCATENATE($A8,"_CNG_CNG"))</f>
        <v>6.3704761065358818E-5</v>
      </c>
      <c r="E8" s="451">
        <f>vkm_2011_NGW_PW*SUMIFS(TableVerdeelsleutelVkm[LPG],TableVerdeelsleutelVkm[Voertuigtype],"Lichte voertuigen")*SUMIFS(TableECFTransport[EnergieConsumptieFactor (PJ per km)],TableECFTransport[Index],CONCATENATE($A8,"_LPG_LPG"))</f>
        <v>8.0599520741890098E-5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1.942006113268286E-2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7.041217399764454E-3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1.3423145038703624E-3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6.3319650767721886E-3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1.8167910062051113E-6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3.700153420015786E-4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18.495937037102134</v>
      </c>
      <c r="C14" s="21"/>
      <c r="D14" s="21">
        <f t="shared" ref="D14:M14" si="0">((D5)*10^9/3600)+D12</f>
        <v>63.220400239816108</v>
      </c>
      <c r="E14" s="21">
        <f t="shared" si="0"/>
        <v>84.581944109613019</v>
      </c>
      <c r="F14" s="21"/>
      <c r="G14" s="21">
        <f t="shared" si="0"/>
        <v>34438.485575847335</v>
      </c>
      <c r="H14" s="21">
        <f t="shared" si="0"/>
        <v>7137.7165975525422</v>
      </c>
      <c r="I14" s="21"/>
      <c r="J14" s="21"/>
      <c r="K14" s="21"/>
      <c r="L14" s="21"/>
      <c r="M14" s="21">
        <f t="shared" si="0"/>
        <v>2222.6513445921751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0.21533053401133004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3.9827399992391399</v>
      </c>
      <c r="C18" s="23"/>
      <c r="D18" s="23">
        <f t="shared" ref="D18:M18" si="1">D14*D16</f>
        <v>12.770520848442855</v>
      </c>
      <c r="E18" s="23">
        <f t="shared" si="1"/>
        <v>19.200101312882158</v>
      </c>
      <c r="F18" s="23"/>
      <c r="G18" s="23">
        <f t="shared" si="1"/>
        <v>9195.075648751239</v>
      </c>
      <c r="H18" s="23">
        <f t="shared" si="1"/>
        <v>1777.291432790583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2.2538071033831992E-3</v>
      </c>
      <c r="H50" s="321">
        <f t="shared" si="2"/>
        <v>0</v>
      </c>
      <c r="I50" s="321">
        <f t="shared" si="2"/>
        <v>0</v>
      </c>
      <c r="J50" s="321">
        <f t="shared" si="2"/>
        <v>0</v>
      </c>
      <c r="K50" s="321">
        <f t="shared" si="2"/>
        <v>0</v>
      </c>
      <c r="L50" s="321">
        <f t="shared" si="2"/>
        <v>0</v>
      </c>
      <c r="M50" s="321">
        <f t="shared" si="2"/>
        <v>1.2800629386855176E-4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2.2538071033831992E-3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1.2800629386855176E-4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626.05752871755533</v>
      </c>
      <c r="H54" s="21">
        <f t="shared" si="3"/>
        <v>0</v>
      </c>
      <c r="I54" s="21">
        <f t="shared" si="3"/>
        <v>0</v>
      </c>
      <c r="J54" s="21">
        <f t="shared" si="3"/>
        <v>0</v>
      </c>
      <c r="K54" s="21">
        <f t="shared" si="3"/>
        <v>0</v>
      </c>
      <c r="L54" s="21">
        <f t="shared" si="3"/>
        <v>0</v>
      </c>
      <c r="M54" s="21">
        <f t="shared" si="3"/>
        <v>35.55730385237549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0.21533053401133004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167.15736016758729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1062.8498736452643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1062.8498736452643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2019-08-12T08:34:45Z</dcterms:modified>
</cp:coreProperties>
</file>