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<sst xmlns="http://schemas.openxmlformats.org/spreadsheetml/2006/main" count="2410" uniqueCount="893">
  <si>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</si>
  <si>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</si>
  <si>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</si>
  <si>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</si>
  <si>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</si>
  <si>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</si>
  <si>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</si>
  <si>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</si>
  <si>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</si>
  <si>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</si>
  <si>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</si>
  <si>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</si>
  <si>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</si>
  <si>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</si>
  <si>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</si>
  <si>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</si>
  <si>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</si>
  <si>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</si>
  <si>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</si>
  <si>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</si>
  <si>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</si>
  <si>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</si>
  <si>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</si>
  <si>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</si>
  <si>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</si>
  <si>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</si>
  <si>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</si>
  <si>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</si>
  <si>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</si>
  <si>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</si>
  <si>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</si>
  <si>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</si>
  <si>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</si>
  <si>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</si>
  <si>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</si>
  <si>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</si>
  <si>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</si>
  <si>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</si>
  <si>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</si>
  <si>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</si>
  <si>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</si>
  <si>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</si>
  <si>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</si>
  <si>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</si>
  <si>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</si>
  <si>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</si>
  <si>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</si>
  <si>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</si>
  <si>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</si>
  <si>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</si>
  <si>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</si>
  <si>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</si>
  <si>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</si>
  <si>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</si>
  <si>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</si>
  <si>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</si>
  <si>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</si>
  <si>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</si>
  <si>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</si>
  <si>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</si>
  <si>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</si>
  <si>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</si>
  <si>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</si>
  <si>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</si>
  <si>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</si>
  <si>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</si>
  <si>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</si>
  <si>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</si>
  <si>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</si>
  <si>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</si>
  <si>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</si>
  <si>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</si>
  <si>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</si>
  <si>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</si>
  <si>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</si>
  <si>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</si>
  <si>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</si>
  <si>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</si>
  <si>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</si>
  <si>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</si>
  <si>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</si>
  <si>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</si>
  <si>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</si>
  <si>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</si>
  <si>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</si>
  <si>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</si>
  <si>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</si>
  <si>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</si>
  <si>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</si>
  <si>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</si>
  <si>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</si>
  <si>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</si>
  <si>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</si>
  <si>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</si>
  <si>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</si>
  <si>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</si>
  <si>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</si>
  <si>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</si>
  <si>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</si>
  <si>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</si>
  <si>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</si>
  <si>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</si>
  <si>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</si>
  <si>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</si>
  <si>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</si>
  <si>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</si>
  <si>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</si>
  <si>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</si>
  <si>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</si>
  <si>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</si>
  <si>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</si>
  <si>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</si>
  <si>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</si>
  <si>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</si>
  <si>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</si>
  <si>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</si>
  <si>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</si>
  <si>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</si>
  <si>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</si>
  <si>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</si>
  <si>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</si>
  <si>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</si>
  <si>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</si>
  <si>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</si>
  <si>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</si>
  <si>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</si>
  <si>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</si>
  <si>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</si>
  <si>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</si>
  <si>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</si>
  <si>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</si>
  <si>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</si>
  <si>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</si>
  <si>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</si>
  <si>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</si>
  <si>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</si>
  <si>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</si>
  <si>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</si>
  <si>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</si>
  <si>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</si>
  <si>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</si>
  <si>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</si>
  <si>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</si>
  <si>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</si>
  <si>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</si>
  <si>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</si>
  <si>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</si>
  <si>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</si>
  <si>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</si>
  <si>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</si>
  <si>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</si>
  <si>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</si>
  <si>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</si>
  <si>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</si>
  <si>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</si>
  <si>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</si>
  <si>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</si>
  <si>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</si>
  <si>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</si>
  <si>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</si>
  <si>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</si>
  <si>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</si>
  <si>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</si>
  <si>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</si>
  <si>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</si>
  <si>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</si>
  <si>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</si>
  <si>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</si>
  <si>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</si>
  <si>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</si>
  <si>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</si>
  <si>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</si>
  <si>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</si>
  <si>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</si>
  <si>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</si>
  <si>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</si>
  <si>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</si>
  <si>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</si>
  <si>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</si>
  <si>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</si>
  <si>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</si>
  <si>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</si>
  <si>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</si>
  <si>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</si>
  <si>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</si>
  <si>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</si>
  <si>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</si>
  <si>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</si>
  <si>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</si>
  <si>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</si>
  <si>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</si>
  <si>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</si>
  <si>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</si>
  <si>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</si>
  <si>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</si>
  <si>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</si>
  <si>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</si>
  <si>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</si>
  <si>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</si>
  <si>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</si>
  <si>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</si>
  <si>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</si>
  <si>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</si>
  <si>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</si>
  <si>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</si>
  <si>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</si>
  <si>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</si>
  <si>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</si>
  <si>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</si>
  <si>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</si>
  <si>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</si>
  <si>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</si>
  <si>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</si>
  <si>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</si>
  <si>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</si>
  <si>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</si>
  <si>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</si>
  <si>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</si>
  <si>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</si>
  <si>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</si>
  <si>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</si>
  <si>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</si>
  <si>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</si>
  <si>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</si>
  <si>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</si>
  <si>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</si>
  <si>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</si>
  <si>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</si>
  <si>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</si>
  <si>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</si>
  <si>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</si>
  <si>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</si>
  <si>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</si>
  <si>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</si>
  <si>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</si>
  <si>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</si>
  <si>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</si>
  <si>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</si>
  <si>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</si>
  <si>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</si>
  <si>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</si>
  <si>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</si>
  <si>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</si>
  <si>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</si>
  <si>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</si>
  <si>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</si>
  <si>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</si>
  <si>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</si>
  <si>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</si>
  <si>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</si>
  <si>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</si>
  <si>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</si>
  <si>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</si>
  <si>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</si>
  <si>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</si>
  <si>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</si>
  <si>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</si>
  <si>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</si>
  <si>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</si>
  <si>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</si>
  <si>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</si>
  <si>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</si>
  <si>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</si>
  <si>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</si>
  <si>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</si>
  <si>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</si>
  <si>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</si>
  <si>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</si>
  <si>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</si>
  <si>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</si>
  <si>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</si>
  <si>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</si>
  <si>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</si>
  <si>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</si>
  <si>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</si>
  <si>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</si>
  <si>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</si>
  <si>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</si>
  <si>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</si>
  <si>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</si>
  <si>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</si>
  <si>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</si>
  <si>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</si>
  <si>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</si>
  <si>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</si>
  <si>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</si>
  <si>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</si>
  <si>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</si>
  <si>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</si>
  <si>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</si>
  <si>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</si>
  <si>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</si>
  <si>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</si>
  <si>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</si>
  <si>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</si>
  <si>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</si>
  <si>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</si>
  <si>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</si>
  <si>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</si>
  <si>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</si>
  <si>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</si>
  <si>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</si>
  <si>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</si>
  <si>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</si>
  <si>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</si>
  <si>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</si>
  <si>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</si>
  <si>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</si>
  <si>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</si>
  <si>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</si>
  <si>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</si>
  <si>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</si>
  <si>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</si>
  <si>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</si>
  <si>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</si>
  <si>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</si>
  <si>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</si>
  <si>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</si>
  <si>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</si>
  <si>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</si>
  <si>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</si>
  <si>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</si>
  <si>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</si>
  <si>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</si>
  <si>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</si>
  <si>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</si>
  <si>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</si>
  <si>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</si>
  <si>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</si>
  <si>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</si>
  <si>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</si>
  <si>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</si>
  <si>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</si>
  <si>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</si>
  <si>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</si>
  <si>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</si>
  <si>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</si>
  <si>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</si>
  <si>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</si>
  <si>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</si>
  <si>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</si>
  <si>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</si>
  <si>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</si>
  <si>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</si>
  <si>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</si>
  <si>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</si>
  <si>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</si>
  <si>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</si>
  <si>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</si>
  <si>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</si>
  <si>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</si>
  <si>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</si>
  <si>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</si>
  <si>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</si>
  <si>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</si>
  <si>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</si>
  <si>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</si>
  <si>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</si>
  <si>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</si>
  <si>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</si>
  <si>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</si>
  <si>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</si>
  <si>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</si>
  <si>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</si>
  <si>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</si>
  <si>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</si>
  <si>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</si>
  <si>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</si>
  <si>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</si>
  <si>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</si>
  <si>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</si>
  <si>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</si>
  <si>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</si>
  <si>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</si>
  <si>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</si>
  <si>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</si>
  <si>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</si>
  <si>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</si>
  <si>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</si>
  <si>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</si>
  <si>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</si>
  <si>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</si>
  <si>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</si>
  <si>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</si>
  <si>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</si>
  <si>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</si>
  <si>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</si>
  <si>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</si>
  <si>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</si>
  <si>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</si>
  <si>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</si>
  <si>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</si>
  <si>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</si>
  <si>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</si>
  <si>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</si>
  <si>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</si>
  <si>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</si>
  <si>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</si>
  <si>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</si>
  <si>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</si>
  <si>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</si>
  <si>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</si>
  <si>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</si>
  <si>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</si>
  <si>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</si>
  <si>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</si>
  <si>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</si>
  <si>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</si>
  <si>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</si>
  <si>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</si>
  <si>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</si>
  <si>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</si>
  <si>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</si>
  <si>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</si>
  <si>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</si>
  <si>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</si>
  <si>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</si>
  <si>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</si>
  <si>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</si>
  <si>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</si>
  <si>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</si>
  <si>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</si>
  <si>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</si>
  <si>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</si>
  <si>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</si>
  <si>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</si>
  <si>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</si>
  <si>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</si>
  <si>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</si>
  <si>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</si>
  <si>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</si>
  <si>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</si>
  <si>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</si>
  <si>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</si>
  <si>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</si>
  <si>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</si>
  <si>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</si>
  <si>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</si>
  <si>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</si>
  <si>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</si>
  <si>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</si>
  <si>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</si>
  <si>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</si>
  <si>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</si>
  <si>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</si>
  <si>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</si>
  <si>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</si>
  <si>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</si>
  <si>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</si>
  <si>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</si>
  <si>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</si>
  <si>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</si>
  <si>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</si>
  <si>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</si>
  <si>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</si>
  <si>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</si>
  <si>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</si>
  <si>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</si>
  <si>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</si>
  <si>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</si>
  <si>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</si>
  <si>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</si>
  <si>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</si>
  <si>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</si>
  <si>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</si>
  <si>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</si>
  <si>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</si>
  <si>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</si>
  <si>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</si>
  <si>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</si>
  <si>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</si>
  <si>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</si>
  <si>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</si>
  <si>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</si>
  <si>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</si>
  <si>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</si>
  <si>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</si>
  <si>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</si>
  <si>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</si>
  <si>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</si>
  <si>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</si>
  <si>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</si>
  <si>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</si>
  <si>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</si>
  <si>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</si>
  <si>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</si>
  <si>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</si>
  <si>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</si>
  <si>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</si>
  <si>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</si>
  <si>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</si>
  <si>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</si>
  <si>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</si>
  <si>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</si>
  <si>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</si>
  <si>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</si>
  <si>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</si>
  <si>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</si>
  <si>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</si>
  <si>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</si>
  <si>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</si>
  <si>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</si>
  <si>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</si>
  <si>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</si>
  <si>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</si>
  <si>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</si>
  <si>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</si>
  <si>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</si>
  <si>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</si>
  <si>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</si>
  <si>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</si>
  <si>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</si>
  <si>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</si>
  <si>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</si>
  <si>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</si>
  <si>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</si>
  <si>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</si>
  <si>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</si>
  <si>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</si>
  <si>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</si>
  <si>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</si>
  <si>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</si>
  <si>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</si>
  <si>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</si>
  <si>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</si>
  <si>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</si>
  <si>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</si>
  <si>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</si>
  <si>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</si>
  <si>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</si>
  <si>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</si>
  <si>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</si>
  <si>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</si>
  <si>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</si>
  <si>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</si>
  <si>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</si>
  <si>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</si>
  <si>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</si>
  <si>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</si>
  <si>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</si>
  <si>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</si>
  <si>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</si>
  <si>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</si>
  <si>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</si>
  <si>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</si>
  <si>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</si>
  <si>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</si>
  <si>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</si>
  <si>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</si>
  <si>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</si>
  <si>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</si>
  <si>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</si>
  <si>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</si>
  <si>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</si>
  <si>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</si>
  <si>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</si>
  <si>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</si>
  <si>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</si>
  <si>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</si>
  <si>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</si>
  <si>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</si>
  <si>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</si>
  <si>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</si>
  <si>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</si>
  <si>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</si>
  <si>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</si>
  <si>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</si>
  <si>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</si>
  <si>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</si>
  <si>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</si>
  <si>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</si>
  <si>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</si>
  <si>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</si>
  <si>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</si>
  <si>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</si>
  <si>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</si>
  <si>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</si>
  <si>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</si>
  <si>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</si>
  <si>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</si>
  <si>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</si>
  <si>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</si>
  <si>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</si>
  <si>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</si>
  <si>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</si>
  <si>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</si>
  <si>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</si>
  <si>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</si>
  <si>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</si>
  <si>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</si>
  <si>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</si>
  <si>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</si>
  <si>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</si>
  <si>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</si>
  <si>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</si>
  <si>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</si>
  <si>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</si>
  <si>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</si>
  <si>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</si>
  <si>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</si>
  <si>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</si>
  <si>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</si>
  <si>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</si>
  <si>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</si>
  <si>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</si>
  <si>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</si>
  <si>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</si>
  <si>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</si>
  <si>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</si>
  <si>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</si>
  <si>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</si>
  <si>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</si>
  <si>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</si>
  <si>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</si>
  <si>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</si>
  <si>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</si>
  <si>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</si>
  <si>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</si>
  <si>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</si>
  <si>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</si>
  <si>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</si>
  <si>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</si>
  <si>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</si>
  <si>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</si>
  <si>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</si>
  <si>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</si>
  <si>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</si>
  <si>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</si>
  <si>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</si>
  <si>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</si>
  <si>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</si>
  <si>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</si>
  <si>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</si>
  <si>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</si>
  <si>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</si>
  <si>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</si>
  <si>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</si>
  <si>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</si>
  <si>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</si>
  <si>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</si>
  <si>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</si>
  <si>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</si>
  <si>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</si>
  <si>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</si>
  <si>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</si>
  <si>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</si>
  <si>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</si>
  <si>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</si>
  <si>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</si>
  <si>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</si>
  <si>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</si>
  <si>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</si>
  <si>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</si>
  <si>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</si>
  <si>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</si>
  <si>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</si>
  <si>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</si>
  <si>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</si>
  <si>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</si>
  <si>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</si>
  <si>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</si>
  <si>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</si>
  <si>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</si>
  <si>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</si>
  <si>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</si>
  <si>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</si>
  <si>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</si>
  <si>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</si>
  <si>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</si>
  <si>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</si>
  <si>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</si>
  <si>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</si>
  <si>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</si>
  <si>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</si>
  <si>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</si>
  <si>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</si>
  <si>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</si>
  <si>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</si>
  <si>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</si>
  <si>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</si>
  <si>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</si>
  <si>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</si>
  <si>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</si>
  <si>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</si>
  <si>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</si>
  <si>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</si>
  <si>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</si>
  <si>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</si>
  <si>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</si>
  <si>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</si>
  <si>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</si>
  <si>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</si>
  <si>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</si>
  <si>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</si>
  <si>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</si>
  <si>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</si>
  <si>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</si>
  <si>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</si>
  <si>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</si>
  <si>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</si>
  <si>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</si>
  <si>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</si>
  <si>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</si>
  <si>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</si>
  <si>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</si>
  <si>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</si>
  <si>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</si>
  <si>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</si>
  <si>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</si>
  <si>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</si>
  <si>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</si>
  <si>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</si>
  <si>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</si>
  <si>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</si>
  <si>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</si>
  <si>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</si>
  <si>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</si>
  <si>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</si>
  <si>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</si>
  <si>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</si>
  <si>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</si>
  <si>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</si>
  <si>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</si>
  <si>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</si>
  <si>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</si>
  <si>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</si>
  <si>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</si>
  <si>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</si>
  <si>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</si>
  <si>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</si>
  <si>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</si>
  <si>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</si>
  <si>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</si>
  <si>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</si>
  <si>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</si>
  <si>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</si>
  <si>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</si>
  <si>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</si>
  <si>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</si>
  <si>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</si>
  <si>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</si>
  <si>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</si>
  <si>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</si>
  <si>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</si>
  <si>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</si>
  <si>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</si>
  <si>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</si>
  <si>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</si>
  <si>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</si>
  <si>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</si>
  <si>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</si>
  <si>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</si>
  <si>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</si>
  <si>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</si>
  <si>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</si>
  <si>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</si>
  <si>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</si>
  <si>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</si>
  <si>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</si>
  <si>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</si>
  <si>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</si>
  <si>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</si>
  <si>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</si>
  <si>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</si>
  <si>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</si>
  <si>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</si>
  <si>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</si>
  <si>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</si>
  <si>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</si>
  <si>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</si>
  <si>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</si>
  <si>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</si>
  <si>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</si>
  <si>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</si>
  <si>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</si>
  <si>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</si>
  <si>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</si>
  <si>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</si>
  <si>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</si>
  <si>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</si>
  <si>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</si>
  <si>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</si>
  <si>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</si>
  <si>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</si>
  <si>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</si>
  <si>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</si>
  <si>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</si>
  <si>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</si>
  <si>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</si>
  <si>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</si>
  <si>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</si>
  <si>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</si>
  <si>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</si>
  <si>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</si>
  <si>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</si>
  <si>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</si>
  <si>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</si>
  <si>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</si>
  <si>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</si>
  <si>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</si>
  <si>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</si>
  <si>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</si>
  <si>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</si>
  <si>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</si>
  <si>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</si>
  <si>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</si>
  <si>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</si>
  <si>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</si>
  <si>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</si>
  <si>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</si>
  <si>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</si>
  <si>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</si>
  <si>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</si>
  <si>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</si>
  <si>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</si>
  <si>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</si>
  <si>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</si>
  <si>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</si>
  <si>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</si>
  <si>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</si>
  <si>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</si>
  <si>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</si>
  <si>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</si>
  <si>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</si>
  <si>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</si>
  <si>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</si>
  <si>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</si>
  <si>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</si>
  <si>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</si>
  <si>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</si>
  <si>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</si>
  <si>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</si>
  <si>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</si>
  <si>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</si>
  <si>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</si>
  <si>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</si>
  <si>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</si>
  <si>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</si>
  <si>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</si>
  <si>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</si>
  <si>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</si>
  <si>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</si>
  <si>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</si>
  <si>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</si>
  <si>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</si>
  <si>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</si>
  <si>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</si>
  <si>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</si>
  <si>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</si>
  <si>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</si>
  <si>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</si>
  <si>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</si>
  <si>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</si>
  <si>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</si>
  <si>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</si>
  <si>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</si>
  <si>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</si>
  <si>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</si>
  <si>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</si>
  <si>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</si>
  <si>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</si>
  <si>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</si>
  <si>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</si>
  <si>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</si>
  <si>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</si>
  <si>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</si>
  <si>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</si>
  <si>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</si>
  <si>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</si>
  <si>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</si>
  <si>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</si>
  <si>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</si>
  <si>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</si>
  <si>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44049</t>
  </si>
  <si>
    <t>NEVELE</t>
  </si>
  <si>
    <t>Eandis (januari 2018); Infrax (juni 2018)</t>
  </si>
  <si>
    <t>MOW (september 2017)</t>
  </si>
  <si>
    <t>referentietaak LNE (2017); Jaarverslag De Lijn (2016)</t>
  </si>
  <si>
    <t>VEA (april 2018)</t>
  </si>
  <si>
    <t>VEA (januari 2017)</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</si>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</sst>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106545.05060111902</c:v>
                </c:pt>
                <c:pt idx="1">
                  <c:v>31129.092018276442</c:v>
                </c:pt>
                <c:pt idx="2">
                  <c:v>1186.5260000000001</c:v>
                </c:pt>
                <c:pt idx="3">
                  <c:v>73599.219830463146</c:v>
                </c:pt>
                <c:pt idx="4">
                  <c:v>6707.6271359357215</c:v>
                </c:pt>
                <c:pt idx="5">
                  <c:v>277610.96554822283</c:v>
                </c:pt>
                <c:pt idx="6">
                  <c:v>351.44589369709638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106545.05060111902</c:v>
                </c:pt>
                <c:pt idx="1">
                  <c:v>31129.092018276442</c:v>
                </c:pt>
                <c:pt idx="2">
                  <c:v>1186.5260000000001</c:v>
                </c:pt>
                <c:pt idx="3">
                  <c:v>73599.219830463146</c:v>
                </c:pt>
                <c:pt idx="4">
                  <c:v>6707.6271359357215</c:v>
                </c:pt>
                <c:pt idx="5">
                  <c:v>277610.96554822283</c:v>
                </c:pt>
                <c:pt idx="6">
                  <c:v>351.44589369709638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19883.872043396444</c:v>
                </c:pt>
                <c:pt idx="2">
                  <c:v>6337.9578996586361</c:v>
                </c:pt>
                <c:pt idx="3">
                  <c:v>250.75763953391771</c:v>
                </c:pt>
                <c:pt idx="4">
                  <c:v>17400.443324863983</c:v>
                </c:pt>
                <c:pt idx="5">
                  <c:v>1320.2687649209456</c:v>
                </c:pt>
                <c:pt idx="6">
                  <c:v>69565.404730046823</c:v>
                </c:pt>
                <c:pt idx="7">
                  <c:v>88.793003028594839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19883.872043396444</c:v>
                </c:pt>
                <c:pt idx="2">
                  <c:v>6337.9578996586361</c:v>
                </c:pt>
                <c:pt idx="3">
                  <c:v>250.75763953391771</c:v>
                </c:pt>
                <c:pt idx="4">
                  <c:v>17400.443324863983</c:v>
                </c:pt>
                <c:pt idx="5">
                  <c:v>1320.2687649209456</c:v>
                </c:pt>
                <c:pt idx="6">
                  <c:v>69565.404730046823</c:v>
                </c:pt>
                <c:pt idx="7">
                  <c:v>88.793003028594839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44049</v>
      </c>
      <c r="B6" s="415"/>
      <c r="C6" s="416"/>
    </row>
    <row r="7" spans="1:7" s="413" customFormat="1" ht="15.75" customHeight="1">
      <c r="A7" s="417" t="str">
        <f>txtMunicipality</f>
        <v>NEVELE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0.21133766940961909</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0.21133766940961909</v>
      </c>
      <c r="C29" s="525">
        <f ca="1">'EF ele_warmte'!B22</f>
        <v>0.23764705882352949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4896</v>
      </c>
      <c r="C9" s="342">
        <v>4994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3449.07</v>
      </c>
    </row>
    <row r="15" spans="1:6">
      <c r="A15" s="348" t="s">
        <v>184</v>
      </c>
      <c r="B15" s="334">
        <v>580</v>
      </c>
    </row>
    <row r="16" spans="1:6">
      <c r="A16" s="348" t="s">
        <v>6</v>
      </c>
      <c r="B16" s="334">
        <v>1800</v>
      </c>
    </row>
    <row r="17" spans="1:6">
      <c r="A17" s="348" t="s">
        <v>7</v>
      </c>
      <c r="B17" s="334">
        <v>1101</v>
      </c>
    </row>
    <row r="18" spans="1:6">
      <c r="A18" s="348" t="s">
        <v>8</v>
      </c>
      <c r="B18" s="334">
        <v>1817</v>
      </c>
    </row>
    <row r="19" spans="1:6">
      <c r="A19" s="348" t="s">
        <v>9</v>
      </c>
      <c r="B19" s="334">
        <v>1864</v>
      </c>
    </row>
    <row r="20" spans="1:6">
      <c r="A20" s="348" t="s">
        <v>10</v>
      </c>
      <c r="B20" s="334">
        <v>977</v>
      </c>
    </row>
    <row r="21" spans="1:6">
      <c r="A21" s="348" t="s">
        <v>11</v>
      </c>
      <c r="B21" s="334">
        <v>10144</v>
      </c>
    </row>
    <row r="22" spans="1:6">
      <c r="A22" s="348" t="s">
        <v>12</v>
      </c>
      <c r="B22" s="334">
        <v>33703</v>
      </c>
    </row>
    <row r="23" spans="1:6">
      <c r="A23" s="348" t="s">
        <v>13</v>
      </c>
      <c r="B23" s="334">
        <v>298</v>
      </c>
    </row>
    <row r="24" spans="1:6">
      <c r="A24" s="348" t="s">
        <v>14</v>
      </c>
      <c r="B24" s="334">
        <v>30</v>
      </c>
    </row>
    <row r="25" spans="1:6">
      <c r="A25" s="348" t="s">
        <v>15</v>
      </c>
      <c r="B25" s="334">
        <v>2363</v>
      </c>
    </row>
    <row r="26" spans="1:6">
      <c r="A26" s="348" t="s">
        <v>16</v>
      </c>
      <c r="B26" s="334">
        <v>289</v>
      </c>
    </row>
    <row r="27" spans="1:6">
      <c r="A27" s="348" t="s">
        <v>17</v>
      </c>
      <c r="B27" s="334">
        <v>6</v>
      </c>
    </row>
    <row r="28" spans="1:6" s="356" customFormat="1">
      <c r="A28" s="355" t="s">
        <v>18</v>
      </c>
      <c r="B28" s="355">
        <v>337674</v>
      </c>
    </row>
    <row r="29" spans="1:6">
      <c r="A29" s="355" t="s">
        <v>744</v>
      </c>
      <c r="B29" s="355">
        <v>295</v>
      </c>
      <c r="C29" s="356"/>
      <c r="D29" s="356"/>
      <c r="E29" s="356"/>
      <c r="F29" s="356"/>
    </row>
    <row r="30" spans="1:6">
      <c r="A30" s="341" t="s">
        <v>745</v>
      </c>
      <c r="B30" s="341">
        <v>54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7966</v>
      </c>
    </row>
    <row r="39" spans="1:6">
      <c r="A39" s="348" t="s">
        <v>30</v>
      </c>
      <c r="B39" s="348" t="s">
        <v>31</v>
      </c>
      <c r="C39" s="334">
        <v>2208</v>
      </c>
      <c r="D39" s="334">
        <v>33952141.155175902</v>
      </c>
      <c r="E39" s="334">
        <v>4563</v>
      </c>
      <c r="F39" s="334">
        <v>21206304.987012502</v>
      </c>
    </row>
    <row r="40" spans="1:6">
      <c r="A40" s="348" t="s">
        <v>30</v>
      </c>
      <c r="B40" s="348" t="s">
        <v>29</v>
      </c>
      <c r="C40" s="334">
        <v>0</v>
      </c>
      <c r="D40" s="334">
        <v>0</v>
      </c>
      <c r="E40" s="334">
        <v>0</v>
      </c>
      <c r="F40" s="334">
        <v>0</v>
      </c>
    </row>
    <row r="41" spans="1:6">
      <c r="A41" s="348" t="s">
        <v>32</v>
      </c>
      <c r="B41" s="348" t="s">
        <v>33</v>
      </c>
      <c r="C41" s="334">
        <v>44</v>
      </c>
      <c r="D41" s="334">
        <v>683098.02245285001</v>
      </c>
      <c r="E41" s="334">
        <v>125</v>
      </c>
      <c r="F41" s="334">
        <v>995215.86739316699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149611.565301061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47011.669338813103</v>
      </c>
      <c r="E47" s="334">
        <v>4</v>
      </c>
      <c r="F47" s="334">
        <v>43630.999266783903</v>
      </c>
    </row>
    <row r="48" spans="1:6">
      <c r="A48" s="348" t="s">
        <v>32</v>
      </c>
      <c r="B48" s="348" t="s">
        <v>29</v>
      </c>
      <c r="C48" s="334">
        <v>20</v>
      </c>
      <c r="D48" s="334">
        <v>1362178.19993405</v>
      </c>
      <c r="E48" s="334">
        <v>33</v>
      </c>
      <c r="F48" s="334">
        <v>627660.22350829502</v>
      </c>
    </row>
    <row r="49" spans="1:6">
      <c r="A49" s="348" t="s">
        <v>32</v>
      </c>
      <c r="B49" s="348" t="s">
        <v>40</v>
      </c>
      <c r="C49" s="334">
        <v>0</v>
      </c>
      <c r="D49" s="334">
        <v>0</v>
      </c>
      <c r="E49" s="334">
        <v>0</v>
      </c>
      <c r="F49" s="334">
        <v>0</v>
      </c>
    </row>
    <row r="50" spans="1:6">
      <c r="A50" s="348" t="s">
        <v>32</v>
      </c>
      <c r="B50" s="348" t="s">
        <v>41</v>
      </c>
      <c r="C50" s="334">
        <v>5</v>
      </c>
      <c r="D50" s="334">
        <v>421995.42393960297</v>
      </c>
      <c r="E50" s="334">
        <v>10</v>
      </c>
      <c r="F50" s="334">
        <v>666799.71340116602</v>
      </c>
    </row>
    <row r="51" spans="1:6">
      <c r="A51" s="348" t="s">
        <v>42</v>
      </c>
      <c r="B51" s="348" t="s">
        <v>43</v>
      </c>
      <c r="C51" s="334">
        <v>16</v>
      </c>
      <c r="D51" s="334">
        <v>87327231.890662596</v>
      </c>
      <c r="E51" s="334">
        <v>189</v>
      </c>
      <c r="F51" s="334">
        <v>4711767.0154646998</v>
      </c>
    </row>
    <row r="52" spans="1:6">
      <c r="A52" s="348" t="s">
        <v>42</v>
      </c>
      <c r="B52" s="348" t="s">
        <v>29</v>
      </c>
      <c r="C52" s="334">
        <v>5</v>
      </c>
      <c r="D52" s="334">
        <v>458641.663743168</v>
      </c>
      <c r="E52" s="334">
        <v>3</v>
      </c>
      <c r="F52" s="334">
        <v>20906.240452216502</v>
      </c>
    </row>
    <row r="53" spans="1:6">
      <c r="A53" s="348" t="s">
        <v>44</v>
      </c>
      <c r="B53" s="348" t="s">
        <v>45</v>
      </c>
      <c r="C53" s="334">
        <v>47</v>
      </c>
      <c r="D53" s="334">
        <v>732594.97428121394</v>
      </c>
      <c r="E53" s="334">
        <v>185</v>
      </c>
      <c r="F53" s="334">
        <v>868217.18716205598</v>
      </c>
    </row>
    <row r="54" spans="1:6">
      <c r="A54" s="348" t="s">
        <v>46</v>
      </c>
      <c r="B54" s="348" t="s">
        <v>47</v>
      </c>
      <c r="C54" s="334">
        <v>0</v>
      </c>
      <c r="D54" s="334">
        <v>0</v>
      </c>
      <c r="E54" s="334">
        <v>6</v>
      </c>
      <c r="F54" s="334">
        <v>1186526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858439.66564386804</v>
      </c>
      <c r="E57" s="334">
        <v>61</v>
      </c>
      <c r="F57" s="334">
        <v>1017055.75184973</v>
      </c>
    </row>
    <row r="58" spans="1:6">
      <c r="A58" s="348" t="s">
        <v>49</v>
      </c>
      <c r="B58" s="348" t="s">
        <v>51</v>
      </c>
      <c r="C58" s="334">
        <v>20</v>
      </c>
      <c r="D58" s="334">
        <v>1316850.1155250601</v>
      </c>
      <c r="E58" s="334">
        <v>37</v>
      </c>
      <c r="F58" s="334">
        <v>524969.13650680601</v>
      </c>
    </row>
    <row r="59" spans="1:6">
      <c r="A59" s="348" t="s">
        <v>49</v>
      </c>
      <c r="B59" s="348" t="s">
        <v>52</v>
      </c>
      <c r="C59" s="334">
        <v>33</v>
      </c>
      <c r="D59" s="334">
        <v>980476.15269624803</v>
      </c>
      <c r="E59" s="334">
        <v>141</v>
      </c>
      <c r="F59" s="334">
        <v>3129254.5847967602</v>
      </c>
    </row>
    <row r="60" spans="1:6">
      <c r="A60" s="348" t="s">
        <v>49</v>
      </c>
      <c r="B60" s="348" t="s">
        <v>53</v>
      </c>
      <c r="C60" s="334">
        <v>26</v>
      </c>
      <c r="D60" s="334">
        <v>1102798.89211426</v>
      </c>
      <c r="E60" s="334">
        <v>47</v>
      </c>
      <c r="F60" s="334">
        <v>843555.69170668197</v>
      </c>
    </row>
    <row r="61" spans="1:6">
      <c r="A61" s="348" t="s">
        <v>49</v>
      </c>
      <c r="B61" s="348" t="s">
        <v>54</v>
      </c>
      <c r="C61" s="334">
        <v>66</v>
      </c>
      <c r="D61" s="334">
        <v>3285452.4189583701</v>
      </c>
      <c r="E61" s="334">
        <v>270</v>
      </c>
      <c r="F61" s="334">
        <v>6055554.80415997</v>
      </c>
    </row>
    <row r="62" spans="1:6">
      <c r="A62" s="348" t="s">
        <v>49</v>
      </c>
      <c r="B62" s="348" t="s">
        <v>55</v>
      </c>
      <c r="C62" s="334">
        <v>0</v>
      </c>
      <c r="D62" s="334">
        <v>0</v>
      </c>
      <c r="E62" s="334">
        <v>3</v>
      </c>
      <c r="F62" s="334">
        <v>23080.67992137</v>
      </c>
    </row>
    <row r="63" spans="1:6">
      <c r="A63" s="348" t="s">
        <v>49</v>
      </c>
      <c r="B63" s="348" t="s">
        <v>29</v>
      </c>
      <c r="C63" s="334">
        <v>86</v>
      </c>
      <c r="D63" s="334">
        <v>8386730.30376291</v>
      </c>
      <c r="E63" s="334">
        <v>97</v>
      </c>
      <c r="F63" s="334">
        <v>1655309.86934995</v>
      </c>
    </row>
    <row r="64" spans="1:6">
      <c r="A64" s="348" t="s">
        <v>56</v>
      </c>
      <c r="B64" s="348" t="s">
        <v>57</v>
      </c>
      <c r="C64" s="334">
        <v>0</v>
      </c>
      <c r="D64" s="334">
        <v>0</v>
      </c>
      <c r="E64" s="334">
        <v>0</v>
      </c>
      <c r="F64" s="334">
        <v>0</v>
      </c>
    </row>
    <row r="65" spans="1:6">
      <c r="A65" s="348" t="s">
        <v>56</v>
      </c>
      <c r="B65" s="348" t="s">
        <v>29</v>
      </c>
      <c r="C65" s="334">
        <v>3</v>
      </c>
      <c r="D65" s="334">
        <v>61667.783478949699</v>
      </c>
      <c r="E65" s="334">
        <v>3</v>
      </c>
      <c r="F65" s="334">
        <v>22052.722176871001</v>
      </c>
    </row>
    <row r="66" spans="1:6">
      <c r="A66" s="348" t="s">
        <v>56</v>
      </c>
      <c r="B66" s="348" t="s">
        <v>58</v>
      </c>
      <c r="C66" s="334">
        <v>0</v>
      </c>
      <c r="D66" s="334">
        <v>0</v>
      </c>
      <c r="E66" s="334">
        <v>4</v>
      </c>
      <c r="F66" s="334">
        <v>191871.71648171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28253810</v>
      </c>
      <c r="E73" s="475">
        <v>27168693.147626031</v>
      </c>
    </row>
    <row r="74" spans="1:6">
      <c r="A74" s="348" t="s">
        <v>64</v>
      </c>
      <c r="B74" s="348" t="s">
        <v>657</v>
      </c>
      <c r="C74" s="1295" t="s">
        <v>659</v>
      </c>
      <c r="D74" s="475">
        <v>2636960</v>
      </c>
      <c r="E74" s="475">
        <v>2470917.8494675634</v>
      </c>
    </row>
    <row r="75" spans="1:6">
      <c r="A75" s="348" t="s">
        <v>65</v>
      </c>
      <c r="B75" s="348" t="s">
        <v>656</v>
      </c>
      <c r="C75" s="1295" t="s">
        <v>660</v>
      </c>
      <c r="D75" s="475">
        <v>36772687</v>
      </c>
      <c r="E75" s="475">
        <v>37459307.701985493</v>
      </c>
    </row>
    <row r="76" spans="1:6">
      <c r="A76" s="348" t="s">
        <v>65</v>
      </c>
      <c r="B76" s="348" t="s">
        <v>657</v>
      </c>
      <c r="C76" s="1295" t="s">
        <v>661</v>
      </c>
      <c r="D76" s="475">
        <v>2757477</v>
      </c>
      <c r="E76" s="475">
        <v>2723193.6926225428</v>
      </c>
    </row>
    <row r="77" spans="1:6">
      <c r="A77" s="348" t="s">
        <v>66</v>
      </c>
      <c r="B77" s="348" t="s">
        <v>656</v>
      </c>
      <c r="C77" s="1295" t="s">
        <v>662</v>
      </c>
      <c r="D77" s="475">
        <v>190240609</v>
      </c>
      <c r="E77" s="475">
        <v>193064775.34342694</v>
      </c>
    </row>
    <row r="78" spans="1:6">
      <c r="A78" s="341" t="s">
        <v>66</v>
      </c>
      <c r="B78" s="341" t="s">
        <v>657</v>
      </c>
      <c r="C78" s="341" t="s">
        <v>663</v>
      </c>
      <c r="D78" s="1296">
        <v>31722188</v>
      </c>
      <c r="E78" s="1296">
        <v>32578738.177524697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95318</v>
      </c>
      <c r="C83" s="475">
        <v>94951.672125617464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2793.6615606097353</v>
      </c>
    </row>
    <row r="92" spans="1:6">
      <c r="A92" s="341" t="s">
        <v>69</v>
      </c>
      <c r="B92" s="342">
        <v>871.63046634250873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418</v>
      </c>
    </row>
    <row r="98" spans="1:6">
      <c r="A98" s="348" t="s">
        <v>72</v>
      </c>
      <c r="B98" s="334">
        <v>0</v>
      </c>
    </row>
    <row r="99" spans="1:6">
      <c r="A99" s="348" t="s">
        <v>73</v>
      </c>
      <c r="B99" s="334">
        <v>183</v>
      </c>
    </row>
    <row r="100" spans="1:6">
      <c r="A100" s="348" t="s">
        <v>74</v>
      </c>
      <c r="B100" s="334">
        <v>540</v>
      </c>
    </row>
    <row r="101" spans="1:6">
      <c r="A101" s="348" t="s">
        <v>75</v>
      </c>
      <c r="B101" s="334">
        <v>124</v>
      </c>
    </row>
    <row r="102" spans="1:6">
      <c r="A102" s="348" t="s">
        <v>76</v>
      </c>
      <c r="B102" s="334">
        <v>87</v>
      </c>
    </row>
    <row r="103" spans="1:6">
      <c r="A103" s="348" t="s">
        <v>77</v>
      </c>
      <c r="B103" s="334">
        <v>228</v>
      </c>
    </row>
    <row r="104" spans="1:6">
      <c r="A104" s="348" t="s">
        <v>78</v>
      </c>
      <c r="B104" s="334">
        <v>2518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6</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46619.504803183438</v>
      </c>
      <c r="C3" s="43" t="s">
        <v>170</v>
      </c>
      <c r="D3" s="43"/>
      <c r="E3" s="154"/>
      <c r="F3" s="43"/>
      <c r="G3" s="43"/>
      <c r="H3" s="43"/>
      <c r="I3" s="43"/>
      <c r="J3" s="43"/>
      <c r="K3" s="96"/>
    </row>
    <row r="4" spans="1:11">
      <c r="A4" s="383" t="s">
        <v>171</v>
      </c>
      <c r="B4" s="49">
        <f>IF(ISERROR('SEAP template'!B78+'SEAP template'!C78),0,'SEAP template'!B78+'SEAP template'!C78)</f>
        <v>25265.292026952244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5133.176470588237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0.21133766940961909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7333.1092436974805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30857.142857142855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1186.5260000000001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1186.5260000000001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0.21133766940961909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250.75763953391771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21206.304987012503</v>
      </c>
      <c r="C5" s="17">
        <f>IF(ISERROR('Eigen informatie GS &amp; warmtenet'!B57),0,'Eigen informatie GS &amp; warmtenet'!B57)</f>
        <v>0</v>
      </c>
      <c r="D5" s="30">
        <f>(SUM(HH_hh_gas_kWh,HH_rest_gas_kWh)/1000)*0.902</f>
        <v>30624.831321968664</v>
      </c>
      <c r="E5" s="17">
        <f>B46*B57</f>
        <v>7685.4317225223749</v>
      </c>
      <c r="F5" s="17">
        <f>B51*B62</f>
        <v>23480.675983834826</v>
      </c>
      <c r="G5" s="18"/>
      <c r="H5" s="17"/>
      <c r="I5" s="17"/>
      <c r="J5" s="17">
        <f>B50*B61+C50*C61</f>
        <v>1727.7560214095747</v>
      </c>
      <c r="K5" s="17"/>
      <c r="L5" s="17"/>
      <c r="M5" s="17"/>
      <c r="N5" s="17">
        <f>B48*B59+C48*C59</f>
        <v>17747.269003761347</v>
      </c>
      <c r="O5" s="17">
        <f>B69*B70*B71</f>
        <v>287.65333333333336</v>
      </c>
      <c r="P5" s="17">
        <f>B77*B78*B79/1000-B77*B78*B79/1000/B80</f>
        <v>991.4666666666667</v>
      </c>
    </row>
    <row r="6" spans="1:16">
      <c r="A6" s="16" t="s">
        <v>621</v>
      </c>
      <c r="B6" s="788">
        <f>kWh_PV_kleiner_dan_10kW</f>
        <v>2793.6615606097353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23999.96654762224</v>
      </c>
      <c r="C8" s="21">
        <f>C5</f>
        <v>0</v>
      </c>
      <c r="D8" s="21">
        <f>D5</f>
        <v>30624.831321968664</v>
      </c>
      <c r="E8" s="21">
        <f>E5</f>
        <v>7685.4317225223749</v>
      </c>
      <c r="F8" s="21">
        <f>F5</f>
        <v>23480.675983834826</v>
      </c>
      <c r="G8" s="21"/>
      <c r="H8" s="21"/>
      <c r="I8" s="21"/>
      <c r="J8" s="21">
        <f>J5</f>
        <v>1727.7560214095747</v>
      </c>
      <c r="K8" s="21"/>
      <c r="L8" s="21">
        <f>L5</f>
        <v>0</v>
      </c>
      <c r="M8" s="21">
        <f>M5</f>
        <v>0</v>
      </c>
      <c r="N8" s="21">
        <f>N5</f>
        <v>17747.269003761347</v>
      </c>
      <c r="O8" s="21">
        <f>O5</f>
        <v>287.65333333333336</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0.21133766940961909</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5072.0969960833063</v>
      </c>
      <c r="C12" s="23">
        <f ca="1">C10*C8</f>
        <v>0</v>
      </c>
      <c r="D12" s="23">
        <f>D8*D10</f>
        <v>6186.2159270376706</v>
      </c>
      <c r="E12" s="23">
        <f>E10*E8</f>
        <v>1744.5930010125792</v>
      </c>
      <c r="F12" s="23">
        <f>F10*F8</f>
        <v>6269.3404876838986</v>
      </c>
      <c r="G12" s="23"/>
      <c r="H12" s="23"/>
      <c r="I12" s="23"/>
      <c r="J12" s="23">
        <f>J10*J8</f>
        <v>611.62563157898944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418</v>
      </c>
      <c r="C18" s="166" t="s">
        <v>111</v>
      </c>
      <c r="D18" s="228"/>
      <c r="E18" s="15"/>
    </row>
    <row r="19" spans="1:7">
      <c r="A19" s="171" t="s">
        <v>72</v>
      </c>
      <c r="B19" s="37">
        <f>aantalw2001_ander</f>
        <v>0</v>
      </c>
      <c r="C19" s="166" t="s">
        <v>111</v>
      </c>
      <c r="D19" s="229"/>
      <c r="E19" s="15"/>
    </row>
    <row r="20" spans="1:7">
      <c r="A20" s="171" t="s">
        <v>73</v>
      </c>
      <c r="B20" s="37">
        <f>aantalw2001_propaan</f>
        <v>183</v>
      </c>
      <c r="C20" s="167">
        <f>IF(ISERROR(B20/SUM($B$20,$B$21,$B$22)*100),0,B20/SUM($B$20,$B$21,$B$22)*100)</f>
        <v>21.605667060212514</v>
      </c>
      <c r="D20" s="229"/>
      <c r="E20" s="15"/>
    </row>
    <row r="21" spans="1:7">
      <c r="A21" s="171" t="s">
        <v>74</v>
      </c>
      <c r="B21" s="37">
        <f>aantalw2001_elektriciteit</f>
        <v>540</v>
      </c>
      <c r="C21" s="167">
        <f>IF(ISERROR(B21/SUM($B$20,$B$21,$B$22)*100),0,B21/SUM($B$20,$B$21,$B$22)*100)</f>
        <v>63.754427390791022</v>
      </c>
      <c r="D21" s="229"/>
      <c r="E21" s="15"/>
    </row>
    <row r="22" spans="1:7">
      <c r="A22" s="171" t="s">
        <v>75</v>
      </c>
      <c r="B22" s="37">
        <f>aantalw2001_hout</f>
        <v>124</v>
      </c>
      <c r="C22" s="167">
        <f>IF(ISERROR(B22/SUM($B$20,$B$21,$B$22)*100),0,B22/SUM($B$20,$B$21,$B$22)*100)</f>
        <v>14.639905548996456</v>
      </c>
      <c r="D22" s="229"/>
      <c r="E22" s="15"/>
    </row>
    <row r="23" spans="1:7">
      <c r="A23" s="171" t="s">
        <v>76</v>
      </c>
      <c r="B23" s="37">
        <f>aantalw2001_niet_gespec</f>
        <v>87</v>
      </c>
      <c r="C23" s="166" t="s">
        <v>111</v>
      </c>
      <c r="D23" s="228"/>
      <c r="E23" s="15"/>
    </row>
    <row r="24" spans="1:7">
      <c r="A24" s="171" t="s">
        <v>77</v>
      </c>
      <c r="B24" s="37">
        <f>aantalw2001_steenkool</f>
        <v>228</v>
      </c>
      <c r="C24" s="166" t="s">
        <v>111</v>
      </c>
      <c r="D24" s="229"/>
      <c r="E24" s="15"/>
    </row>
    <row r="25" spans="1:7">
      <c r="A25" s="171" t="s">
        <v>78</v>
      </c>
      <c r="B25" s="37">
        <f>aantalw2001_stookolie</f>
        <v>2518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4896</v>
      </c>
      <c r="C28" s="36"/>
      <c r="D28" s="228"/>
    </row>
    <row r="29" spans="1:7" s="15" customFormat="1">
      <c r="A29" s="230" t="s">
        <v>794</v>
      </c>
      <c r="B29" s="37">
        <f>SUM(HH_hh_gas_aantal,HH_rest_gas_aantal)</f>
        <v>2208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2208</v>
      </c>
      <c r="C32" s="167">
        <f>IF(ISERROR(B32/SUM($B$32,$B$34,$B$35,$B$36,$B$38,$B$39)*100),0,B32/SUM($B$32,$B$34,$B$35,$B$36,$B$38,$B$39)*100)</f>
        <v>45.582163501238647</v>
      </c>
      <c r="D32" s="233"/>
      <c r="G32" s="15"/>
    </row>
    <row r="33" spans="1:7">
      <c r="A33" s="171" t="s">
        <v>72</v>
      </c>
      <c r="B33" s="34" t="s">
        <v>111</v>
      </c>
      <c r="C33" s="167"/>
      <c r="D33" s="233"/>
      <c r="G33" s="15"/>
    </row>
    <row r="34" spans="1:7">
      <c r="A34" s="171" t="s">
        <v>73</v>
      </c>
      <c r="B34" s="33">
        <f>IF((($B$28-$B$32-$B$39-$B$77-$B$38)*C20/100)&lt;0,0,($B$28-$B$32-$B$39-$B$77-$B$38)*C20/100)</f>
        <v>362.97520661157023</v>
      </c>
      <c r="C34" s="167">
        <f>IF(ISERROR(B34/SUM($B$32,$B$34,$B$35,$B$36,$B$38,$B$39)*100),0,B34/SUM($B$32,$B$34,$B$35,$B$36,$B$38,$B$39)*100)</f>
        <v>7.4932949341777508</v>
      </c>
      <c r="D34" s="233"/>
      <c r="G34" s="15"/>
    </row>
    <row r="35" spans="1:7">
      <c r="A35" s="171" t="s">
        <v>74</v>
      </c>
      <c r="B35" s="33">
        <f>IF((($B$28-$B$32-$B$39-$B$77-$B$38)*C21/100)&lt;0,0,($B$28-$B$32-$B$39-$B$77-$B$38)*C21/100)</f>
        <v>1071.0743801652891</v>
      </c>
      <c r="C35" s="167">
        <f>IF(ISERROR(B35/SUM($B$32,$B$34,$B$35,$B$36,$B$38,$B$39)*100),0,B35/SUM($B$32,$B$34,$B$35,$B$36,$B$38,$B$39)*100)</f>
        <v>22.111362100852375</v>
      </c>
      <c r="D35" s="233"/>
      <c r="G35" s="15"/>
    </row>
    <row r="36" spans="1:7">
      <c r="A36" s="171" t="s">
        <v>75</v>
      </c>
      <c r="B36" s="33">
        <f>IF((($B$28-$B$32-$B$39-$B$77-$B$38)*C22/100)&lt;0,0,($B$28-$B$32-$B$39-$B$77-$B$38)*C22/100)</f>
        <v>245.95041322314046</v>
      </c>
      <c r="C36" s="167">
        <f>IF(ISERROR(B36/SUM($B$32,$B$34,$B$35,$B$36,$B$38,$B$39)*100),0,B36/SUM($B$32,$B$34,$B$35,$B$36,$B$38,$B$39)*100)</f>
        <v>5.0774238898253605</v>
      </c>
      <c r="D36" s="233"/>
      <c r="G36" s="15"/>
    </row>
    <row r="37" spans="1:7">
      <c r="A37" s="171" t="s">
        <v>76</v>
      </c>
      <c r="B37" s="34" t="s">
        <v>111</v>
      </c>
      <c r="C37" s="167"/>
      <c r="D37" s="173"/>
      <c r="G37" s="15"/>
    </row>
    <row r="38" spans="1:7">
      <c r="A38" s="171" t="s">
        <v>77</v>
      </c>
      <c r="B38" s="33">
        <f>IF((B24-(B29-B18)*0.1)&lt;0,0,B24-(B29-B18)*0.1)</f>
        <v>49</v>
      </c>
      <c r="C38" s="167">
        <f>IF(ISERROR(B38/SUM($B$32,$B$34,$B$35,$B$36,$B$38,$B$39)*100),0,B38/SUM($B$32,$B$34,$B$35,$B$36,$B$38,$B$39)*100)</f>
        <v>1.0115606936416186</v>
      </c>
      <c r="D38" s="234"/>
      <c r="G38" s="15"/>
    </row>
    <row r="39" spans="1:7">
      <c r="A39" s="171" t="s">
        <v>78</v>
      </c>
      <c r="B39" s="33">
        <f>IF((B25-(B29-B18))&lt;0,0,B25-(B29-B18)*0.9)</f>
        <v>907</v>
      </c>
      <c r="C39" s="167">
        <f>IF(ISERROR(B39/SUM($B$32,$B$34,$B$35,$B$36,$B$38,$B$39)*100),0,B39/SUM($B$32,$B$34,$B$35,$B$36,$B$38,$B$39)*100)</f>
        <v>18.724194880264243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2208</v>
      </c>
      <c r="C44" s="34" t="s">
        <v>111</v>
      </c>
      <c r="D44" s="174"/>
    </row>
    <row r="45" spans="1:7">
      <c r="A45" s="171" t="s">
        <v>72</v>
      </c>
      <c r="B45" s="33" t="str">
        <f t="shared" si="0"/>
        <v>-</v>
      </c>
      <c r="C45" s="34" t="s">
        <v>111</v>
      </c>
      <c r="D45" s="174"/>
    </row>
    <row r="46" spans="1:7">
      <c r="A46" s="171" t="s">
        <v>73</v>
      </c>
      <c r="B46" s="33">
        <f t="shared" si="0"/>
        <v>362.97520661157023</v>
      </c>
      <c r="C46" s="34" t="s">
        <v>111</v>
      </c>
      <c r="D46" s="174"/>
    </row>
    <row r="47" spans="1:7">
      <c r="A47" s="171" t="s">
        <v>74</v>
      </c>
      <c r="B47" s="33">
        <f t="shared" si="0"/>
        <v>1071.0743801652891</v>
      </c>
      <c r="C47" s="34" t="s">
        <v>111</v>
      </c>
      <c r="D47" s="174"/>
    </row>
    <row r="48" spans="1:7">
      <c r="A48" s="171" t="s">
        <v>75</v>
      </c>
      <c r="B48" s="33">
        <f t="shared" si="0"/>
        <v>245.95041322314046</v>
      </c>
      <c r="C48" s="33">
        <f>B48*10</f>
        <v>2459.5041322314046</v>
      </c>
      <c r="D48" s="234"/>
    </row>
    <row r="49" spans="1:6">
      <c r="A49" s="171" t="s">
        <v>76</v>
      </c>
      <c r="B49" s="33" t="str">
        <f t="shared" si="0"/>
        <v>-</v>
      </c>
      <c r="C49" s="34" t="s">
        <v>111</v>
      </c>
      <c r="D49" s="234"/>
    </row>
    <row r="50" spans="1:6">
      <c r="A50" s="171" t="s">
        <v>77</v>
      </c>
      <c r="B50" s="33">
        <f t="shared" si="0"/>
        <v>49</v>
      </c>
      <c r="C50" s="33">
        <f>B50*2</f>
        <v>98</v>
      </c>
      <c r="D50" s="234"/>
    </row>
    <row r="51" spans="1:6">
      <c r="A51" s="171" t="s">
        <v>78</v>
      </c>
      <c r="B51" s="33">
        <f t="shared" si="0"/>
        <v>907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13248.780518291271</v>
      </c>
      <c r="C5" s="17">
        <f>IF(ISERROR('Eigen informatie GS &amp; warmtenet'!B58),0,'Eigen informatie GS &amp; warmtenet'!B58)</f>
        <v>0</v>
      </c>
      <c r="D5" s="30">
        <f>SUM(D6:D12)</f>
        <v>14369.534288928045</v>
      </c>
      <c r="E5" s="17">
        <f>SUM(E6:E12)</f>
        <v>147.76423051946986</v>
      </c>
      <c r="F5" s="17">
        <f>SUM(F6:F12)</f>
        <v>2253.9095945297731</v>
      </c>
      <c r="G5" s="18"/>
      <c r="H5" s="17"/>
      <c r="I5" s="17"/>
      <c r="J5" s="17">
        <f>SUM(J6:J12)</f>
        <v>2.6084668247080764E-2</v>
      </c>
      <c r="K5" s="17"/>
      <c r="L5" s="17"/>
      <c r="M5" s="17"/>
      <c r="N5" s="17">
        <f>SUM(N6:N12)</f>
        <v>1042.4973013396345</v>
      </c>
      <c r="O5" s="17">
        <f>B38*B39*B40</f>
        <v>9.3800000000000008</v>
      </c>
      <c r="P5" s="17">
        <f>B46*B47*B48/1000-B46*B47*B48/1000/B49</f>
        <v>57.2</v>
      </c>
      <c r="R5" s="32"/>
    </row>
    <row r="6" spans="1:18">
      <c r="A6" s="32" t="s">
        <v>54</v>
      </c>
      <c r="B6" s="37">
        <f>B26</f>
        <v>6055.5548041599704</v>
      </c>
      <c r="C6" s="33"/>
      <c r="D6" s="37">
        <f>IF(ISERROR(TER_kantoor_gas_kWh/1000),0,TER_kantoor_gas_kWh/1000)*0.902</f>
        <v>2963.4780819004495</v>
      </c>
      <c r="E6" s="33">
        <f>$C$26*'E Balans VL '!I12/100/3.6*1000000</f>
        <v>3.7954203466499706E-2</v>
      </c>
      <c r="F6" s="33">
        <f>$C$26*('E Balans VL '!L12+'E Balans VL '!N12)/100/3.6*1000000</f>
        <v>909.98067872597937</v>
      </c>
      <c r="G6" s="34"/>
      <c r="H6" s="33"/>
      <c r="I6" s="33"/>
      <c r="J6" s="33">
        <f>$C$26*('E Balans VL '!D12+'E Balans VL '!E12)/100/3.6*1000000</f>
        <v>0</v>
      </c>
      <c r="K6" s="33"/>
      <c r="L6" s="33"/>
      <c r="M6" s="33"/>
      <c r="N6" s="33">
        <f>$C$26*'E Balans VL '!Y12/100/3.6*1000000</f>
        <v>5.7912403356471929</v>
      </c>
      <c r="O6" s="33"/>
      <c r="P6" s="33"/>
      <c r="R6" s="32"/>
    </row>
    <row r="7" spans="1:18">
      <c r="A7" s="32" t="s">
        <v>53</v>
      </c>
      <c r="B7" s="37">
        <f t="shared" ref="B7:B12" si="0">B27</f>
        <v>843.55569170668196</v>
      </c>
      <c r="C7" s="33"/>
      <c r="D7" s="37">
        <f>IF(ISERROR(TER_horeca_gas_kWh/1000),0,TER_horeca_gas_kWh/1000)*0.902</f>
        <v>994.72460068706266</v>
      </c>
      <c r="E7" s="33">
        <f>$C$27*'E Balans VL '!I9/100/3.6*1000000</f>
        <v>12.079576995684453</v>
      </c>
      <c r="F7" s="33">
        <f>$C$27*('E Balans VL '!L9+'E Balans VL '!N9)/100/3.6*1000000</f>
        <v>106.82197210862721</v>
      </c>
      <c r="G7" s="34"/>
      <c r="H7" s="33"/>
      <c r="I7" s="33"/>
      <c r="J7" s="33">
        <f>$C$27*('E Balans VL '!D9+'E Balans VL '!E9)/100/3.6*1000000</f>
        <v>0</v>
      </c>
      <c r="K7" s="33"/>
      <c r="L7" s="33"/>
      <c r="M7" s="33"/>
      <c r="N7" s="33">
        <f>$C$27*'E Balans VL '!Y9/100/3.6*1000000</f>
        <v>0.24250366255918421</v>
      </c>
      <c r="O7" s="33"/>
      <c r="P7" s="33"/>
      <c r="R7" s="32"/>
    </row>
    <row r="8" spans="1:18">
      <c r="A8" s="6" t="s">
        <v>52</v>
      </c>
      <c r="B8" s="37">
        <f t="shared" si="0"/>
        <v>3129.2545847967604</v>
      </c>
      <c r="C8" s="33"/>
      <c r="D8" s="37">
        <f>IF(ISERROR(TER_handel_gas_kWh/1000),0,TER_handel_gas_kWh/1000)*0.902</f>
        <v>884.38948973201582</v>
      </c>
      <c r="E8" s="33">
        <f>$C$28*'E Balans VL '!I13/100/3.6*1000000</f>
        <v>113.49767790819124</v>
      </c>
      <c r="F8" s="33">
        <f>$C$28*('E Balans VL '!L13+'E Balans VL '!N13)/100/3.6*1000000</f>
        <v>602.72611874904226</v>
      </c>
      <c r="G8" s="34"/>
      <c r="H8" s="33"/>
      <c r="I8" s="33"/>
      <c r="J8" s="33">
        <f>$C$28*('E Balans VL '!D13+'E Balans VL '!E13)/100/3.6*1000000</f>
        <v>0</v>
      </c>
      <c r="K8" s="33"/>
      <c r="L8" s="33"/>
      <c r="M8" s="33"/>
      <c r="N8" s="33">
        <f>$C$28*'E Balans VL '!Y13/100/3.6*1000000</f>
        <v>4.3347376093120191</v>
      </c>
      <c r="O8" s="33"/>
      <c r="P8" s="33"/>
      <c r="R8" s="32"/>
    </row>
    <row r="9" spans="1:18">
      <c r="A9" s="32" t="s">
        <v>51</v>
      </c>
      <c r="B9" s="37">
        <f t="shared" si="0"/>
        <v>524.96913650680597</v>
      </c>
      <c r="C9" s="33"/>
      <c r="D9" s="37">
        <f>IF(ISERROR(TER_gezond_gas_kWh/1000),0,TER_gezond_gas_kWh/1000)*0.902</f>
        <v>1187.7988042036043</v>
      </c>
      <c r="E9" s="33">
        <f>$C$29*'E Balans VL '!I10/100/3.6*1000000</f>
        <v>3.2868251079161775E-2</v>
      </c>
      <c r="F9" s="33">
        <f>$C$29*('E Balans VL '!L10+'E Balans VL '!N10)/100/3.6*1000000</f>
        <v>77.985763606885143</v>
      </c>
      <c r="G9" s="34"/>
      <c r="H9" s="33"/>
      <c r="I9" s="33"/>
      <c r="J9" s="33">
        <f>$C$29*('E Balans VL '!D10+'E Balans VL '!E10)/100/3.6*1000000</f>
        <v>0</v>
      </c>
      <c r="K9" s="33"/>
      <c r="L9" s="33"/>
      <c r="M9" s="33"/>
      <c r="N9" s="33">
        <f>$C$29*'E Balans VL '!Y10/100/3.6*1000000</f>
        <v>8.1202732586789335</v>
      </c>
      <c r="O9" s="33"/>
      <c r="P9" s="33"/>
      <c r="R9" s="32"/>
    </row>
    <row r="10" spans="1:18">
      <c r="A10" s="32" t="s">
        <v>50</v>
      </c>
      <c r="B10" s="37">
        <f t="shared" si="0"/>
        <v>1017.0557518497301</v>
      </c>
      <c r="C10" s="33"/>
      <c r="D10" s="37">
        <f>IF(ISERROR(TER_ander_gas_kWh/1000),0,TER_ander_gas_kWh/1000)*0.902</f>
        <v>774.31257841076899</v>
      </c>
      <c r="E10" s="33">
        <f>$C$30*'E Balans VL '!I14/100/3.6*1000000</f>
        <v>1.212294112773268</v>
      </c>
      <c r="F10" s="33">
        <f>$C$30*('E Balans VL '!L14+'E Balans VL '!N14)/100/3.6*1000000</f>
        <v>266.10699943130828</v>
      </c>
      <c r="G10" s="34"/>
      <c r="H10" s="33"/>
      <c r="I10" s="33"/>
      <c r="J10" s="33">
        <f>$C$30*('E Balans VL '!D14+'E Balans VL '!E14)/100/3.6*1000000</f>
        <v>2.2076293624192327E-2</v>
      </c>
      <c r="K10" s="33"/>
      <c r="L10" s="33"/>
      <c r="M10" s="33"/>
      <c r="N10" s="33">
        <f>$C$30*'E Balans VL '!Y14/100/3.6*1000000</f>
        <v>863.65885746685262</v>
      </c>
      <c r="O10" s="33"/>
      <c r="P10" s="33"/>
      <c r="R10" s="32"/>
    </row>
    <row r="11" spans="1:18">
      <c r="A11" s="32" t="s">
        <v>55</v>
      </c>
      <c r="B11" s="37">
        <f t="shared" si="0"/>
        <v>23.080679921369999</v>
      </c>
      <c r="C11" s="33"/>
      <c r="D11" s="37">
        <f>IF(ISERROR(TER_onderwijs_gas_kWh/1000),0,TER_onderwijs_gas_kWh/1000)*0.902</f>
        <v>0</v>
      </c>
      <c r="E11" s="33">
        <f>$C$31*'E Balans VL '!I11/100/3.6*1000000</f>
        <v>0.34825028504350336</v>
      </c>
      <c r="F11" s="33">
        <f>$C$31*('E Balans VL '!L11+'E Balans VL '!N11)/100/3.6*1000000</f>
        <v>4.0441038470552089</v>
      </c>
      <c r="G11" s="34"/>
      <c r="H11" s="33"/>
      <c r="I11" s="33"/>
      <c r="J11" s="33">
        <f>$C$31*('E Balans VL '!D11+'E Balans VL '!E11)/100/3.6*1000000</f>
        <v>0</v>
      </c>
      <c r="K11" s="33"/>
      <c r="L11" s="33"/>
      <c r="M11" s="33"/>
      <c r="N11" s="33">
        <f>$C$31*'E Balans VL '!Y11/100/3.6*1000000</f>
        <v>6.4950787958843556E-2</v>
      </c>
      <c r="O11" s="33"/>
      <c r="P11" s="33"/>
      <c r="R11" s="32"/>
    </row>
    <row r="12" spans="1:18">
      <c r="A12" s="32" t="s">
        <v>260</v>
      </c>
      <c r="B12" s="37">
        <f t="shared" si="0"/>
        <v>1655.3098693499501</v>
      </c>
      <c r="C12" s="33"/>
      <c r="D12" s="37">
        <f>IF(ISERROR(TER_rest_gas_kWh/1000),0,TER_rest_gas_kWh/1000)*0.902</f>
        <v>7564.8307339941448</v>
      </c>
      <c r="E12" s="33">
        <f>$C$32*'E Balans VL '!I8/100/3.6*1000000</f>
        <v>20.555608763231724</v>
      </c>
      <c r="F12" s="33">
        <f>$C$32*('E Balans VL '!L8+'E Balans VL '!N8)/100/3.6*1000000</f>
        <v>286.24395806087585</v>
      </c>
      <c r="G12" s="34"/>
      <c r="H12" s="33"/>
      <c r="I12" s="33"/>
      <c r="J12" s="33">
        <f>$C$32*('E Balans VL '!D8+'E Balans VL '!E8)/100/3.6*1000000</f>
        <v>4.0083746228884382E-3</v>
      </c>
      <c r="K12" s="33"/>
      <c r="L12" s="33"/>
      <c r="M12" s="33"/>
      <c r="N12" s="33">
        <f>$C$32*'E Balans VL '!Y8/100/3.6*1000000</f>
        <v>160.28473821862571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13248.780518291271</v>
      </c>
      <c r="C16" s="21">
        <f t="shared" ca="1" si="1"/>
        <v>0</v>
      </c>
      <c r="D16" s="21">
        <f t="shared" ca="1" si="1"/>
        <v>14369.534288928045</v>
      </c>
      <c r="E16" s="21">
        <f t="shared" si="1"/>
        <v>147.76423051946986</v>
      </c>
      <c r="F16" s="21">
        <f t="shared" ca="1" si="1"/>
        <v>2253.9095945297731</v>
      </c>
      <c r="G16" s="21">
        <f t="shared" si="1"/>
        <v>0</v>
      </c>
      <c r="H16" s="21">
        <f t="shared" si="1"/>
        <v>0</v>
      </c>
      <c r="I16" s="21">
        <f t="shared" si="1"/>
        <v>0</v>
      </c>
      <c r="J16" s="21">
        <f t="shared" si="1"/>
        <v>2.6084668247080764E-2</v>
      </c>
      <c r="K16" s="21">
        <f t="shared" si="1"/>
        <v>0</v>
      </c>
      <c r="L16" s="21">
        <f t="shared" ca="1" si="1"/>
        <v>0</v>
      </c>
      <c r="M16" s="21">
        <f t="shared" si="1"/>
        <v>0</v>
      </c>
      <c r="N16" s="21">
        <f t="shared" ca="1" si="1"/>
        <v>1042.4973013396345</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0.21133766940961909</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2799.9663972552426</v>
      </c>
      <c r="C20" s="23">
        <f t="shared" ref="C20:P20" ca="1" si="2">C16*C18</f>
        <v>0</v>
      </c>
      <c r="D20" s="23">
        <f t="shared" ca="1" si="2"/>
        <v>2902.6459263634652</v>
      </c>
      <c r="E20" s="23">
        <f t="shared" si="2"/>
        <v>33.542480327919662</v>
      </c>
      <c r="F20" s="23">
        <f t="shared" ca="1" si="2"/>
        <v>601.79386173944943</v>
      </c>
      <c r="G20" s="23">
        <f t="shared" si="2"/>
        <v>0</v>
      </c>
      <c r="H20" s="23">
        <f t="shared" si="2"/>
        <v>0</v>
      </c>
      <c r="I20" s="23">
        <f t="shared" si="2"/>
        <v>0</v>
      </c>
      <c r="J20" s="23">
        <f t="shared" si="2"/>
        <v>9.2339725594665894E-3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6055.5548041599704</v>
      </c>
      <c r="C26" s="39">
        <f>IF(ISERROR(B26*3.6/1000000/'E Balans VL '!Z12*100),0,B26*3.6/1000000/'E Balans VL '!Z12*100)</f>
        <v>0.12800483578627503</v>
      </c>
      <c r="D26" s="237" t="s">
        <v>754</v>
      </c>
      <c r="F26" s="6"/>
    </row>
    <row r="27" spans="1:18">
      <c r="A27" s="231" t="s">
        <v>53</v>
      </c>
      <c r="B27" s="33">
        <f>IF(ISERROR(TER_horeca_ele_kWh/1000),0,TER_horeca_ele_kWh/1000)</f>
        <v>843.55569170668196</v>
      </c>
      <c r="C27" s="39">
        <f>IF(ISERROR(B27*3.6/1000000/'E Balans VL '!Z9*100),0,B27*3.6/1000000/'E Balans VL '!Z9*100)</f>
        <v>6.6497180767980252E-2</v>
      </c>
      <c r="D27" s="237" t="s">
        <v>754</v>
      </c>
      <c r="F27" s="6"/>
    </row>
    <row r="28" spans="1:18">
      <c r="A28" s="171" t="s">
        <v>52</v>
      </c>
      <c r="B28" s="33">
        <f>IF(ISERROR(TER_handel_ele_kWh/1000),0,TER_handel_ele_kWh/1000)</f>
        <v>3129.2545847967604</v>
      </c>
      <c r="C28" s="39">
        <f>IF(ISERROR(B28*3.6/1000000/'E Balans VL '!Z13*100),0,B28*3.6/1000000/'E Balans VL '!Z13*100)</f>
        <v>9.0823611656117728E-2</v>
      </c>
      <c r="D28" s="237" t="s">
        <v>754</v>
      </c>
      <c r="F28" s="6"/>
    </row>
    <row r="29" spans="1:18">
      <c r="A29" s="231" t="s">
        <v>51</v>
      </c>
      <c r="B29" s="33">
        <f>IF(ISERROR(TER_gezond_ele_kWh/1000),0,TER_gezond_ele_kWh/1000)</f>
        <v>524.96913650680597</v>
      </c>
      <c r="C29" s="39">
        <f>IF(ISERROR(B29*3.6/1000000/'E Balans VL '!Z10*100),0,B29*3.6/1000000/'E Balans VL '!Z10*100)</f>
        <v>5.5287870294928612E-2</v>
      </c>
      <c r="D29" s="237" t="s">
        <v>754</v>
      </c>
      <c r="F29" s="6"/>
    </row>
    <row r="30" spans="1:18">
      <c r="A30" s="231" t="s">
        <v>50</v>
      </c>
      <c r="B30" s="33">
        <f>IF(ISERROR(TER_ander_ele_kWh/1000),0,TER_ander_ele_kWh/1000)</f>
        <v>1017.0557518497301</v>
      </c>
      <c r="C30" s="39">
        <f>IF(ISERROR(B30*3.6/1000000/'E Balans VL '!Z14*100),0,B30*3.6/1000000/'E Balans VL '!Z14*100)</f>
        <v>7.5018253159846546E-2</v>
      </c>
      <c r="D30" s="237" t="s">
        <v>754</v>
      </c>
      <c r="F30" s="6"/>
    </row>
    <row r="31" spans="1:18">
      <c r="A31" s="231" t="s">
        <v>55</v>
      </c>
      <c r="B31" s="33">
        <f>IF(ISERROR(TER_onderwijs_ele_kWh/1000),0,TER_onderwijs_ele_kWh/1000)</f>
        <v>23.080679921369999</v>
      </c>
      <c r="C31" s="39">
        <f>IF(ISERROR(B31*3.6/1000000/'E Balans VL '!Z11*100),0,B31*3.6/1000000/'E Balans VL '!Z11*100)</f>
        <v>5.7320139871955876E-3</v>
      </c>
      <c r="D31" s="237" t="s">
        <v>754</v>
      </c>
    </row>
    <row r="32" spans="1:18">
      <c r="A32" s="231" t="s">
        <v>260</v>
      </c>
      <c r="B32" s="33">
        <f>IF(ISERROR(TER_rest_ele_kWh/1000),0,TER_rest_ele_kWh/1000)</f>
        <v>1655.3098693499501</v>
      </c>
      <c r="C32" s="39">
        <f>IF(ISERROR(B32*3.6/1000000/'E Balans VL '!Z8*100),0,B32*3.6/1000000/'E Balans VL '!Z8*100)</f>
        <v>1.3621003024249755E-2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2482.9183688704729</v>
      </c>
      <c r="C5" s="17">
        <f>IF(ISERROR('Eigen informatie GS &amp; warmtenet'!B59),0,'Eigen informatie GS &amp; warmtenet'!B59)</f>
        <v>0</v>
      </c>
      <c r="D5" s="30">
        <f>SUM(D6:D15)</f>
        <v>2267.8835507301151</v>
      </c>
      <c r="E5" s="17">
        <f>SUM(E6:E15)</f>
        <v>328.42588403047449</v>
      </c>
      <c r="F5" s="17">
        <f>SUM(F6:F15)</f>
        <v>981.54157185664951</v>
      </c>
      <c r="G5" s="18"/>
      <c r="H5" s="17"/>
      <c r="I5" s="17"/>
      <c r="J5" s="17">
        <f>SUM(J6:J15)</f>
        <v>2.2537596084759146</v>
      </c>
      <c r="K5" s="17"/>
      <c r="L5" s="17"/>
      <c r="M5" s="17"/>
      <c r="N5" s="17">
        <f>SUM(N6:N15)</f>
        <v>644.60400083953368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149.61156530106101</v>
      </c>
      <c r="C8" s="33"/>
      <c r="D8" s="37">
        <f>IF( ISERROR(IND_metaal_Gas_kWH/1000),0,IND_metaal_Gas_kWH/1000)*0.902</f>
        <v>0</v>
      </c>
      <c r="E8" s="33">
        <f>C30*'E Balans VL '!I18/100/3.6*1000000</f>
        <v>1.375533846719325</v>
      </c>
      <c r="F8" s="33">
        <f>C30*'E Balans VL '!L18/100/3.6*1000000+C30*'E Balans VL '!N18/100/3.6*1000000</f>
        <v>14.028583752023581</v>
      </c>
      <c r="G8" s="34"/>
      <c r="H8" s="33"/>
      <c r="I8" s="33"/>
      <c r="J8" s="40">
        <f>C30*'E Balans VL '!D18/100/3.6*1000000+C30*'E Balans VL '!E18/100/3.6*1000000</f>
        <v>0</v>
      </c>
      <c r="K8" s="33"/>
      <c r="L8" s="33"/>
      <c r="M8" s="33"/>
      <c r="N8" s="33">
        <f>C30*'E Balans VL '!Y18/100/3.6*1000000</f>
        <v>2.1344562225429793</v>
      </c>
      <c r="O8" s="33"/>
      <c r="P8" s="33"/>
      <c r="R8" s="32"/>
    </row>
    <row r="9" spans="1:18">
      <c r="A9" s="6" t="s">
        <v>33</v>
      </c>
      <c r="B9" s="37">
        <f t="shared" si="0"/>
        <v>995.21586739316695</v>
      </c>
      <c r="C9" s="33"/>
      <c r="D9" s="37">
        <f>IF( ISERROR(IND_andere_gas_kWh/1000),0,IND_andere_gas_kWh/1000)*0.902</f>
        <v>616.15441625247081</v>
      </c>
      <c r="E9" s="33">
        <f>C31*'E Balans VL '!I19/100/3.6*1000000</f>
        <v>290.92097260674376</v>
      </c>
      <c r="F9" s="33">
        <f>C31*'E Balans VL '!L19/100/3.6*1000000+C31*'E Balans VL '!N19/100/3.6*1000000</f>
        <v>799.73128036972025</v>
      </c>
      <c r="G9" s="34"/>
      <c r="H9" s="33"/>
      <c r="I9" s="33"/>
      <c r="J9" s="40">
        <f>C31*'E Balans VL '!D19/100/3.6*1000000+C31*'E Balans VL '!E19/100/3.6*1000000</f>
        <v>0</v>
      </c>
      <c r="K9" s="33"/>
      <c r="L9" s="33"/>
      <c r="M9" s="33"/>
      <c r="N9" s="33">
        <f>C31*'E Balans VL '!Y19/100/3.6*1000000</f>
        <v>328.83475729048422</v>
      </c>
      <c r="O9" s="33"/>
      <c r="P9" s="33"/>
      <c r="R9" s="32"/>
    </row>
    <row r="10" spans="1:18">
      <c r="A10" s="6" t="s">
        <v>41</v>
      </c>
      <c r="B10" s="37">
        <f t="shared" si="0"/>
        <v>666.79971340116606</v>
      </c>
      <c r="C10" s="33"/>
      <c r="D10" s="37">
        <f>IF( ISERROR(IND_voed_gas_kWh/1000),0,IND_voed_gas_kWh/1000)*0.902</f>
        <v>380.6398723935219</v>
      </c>
      <c r="E10" s="33">
        <f>C32*'E Balans VL '!I20/100/3.6*1000000</f>
        <v>1.4106251325521748</v>
      </c>
      <c r="F10" s="33">
        <f>C32*'E Balans VL '!L20/100/3.6*1000000+C32*'E Balans VL '!N20/100/3.6*1000000</f>
        <v>42.395806893979959</v>
      </c>
      <c r="G10" s="34"/>
      <c r="H10" s="33"/>
      <c r="I10" s="33"/>
      <c r="J10" s="40">
        <f>C32*'E Balans VL '!D20/100/3.6*1000000+C32*'E Balans VL '!E20/100/3.6*1000000</f>
        <v>0</v>
      </c>
      <c r="K10" s="33"/>
      <c r="L10" s="33"/>
      <c r="M10" s="33"/>
      <c r="N10" s="33">
        <f>C32*'E Balans VL '!Y20/100/3.6*1000000</f>
        <v>46.015760365035284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43.630999266783903</v>
      </c>
      <c r="C13" s="33"/>
      <c r="D13" s="37">
        <f>IF( ISERROR(IND_papier_gas_kWh/1000),0,IND_papier_gas_kWh/1000)*0.902</f>
        <v>42.404525743609419</v>
      </c>
      <c r="E13" s="33">
        <f>C35*'E Balans VL '!I23/100/3.6*1000000</f>
        <v>6.1902409627495651E-2</v>
      </c>
      <c r="F13" s="33">
        <f>C35*'E Balans VL '!L23/100/3.6*1000000+C35*'E Balans VL '!N23/100/3.6*1000000</f>
        <v>1.0651967552373118</v>
      </c>
      <c r="G13" s="34"/>
      <c r="H13" s="33"/>
      <c r="I13" s="33"/>
      <c r="J13" s="40">
        <f>C35*'E Balans VL '!D23/100/3.6*1000000+C35*'E Balans VL '!E23/100/3.6*1000000</f>
        <v>6.7479436693912258E-3</v>
      </c>
      <c r="K13" s="33"/>
      <c r="L13" s="33"/>
      <c r="M13" s="33"/>
      <c r="N13" s="33">
        <f>C35*'E Balans VL '!Y23/100/3.6*1000000</f>
        <v>126.82498670160811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627.66022350829508</v>
      </c>
      <c r="C15" s="33"/>
      <c r="D15" s="37">
        <f>IF( ISERROR(IND_rest_gas_kWh/1000),0,IND_rest_gas_kWh/1000)*0.902</f>
        <v>1228.6847363405129</v>
      </c>
      <c r="E15" s="33">
        <f>C37*'E Balans VL '!I15/100/3.6*1000000</f>
        <v>34.656850034831656</v>
      </c>
      <c r="F15" s="33">
        <f>C37*'E Balans VL '!L15/100/3.6*1000000+C37*'E Balans VL '!N15/100/3.6*1000000</f>
        <v>124.32070408568839</v>
      </c>
      <c r="G15" s="34"/>
      <c r="H15" s="33"/>
      <c r="I15" s="33"/>
      <c r="J15" s="40">
        <f>C37*'E Balans VL '!D15/100/3.6*1000000+C37*'E Balans VL '!E15/100/3.6*1000000</f>
        <v>2.2470116648065233</v>
      </c>
      <c r="K15" s="33"/>
      <c r="L15" s="33"/>
      <c r="M15" s="33"/>
      <c r="N15" s="33">
        <f>C37*'E Balans VL '!Y15/100/3.6*1000000</f>
        <v>140.79404025986312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2482.9183688704729</v>
      </c>
      <c r="C18" s="21">
        <f>C5+C16</f>
        <v>0</v>
      </c>
      <c r="D18" s="21">
        <f>MAX((D5+D16),0)</f>
        <v>2267.8835507301151</v>
      </c>
      <c r="E18" s="21">
        <f>MAX((E5+E16),0)</f>
        <v>328.42588403047449</v>
      </c>
      <c r="F18" s="21">
        <f>MAX((F5+F16),0)</f>
        <v>981.54157185664951</v>
      </c>
      <c r="G18" s="21"/>
      <c r="H18" s="21"/>
      <c r="I18" s="21"/>
      <c r="J18" s="21">
        <f>MAX((J5+J16),0)</f>
        <v>2.2537596084759146</v>
      </c>
      <c r="K18" s="21"/>
      <c r="L18" s="21">
        <f>MAX((L5+L16),0)</f>
        <v>0</v>
      </c>
      <c r="M18" s="21"/>
      <c r="N18" s="21">
        <f>MAX((N5+N16),0)</f>
        <v>644.60400083953368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0.21133766940961909</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524.73418141141872</v>
      </c>
      <c r="C22" s="23">
        <f ca="1">C18*C20</f>
        <v>0</v>
      </c>
      <c r="D22" s="23">
        <f>D18*D20</f>
        <v>458.1124772474833</v>
      </c>
      <c r="E22" s="23">
        <f>E18*E20</f>
        <v>74.552675674917708</v>
      </c>
      <c r="F22" s="23">
        <f>F18*F20</f>
        <v>262.07159968572546</v>
      </c>
      <c r="G22" s="23"/>
      <c r="H22" s="23"/>
      <c r="I22" s="23"/>
      <c r="J22" s="23">
        <f>J18*J20</f>
        <v>0.79783090140047375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149.61156530106101</v>
      </c>
      <c r="C30" s="39">
        <f>IF(ISERROR(B30*3.6/1000000/'E Balans VL '!Z18*100),0,B30*3.6/1000000/'E Balans VL '!Z18*100)</f>
        <v>8.4788710347557614E-3</v>
      </c>
      <c r="D30" s="237" t="s">
        <v>754</v>
      </c>
    </row>
    <row r="31" spans="1:18">
      <c r="A31" s="6" t="s">
        <v>33</v>
      </c>
      <c r="B31" s="37">
        <f>IF( ISERROR(IND_ander_ele_kWh/1000),0,IND_ander_ele_kWh/1000)</f>
        <v>995.21586739316695</v>
      </c>
      <c r="C31" s="39">
        <f>IF(ISERROR(B31*3.6/1000000/'E Balans VL '!Z19*100),0,B31*3.6/1000000/'E Balans VL '!Z19*100)</f>
        <v>4.5138847738207394E-2</v>
      </c>
      <c r="D31" s="237" t="s">
        <v>754</v>
      </c>
    </row>
    <row r="32" spans="1:18">
      <c r="A32" s="171" t="s">
        <v>41</v>
      </c>
      <c r="B32" s="37">
        <f>IF( ISERROR(IND_voed_ele_kWh/1000),0,IND_voed_ele_kWh/1000)</f>
        <v>666.79971340116606</v>
      </c>
      <c r="C32" s="39">
        <f>IF(ISERROR(B32*3.6/1000000/'E Balans VL '!Z20*100),0,B32*3.6/1000000/'E Balans VL '!Z20*100)</f>
        <v>2.0627142150609391E-2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43.630999266783903</v>
      </c>
      <c r="C35" s="39">
        <f>IF(ISERROR(B35*3.6/1000000/'E Balans VL '!Z22*100),0,B35*3.6/1000000/'E Balans VL '!Z22*100)</f>
        <v>7.84785549659495E-3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627.66022350829508</v>
      </c>
      <c r="C37" s="39">
        <f>IF(ISERROR(B37*3.6/1000000/'E Balans VL '!Z15*100),0,B37*3.6/1000000/'E Balans VL '!Z15*100)</f>
        <v>4.9749781113683066E-3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4732.6732559169168</v>
      </c>
      <c r="C5" s="17">
        <f>'Eigen informatie GS &amp; warmtenet'!B60</f>
        <v>0</v>
      </c>
      <c r="D5" s="30">
        <f>IF(ISERROR(SUM(LB_lb_gas_kWh,LB_rest_gas_kWh)/1000),0,SUM(LB_lb_gas_kWh,LB_rest_gas_kWh)/1000)*0.902</f>
        <v>79182.857946074</v>
      </c>
      <c r="E5" s="17">
        <f>B17*'E Balans VL '!I25/3.6*1000000/100</f>
        <v>139.10772224396865</v>
      </c>
      <c r="F5" s="17">
        <f>B17*('E Balans VL '!L25/3.6*1000000+'E Balans VL '!N25/3.6*1000000)/100</f>
        <v>19716.061043910333</v>
      </c>
      <c r="G5" s="18"/>
      <c r="H5" s="17"/>
      <c r="I5" s="17"/>
      <c r="J5" s="17">
        <f>('E Balans VL '!D25+'E Balans VL '!E25)/3.6*1000000*landbouw!B17/100</f>
        <v>685.66271946078234</v>
      </c>
      <c r="K5" s="17"/>
      <c r="L5" s="17">
        <f>L6*(-1)</f>
        <v>0</v>
      </c>
      <c r="M5" s="17"/>
      <c r="N5" s="17">
        <f>N6*(-1)</f>
        <v>0</v>
      </c>
      <c r="O5" s="17"/>
      <c r="P5" s="17"/>
      <c r="R5" s="32"/>
    </row>
    <row r="6" spans="1:18">
      <c r="A6" s="16" t="s">
        <v>488</v>
      </c>
      <c r="B6" s="17" t="s">
        <v>211</v>
      </c>
      <c r="C6" s="17">
        <f>'lokale energieproductie'!O92+'lokale energieproductie'!O61</f>
        <v>30857.142857142855</v>
      </c>
      <c r="D6" s="310">
        <f>('lokale energieproductie'!P61+'lokale energieproductie'!P92)*(-1)</f>
        <v>-61714.285714285725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4732.6732559169168</v>
      </c>
      <c r="C8" s="21">
        <f>C5+C6</f>
        <v>30857.142857142855</v>
      </c>
      <c r="D8" s="21">
        <f>MAX((D5+D6),0)</f>
        <v>17468.572231788276</v>
      </c>
      <c r="E8" s="21">
        <f>MAX((E5+E6),0)</f>
        <v>139.10772224396865</v>
      </c>
      <c r="F8" s="21">
        <f>MAX((F5+F6),0)</f>
        <v>19716.061043910333</v>
      </c>
      <c r="G8" s="21"/>
      <c r="H8" s="21"/>
      <c r="I8" s="21"/>
      <c r="J8" s="21">
        <f>MAX((J5+J6),0)</f>
        <v>685.66271946078234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0.21133766940961909</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1000.1921359827149</v>
      </c>
      <c r="C12" s="23">
        <f ca="1">C8*C10</f>
        <v>7333.1092436974805</v>
      </c>
      <c r="D12" s="23">
        <f>D8*D10</f>
        <v>3528.6515908212318</v>
      </c>
      <c r="E12" s="23">
        <f>E8*E10</f>
        <v>31.577452949380884</v>
      </c>
      <c r="F12" s="23">
        <f>F8*F10</f>
        <v>5264.1882987240588</v>
      </c>
      <c r="G12" s="23"/>
      <c r="H12" s="23"/>
      <c r="I12" s="23"/>
      <c r="J12" s="23">
        <f>J8*J10</f>
        <v>242.72460268911695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0.67158118332412364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646.27804869895613</v>
      </c>
      <c r="C26" s="247">
        <f>B26*'GWP N2O_CH4'!B5</f>
        <v>13571.839022678079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305.97769745301645</v>
      </c>
      <c r="C27" s="247">
        <f>B27*'GWP N2O_CH4'!B5</f>
        <v>6425.5316465133455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9.0754280514459076</v>
      </c>
      <c r="C28" s="247">
        <f>B28*'GWP N2O_CH4'!B4</f>
        <v>2813.3826959482312</v>
      </c>
      <c r="D28" s="50"/>
    </row>
    <row r="29" spans="1:4">
      <c r="A29" s="41" t="s">
        <v>277</v>
      </c>
      <c r="B29" s="247">
        <f>B34*'ha_N2O bodem landbouw'!B4</f>
        <v>22.440478524758348</v>
      </c>
      <c r="C29" s="247">
        <f>B29*'GWP N2O_CH4'!B4</f>
        <v>6956.548342675088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5.1208398660205247E-3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3.6152253115373891E-4</v>
      </c>
      <c r="C5" s="463" t="s">
        <v>211</v>
      </c>
      <c r="D5" s="448">
        <f>SUM(D6:D11)</f>
        <v>1.2431005736453838E-3</v>
      </c>
      <c r="E5" s="448">
        <f>SUM(E6:E11)</f>
        <v>1.9535945310379544E-3</v>
      </c>
      <c r="F5" s="461" t="s">
        <v>211</v>
      </c>
      <c r="G5" s="448">
        <f>SUM(G6:G11)</f>
        <v>0.80020650586859787</v>
      </c>
      <c r="H5" s="448">
        <f>SUM(H6:H11)</f>
        <v>0.14461584079380674</v>
      </c>
      <c r="I5" s="463" t="s">
        <v>211</v>
      </c>
      <c r="J5" s="463" t="s">
        <v>211</v>
      </c>
      <c r="K5" s="463" t="s">
        <v>211</v>
      </c>
      <c r="L5" s="463" t="s">
        <v>211</v>
      </c>
      <c r="M5" s="448">
        <f>SUM(M6:M11)</f>
        <v>5.1018911675360545E-2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4.0014512899820394E-5</v>
      </c>
      <c r="C6" s="449"/>
      <c r="D6" s="892">
        <f>vkm_2011_GW_PW*SUMIFS(TableVerdeelsleutelVkm[CNG],TableVerdeelsleutelVkm[Voertuigtype],"Lichte voertuigen")*SUMIFS(TableECFTransport[EnergieConsumptieFactor (PJ per km)],TableECFTransport[Index],CONCATENATE($A6,"_CNG_CNG"))</f>
        <v>1.2002057245808868E-4</v>
      </c>
      <c r="E6" s="892">
        <f>vkm_2011_GW_PW*SUMIFS(TableVerdeelsleutelVkm[LPG],TableVerdeelsleutelVkm[Voertuigtype],"Lichte voertuigen")*SUMIFS(TableECFTransport[EnergieConsumptieFactor (PJ per km)],TableECFTransport[Index],CONCATENATE($A6,"_LPG_LPG"))</f>
        <v>1.6396534208335147E-4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4.2393921174650281E-2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1.3650959096093132E-2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2.8795448234789334E-3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2.4745362081997003E-2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7.5418835342802209E-6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1.4460354739590398E-3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5.2079388879678805E-5</v>
      </c>
      <c r="C8" s="449"/>
      <c r="D8" s="451">
        <f>vkm_2011_NGW_PW*SUMIFS(TableVerdeelsleutelVkm[CNG],TableVerdeelsleutelVkm[Voertuigtype],"Lichte voertuigen")*SUMIFS(TableECFTransport[EnergieConsumptieFactor (PJ per km)],TableECFTransport[Index],CONCATENATE($A8,"_CNG_CNG"))</f>
        <v>2.7774006425360093E-4</v>
      </c>
      <c r="E8" s="451">
        <f>vkm_2011_NGW_PW*SUMIFS(TableVerdeelsleutelVkm[LPG],TableVerdeelsleutelVkm[Voertuigtype],"Lichte voertuigen")*SUMIFS(TableECFTransport[EnergieConsumptieFactor (PJ per km)],TableECFTransport[Index],CONCATENATE($A8,"_LPG_LPG"))</f>
        <v>3.5139784994554888E-4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8.4667596842038575E-2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3.0698304810024286E-2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5.8522237634797891E-3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3.3179722012613329E-2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9.5200494333159801E-6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1.938893540814159E-3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2.6942862937423973E-4</v>
      </c>
      <c r="C10" s="449"/>
      <c r="D10" s="451">
        <f>vkm_2011_SW_PW*SUMIFS(TableVerdeelsleutelVkm[CNG],TableVerdeelsleutelVkm[Voertuigtype],"Lichte voertuigen")*SUMIFS(TableECFTransport[EnergieConsumptieFactor (PJ per km)],TableECFTransport[Index],CONCATENATE($A10,"_CNG_CNG"))</f>
        <v>8.4533993693369422E-4</v>
      </c>
      <c r="E10" s="451">
        <f>vkm_2011_SW_PW*SUMIFS(TableVerdeelsleutelVkm[LPG],TableVerdeelsleutelVkm[Voertuigtype],"Lichte voertuigen")*SUMIFS(TableECFTransport[EnergieConsumptieFactor (PJ per km)],TableECFTransport[Index],CONCATENATE($A10,"_LPG_LPG"))</f>
        <v>1.4382313390090538E-3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0.33151558223886163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0.10015613976723187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2.2323286974218745E-2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0.283704321518437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9.3375187489857698E-5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1.6578927099409873E-2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100.42292532048303</v>
      </c>
      <c r="C14" s="21"/>
      <c r="D14" s="21">
        <f t="shared" ref="D14:M14" si="0">((D5)*10^9/3600)+D12</f>
        <v>345.30571490149549</v>
      </c>
      <c r="E14" s="21">
        <f t="shared" si="0"/>
        <v>542.66514751054285</v>
      </c>
      <c r="F14" s="21"/>
      <c r="G14" s="21">
        <f t="shared" si="0"/>
        <v>222279.58496349939</v>
      </c>
      <c r="H14" s="21">
        <f t="shared" si="0"/>
        <v>40171.066887168534</v>
      </c>
      <c r="I14" s="21"/>
      <c r="J14" s="21"/>
      <c r="K14" s="21"/>
      <c r="L14" s="21"/>
      <c r="M14" s="21">
        <f t="shared" si="0"/>
        <v>14171.919909822374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0.21133766940961909</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21.223146992527109</v>
      </c>
      <c r="C18" s="23"/>
      <c r="D18" s="23">
        <f t="shared" ref="D18:M18" si="1">D14*D16</f>
        <v>69.751754410102095</v>
      </c>
      <c r="E18" s="23">
        <f t="shared" si="1"/>
        <v>123.18498848489322</v>
      </c>
      <c r="F18" s="23"/>
      <c r="G18" s="23">
        <f t="shared" si="1"/>
        <v>59348.64918525434</v>
      </c>
      <c r="H18" s="23">
        <f t="shared" si="1"/>
        <v>10002.595654904964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1.1972090295990314E-3</v>
      </c>
      <c r="H50" s="321">
        <f t="shared" si="2"/>
        <v>0</v>
      </c>
      <c r="I50" s="321">
        <f t="shared" si="2"/>
        <v>0</v>
      </c>
      <c r="J50" s="321">
        <f t="shared" si="2"/>
        <v>0</v>
      </c>
      <c r="K50" s="321">
        <f t="shared" si="2"/>
        <v>0</v>
      </c>
      <c r="L50" s="321">
        <f t="shared" si="2"/>
        <v>0</v>
      </c>
      <c r="M50" s="321">
        <f t="shared" si="2"/>
        <v>6.7996187710515525E-5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1.1972090295990314E-3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6.7996187710515525E-5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332.55806377750872</v>
      </c>
      <c r="H54" s="21">
        <f t="shared" si="3"/>
        <v>0</v>
      </c>
      <c r="I54" s="21">
        <f t="shared" si="3"/>
        <v>0</v>
      </c>
      <c r="J54" s="21">
        <f t="shared" si="3"/>
        <v>0</v>
      </c>
      <c r="K54" s="21">
        <f t="shared" si="3"/>
        <v>0</v>
      </c>
      <c r="L54" s="21">
        <f t="shared" si="3"/>
        <v>0</v>
      </c>
      <c r="M54" s="21">
        <f t="shared" si="3"/>
        <v>18.887829919587649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0.21133766940961909</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88.793003028594839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14435.306518291271</v>
      </c>
      <c r="D10" s="1013">
        <f ca="1">tertiair!C16</f>
        <v>0</v>
      </c>
      <c r="E10" s="1013">
        <f ca="1">tertiair!D16</f>
        <v>14369.534288928045</v>
      </c>
      <c r="F10" s="1013">
        <f>tertiair!E16</f>
        <v>147.76423051946986</v>
      </c>
      <c r="G10" s="1013">
        <f ca="1">tertiair!F16</f>
        <v>2253.9095945297731</v>
      </c>
      <c r="H10" s="1013">
        <f>tertiair!G16</f>
        <v>0</v>
      </c>
      <c r="I10" s="1013">
        <f>tertiair!H16</f>
        <v>0</v>
      </c>
      <c r="J10" s="1013">
        <f>tertiair!I16</f>
        <v>0</v>
      </c>
      <c r="K10" s="1013">
        <f>tertiair!J16</f>
        <v>2.6084668247080764E-2</v>
      </c>
      <c r="L10" s="1013">
        <f>tertiair!K16</f>
        <v>0</v>
      </c>
      <c r="M10" s="1013">
        <f ca="1">tertiair!L16</f>
        <v>0</v>
      </c>
      <c r="N10" s="1013">
        <f>tertiair!M16</f>
        <v>0</v>
      </c>
      <c r="O10" s="1013">
        <f ca="1">tertiair!N16</f>
        <v>1042.4973013396345</v>
      </c>
      <c r="P10" s="1013">
        <f>tertiair!O16</f>
        <v>9.3800000000000008</v>
      </c>
      <c r="Q10" s="1014">
        <f>tertiair!P16</f>
        <v>57.2</v>
      </c>
      <c r="R10" s="700">
        <f ca="1">SUM(C10:Q10)</f>
        <v>32315.618018276444</v>
      </c>
      <c r="S10" s="67"/>
    </row>
    <row r="11" spans="1:19" s="473" customFormat="1">
      <c r="A11" s="809" t="s">
        <v>225</v>
      </c>
      <c r="B11" s="814"/>
      <c r="C11" s="1013">
        <f>huishoudens!B8</f>
        <v>23999.96654762224</v>
      </c>
      <c r="D11" s="1013">
        <f>huishoudens!C8</f>
        <v>0</v>
      </c>
      <c r="E11" s="1013">
        <f>huishoudens!D8</f>
        <v>30624.831321968664</v>
      </c>
      <c r="F11" s="1013">
        <f>huishoudens!E8</f>
        <v>7685.4317225223749</v>
      </c>
      <c r="G11" s="1013">
        <f>huishoudens!F8</f>
        <v>23480.675983834826</v>
      </c>
      <c r="H11" s="1013">
        <f>huishoudens!G8</f>
        <v>0</v>
      </c>
      <c r="I11" s="1013">
        <f>huishoudens!H8</f>
        <v>0</v>
      </c>
      <c r="J11" s="1013">
        <f>huishoudens!I8</f>
        <v>0</v>
      </c>
      <c r="K11" s="1013">
        <f>huishoudens!J8</f>
        <v>1727.7560214095747</v>
      </c>
      <c r="L11" s="1013">
        <f>huishoudens!K8</f>
        <v>0</v>
      </c>
      <c r="M11" s="1013">
        <f>huishoudens!L8</f>
        <v>0</v>
      </c>
      <c r="N11" s="1013">
        <f>huishoudens!M8</f>
        <v>0</v>
      </c>
      <c r="O11" s="1013">
        <f>huishoudens!N8</f>
        <v>17747.269003761347</v>
      </c>
      <c r="P11" s="1013">
        <f>huishoudens!O8</f>
        <v>287.65333333333336</v>
      </c>
      <c r="Q11" s="1014">
        <f>huishoudens!P8</f>
        <v>991.4666666666667</v>
      </c>
      <c r="R11" s="700">
        <f>SUM(C11:Q11)</f>
        <v>106545.05060111902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2482.9183688704729</v>
      </c>
      <c r="D13" s="1013">
        <f>industrie!C18</f>
        <v>0</v>
      </c>
      <c r="E13" s="1013">
        <f>industrie!D18</f>
        <v>2267.8835507301151</v>
      </c>
      <c r="F13" s="1013">
        <f>industrie!E18</f>
        <v>328.42588403047449</v>
      </c>
      <c r="G13" s="1013">
        <f>industrie!F18</f>
        <v>981.54157185664951</v>
      </c>
      <c r="H13" s="1013">
        <f>industrie!G18</f>
        <v>0</v>
      </c>
      <c r="I13" s="1013">
        <f>industrie!H18</f>
        <v>0</v>
      </c>
      <c r="J13" s="1013">
        <f>industrie!I18</f>
        <v>0</v>
      </c>
      <c r="K13" s="1013">
        <f>industrie!J18</f>
        <v>2.2537596084759146</v>
      </c>
      <c r="L13" s="1013">
        <f>industrie!K18</f>
        <v>0</v>
      </c>
      <c r="M13" s="1013">
        <f>industrie!L18</f>
        <v>0</v>
      </c>
      <c r="N13" s="1013">
        <f>industrie!M18</f>
        <v>0</v>
      </c>
      <c r="O13" s="1013">
        <f>industrie!N18</f>
        <v>644.60400083953368</v>
      </c>
      <c r="P13" s="1013">
        <f>industrie!O18</f>
        <v>0</v>
      </c>
      <c r="Q13" s="1014">
        <f>industrie!P18</f>
        <v>0</v>
      </c>
      <c r="R13" s="700">
        <f>SUM(C13:Q13)</f>
        <v>6707.6271359357215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40918.191434783985</v>
      </c>
      <c r="D16" s="732">
        <f t="shared" ref="D16:R16" ca="1" si="0">SUM(D9:D15)</f>
        <v>0</v>
      </c>
      <c r="E16" s="732">
        <f t="shared" ca="1" si="0"/>
        <v>47262.249161626823</v>
      </c>
      <c r="F16" s="732">
        <f t="shared" si="0"/>
        <v>8161.6218370723191</v>
      </c>
      <c r="G16" s="732">
        <f t="shared" ca="1" si="0"/>
        <v>26716.127150221251</v>
      </c>
      <c r="H16" s="732">
        <f t="shared" si="0"/>
        <v>0</v>
      </c>
      <c r="I16" s="732">
        <f t="shared" si="0"/>
        <v>0</v>
      </c>
      <c r="J16" s="732">
        <f t="shared" si="0"/>
        <v>0</v>
      </c>
      <c r="K16" s="732">
        <f t="shared" si="0"/>
        <v>1730.0358656862977</v>
      </c>
      <c r="L16" s="732">
        <f t="shared" si="0"/>
        <v>0</v>
      </c>
      <c r="M16" s="732">
        <f t="shared" ca="1" si="0"/>
        <v>0</v>
      </c>
      <c r="N16" s="732">
        <f t="shared" si="0"/>
        <v>0</v>
      </c>
      <c r="O16" s="732">
        <f t="shared" ca="1" si="0"/>
        <v>19434.370305940512</v>
      </c>
      <c r="P16" s="732">
        <f t="shared" si="0"/>
        <v>297.03333333333336</v>
      </c>
      <c r="Q16" s="732">
        <f t="shared" si="0"/>
        <v>1048.6666666666667</v>
      </c>
      <c r="R16" s="732">
        <f t="shared" ca="1" si="0"/>
        <v>145568.2957553312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332.55806377750872</v>
      </c>
      <c r="I19" s="1013">
        <f>transport!H54</f>
        <v>0</v>
      </c>
      <c r="J19" s="1013">
        <f>transport!I54</f>
        <v>0</v>
      </c>
      <c r="K19" s="1013">
        <f>transport!J54</f>
        <v>0</v>
      </c>
      <c r="L19" s="1013">
        <f>transport!K54</f>
        <v>0</v>
      </c>
      <c r="M19" s="1013">
        <f>transport!L54</f>
        <v>0</v>
      </c>
      <c r="N19" s="1013">
        <f>transport!M54</f>
        <v>18.887829919587649</v>
      </c>
      <c r="O19" s="1013">
        <f>transport!N54</f>
        <v>0</v>
      </c>
      <c r="P19" s="1013">
        <f>transport!O54</f>
        <v>0</v>
      </c>
      <c r="Q19" s="1014">
        <f>transport!P54</f>
        <v>0</v>
      </c>
      <c r="R19" s="700">
        <f>SUM(C19:Q19)</f>
        <v>351.44589369709638</v>
      </c>
      <c r="S19" s="67"/>
    </row>
    <row r="20" spans="1:19" s="473" customFormat="1">
      <c r="A20" s="809" t="s">
        <v>307</v>
      </c>
      <c r="B20" s="814"/>
      <c r="C20" s="1013">
        <f>transport!B14</f>
        <v>100.42292532048303</v>
      </c>
      <c r="D20" s="1013">
        <f>transport!C14</f>
        <v>0</v>
      </c>
      <c r="E20" s="1013">
        <f>transport!D14</f>
        <v>345.30571490149549</v>
      </c>
      <c r="F20" s="1013">
        <f>transport!E14</f>
        <v>542.66514751054285</v>
      </c>
      <c r="G20" s="1013">
        <f>transport!F14</f>
        <v>0</v>
      </c>
      <c r="H20" s="1013">
        <f>transport!G14</f>
        <v>222279.58496349939</v>
      </c>
      <c r="I20" s="1013">
        <f>transport!H14</f>
        <v>40171.066887168534</v>
      </c>
      <c r="J20" s="1013">
        <f>transport!I14</f>
        <v>0</v>
      </c>
      <c r="K20" s="1013">
        <f>transport!J14</f>
        <v>0</v>
      </c>
      <c r="L20" s="1013">
        <f>transport!K14</f>
        <v>0</v>
      </c>
      <c r="M20" s="1013">
        <f>transport!L14</f>
        <v>0</v>
      </c>
      <c r="N20" s="1013">
        <f>transport!M14</f>
        <v>14171.919909822374</v>
      </c>
      <c r="O20" s="1013">
        <f>transport!N14</f>
        <v>0</v>
      </c>
      <c r="P20" s="1013">
        <f>transport!O14</f>
        <v>0</v>
      </c>
      <c r="Q20" s="1014">
        <f>transport!P14</f>
        <v>0</v>
      </c>
      <c r="R20" s="700">
        <f>SUM(C20:Q20)</f>
        <v>277610.96554822283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100.42292532048303</v>
      </c>
      <c r="D22" s="812">
        <f t="shared" ref="D22:R22" si="1">SUM(D18:D21)</f>
        <v>0</v>
      </c>
      <c r="E22" s="812">
        <f t="shared" si="1"/>
        <v>345.30571490149549</v>
      </c>
      <c r="F22" s="812">
        <f t="shared" si="1"/>
        <v>542.66514751054285</v>
      </c>
      <c r="G22" s="812">
        <f t="shared" si="1"/>
        <v>0</v>
      </c>
      <c r="H22" s="812">
        <f t="shared" si="1"/>
        <v>222612.14302727691</v>
      </c>
      <c r="I22" s="812">
        <f t="shared" si="1"/>
        <v>40171.066887168534</v>
      </c>
      <c r="J22" s="812">
        <f t="shared" si="1"/>
        <v>0</v>
      </c>
      <c r="K22" s="812">
        <f t="shared" si="1"/>
        <v>0</v>
      </c>
      <c r="L22" s="812">
        <f t="shared" si="1"/>
        <v>0</v>
      </c>
      <c r="M22" s="812">
        <f t="shared" si="1"/>
        <v>0</v>
      </c>
      <c r="N22" s="812">
        <f t="shared" si="1"/>
        <v>14190.807739741962</v>
      </c>
      <c r="O22" s="812">
        <f t="shared" si="1"/>
        <v>0</v>
      </c>
      <c r="P22" s="812">
        <f t="shared" si="1"/>
        <v>0</v>
      </c>
      <c r="Q22" s="812">
        <f t="shared" si="1"/>
        <v>0</v>
      </c>
      <c r="R22" s="812">
        <f t="shared" si="1"/>
        <v>277962.41144191992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4732.6732559169168</v>
      </c>
      <c r="D24" s="1013">
        <f>+landbouw!C8</f>
        <v>30857.142857142855</v>
      </c>
      <c r="E24" s="1013">
        <f>+landbouw!D8</f>
        <v>17468.572231788276</v>
      </c>
      <c r="F24" s="1013">
        <f>+landbouw!E8</f>
        <v>139.10772224396865</v>
      </c>
      <c r="G24" s="1013">
        <f>+landbouw!F8</f>
        <v>19716.061043910333</v>
      </c>
      <c r="H24" s="1013">
        <f>+landbouw!G8</f>
        <v>0</v>
      </c>
      <c r="I24" s="1013">
        <f>+landbouw!H8</f>
        <v>0</v>
      </c>
      <c r="J24" s="1013">
        <f>+landbouw!I8</f>
        <v>0</v>
      </c>
      <c r="K24" s="1013">
        <f>+landbouw!J8</f>
        <v>685.66271946078234</v>
      </c>
      <c r="L24" s="1013">
        <f>+landbouw!K8</f>
        <v>0</v>
      </c>
      <c r="M24" s="1013">
        <f>+landbouw!L8</f>
        <v>0</v>
      </c>
      <c r="N24" s="1013">
        <f>+landbouw!M8</f>
        <v>0</v>
      </c>
      <c r="O24" s="1013">
        <f>+landbouw!N8</f>
        <v>0</v>
      </c>
      <c r="P24" s="1013">
        <f>+landbouw!O8</f>
        <v>0</v>
      </c>
      <c r="Q24" s="1014">
        <f>+landbouw!P8</f>
        <v>0</v>
      </c>
      <c r="R24" s="700">
        <f>SUM(C24:Q24)</f>
        <v>73599.219830463146</v>
      </c>
      <c r="S24" s="67"/>
    </row>
    <row r="25" spans="1:19" s="473" customFormat="1" ht="15" thickBot="1">
      <c r="A25" s="831" t="s">
        <v>836</v>
      </c>
      <c r="B25" s="1016"/>
      <c r="C25" s="1017">
        <f>IF(Onbekend_ele_kWh="---",0,Onbekend_ele_kWh)/1000+IF(REST_rest_ele_kWh="---",0,REST_rest_ele_kWh)/1000</f>
        <v>868.21718716205601</v>
      </c>
      <c r="D25" s="1017"/>
      <c r="E25" s="1017">
        <f>IF(onbekend_gas_kWh="---",0,onbekend_gas_kWh)/1000+IF(REST_rest_gas_kWh="---",0,REST_rest_gas_kWh)/1000</f>
        <v>732.59497428121392</v>
      </c>
      <c r="F25" s="1017"/>
      <c r="G25" s="1017"/>
      <c r="H25" s="1017"/>
      <c r="I25" s="1017"/>
      <c r="J25" s="1017"/>
      <c r="K25" s="1017"/>
      <c r="L25" s="1017"/>
      <c r="M25" s="1017"/>
      <c r="N25" s="1017"/>
      <c r="O25" s="1017"/>
      <c r="P25" s="1017"/>
      <c r="Q25" s="1018"/>
      <c r="R25" s="700">
        <f>SUM(C25:Q25)</f>
        <v>1600.8121614432698</v>
      </c>
      <c r="S25" s="67"/>
    </row>
    <row r="26" spans="1:19" s="473" customFormat="1" ht="15.75" thickBot="1">
      <c r="A26" s="705" t="s">
        <v>837</v>
      </c>
      <c r="B26" s="817"/>
      <c r="C26" s="812">
        <f>SUM(C24:C25)</f>
        <v>5600.8904430789726</v>
      </c>
      <c r="D26" s="812">
        <f t="shared" ref="D26:R26" si="2">SUM(D24:D25)</f>
        <v>30857.142857142855</v>
      </c>
      <c r="E26" s="812">
        <f t="shared" si="2"/>
        <v>18201.167206069491</v>
      </c>
      <c r="F26" s="812">
        <f t="shared" si="2"/>
        <v>139.10772224396865</v>
      </c>
      <c r="G26" s="812">
        <f t="shared" si="2"/>
        <v>19716.061043910333</v>
      </c>
      <c r="H26" s="812">
        <f t="shared" si="2"/>
        <v>0</v>
      </c>
      <c r="I26" s="812">
        <f t="shared" si="2"/>
        <v>0</v>
      </c>
      <c r="J26" s="812">
        <f t="shared" si="2"/>
        <v>0</v>
      </c>
      <c r="K26" s="812">
        <f t="shared" si="2"/>
        <v>685.66271946078234</v>
      </c>
      <c r="L26" s="812">
        <f t="shared" si="2"/>
        <v>0</v>
      </c>
      <c r="M26" s="812">
        <f t="shared" si="2"/>
        <v>0</v>
      </c>
      <c r="N26" s="812">
        <f t="shared" si="2"/>
        <v>0</v>
      </c>
      <c r="O26" s="812">
        <f t="shared" si="2"/>
        <v>0</v>
      </c>
      <c r="P26" s="812">
        <f t="shared" si="2"/>
        <v>0</v>
      </c>
      <c r="Q26" s="812">
        <f t="shared" si="2"/>
        <v>0</v>
      </c>
      <c r="R26" s="812">
        <f t="shared" si="2"/>
        <v>75200.03199190642</v>
      </c>
      <c r="S26" s="67"/>
    </row>
    <row r="27" spans="1:19" s="473" customFormat="1" ht="17.25" thickTop="1" thickBot="1">
      <c r="A27" s="706" t="s">
        <v>116</v>
      </c>
      <c r="B27" s="805"/>
      <c r="C27" s="707">
        <f ca="1">C22+C16+C26</f>
        <v>46619.504803183438</v>
      </c>
      <c r="D27" s="707">
        <f t="shared" ref="D27:R27" ca="1" si="3">D22+D16+D26</f>
        <v>30857.142857142855</v>
      </c>
      <c r="E27" s="707">
        <f t="shared" ca="1" si="3"/>
        <v>65808.722082597815</v>
      </c>
      <c r="F27" s="707">
        <f t="shared" si="3"/>
        <v>8843.3947068268317</v>
      </c>
      <c r="G27" s="707">
        <f t="shared" ca="1" si="3"/>
        <v>46432.188194131581</v>
      </c>
      <c r="H27" s="707">
        <f t="shared" si="3"/>
        <v>222612.14302727691</v>
      </c>
      <c r="I27" s="707">
        <f t="shared" si="3"/>
        <v>40171.066887168534</v>
      </c>
      <c r="J27" s="707">
        <f t="shared" si="3"/>
        <v>0</v>
      </c>
      <c r="K27" s="707">
        <f t="shared" si="3"/>
        <v>2415.6985851470799</v>
      </c>
      <c r="L27" s="707">
        <f t="shared" si="3"/>
        <v>0</v>
      </c>
      <c r="M27" s="707">
        <f t="shared" ca="1" si="3"/>
        <v>0</v>
      </c>
      <c r="N27" s="707">
        <f t="shared" si="3"/>
        <v>14190.807739741962</v>
      </c>
      <c r="O27" s="707">
        <f t="shared" ca="1" si="3"/>
        <v>19434.370305940512</v>
      </c>
      <c r="P27" s="707">
        <f t="shared" si="3"/>
        <v>297.03333333333336</v>
      </c>
      <c r="Q27" s="707">
        <f t="shared" si="3"/>
        <v>1048.6666666666667</v>
      </c>
      <c r="R27" s="707">
        <f t="shared" ca="1" si="3"/>
        <v>498730.73918915755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3050.7240367891604</v>
      </c>
      <c r="D40" s="1013">
        <f ca="1">tertiair!C20</f>
        <v>0</v>
      </c>
      <c r="E40" s="1013">
        <f ca="1">tertiair!D20</f>
        <v>2902.6459263634652</v>
      </c>
      <c r="F40" s="1013">
        <f>tertiair!E20</f>
        <v>33.542480327919662</v>
      </c>
      <c r="G40" s="1013">
        <f ca="1">tertiair!F20</f>
        <v>601.79386173944943</v>
      </c>
      <c r="H40" s="1013">
        <f>tertiair!G20</f>
        <v>0</v>
      </c>
      <c r="I40" s="1013">
        <f>tertiair!H20</f>
        <v>0</v>
      </c>
      <c r="J40" s="1013">
        <f>tertiair!I20</f>
        <v>0</v>
      </c>
      <c r="K40" s="1013">
        <f>tertiair!J20</f>
        <v>9.2339725594665894E-3</v>
      </c>
      <c r="L40" s="1013">
        <f>tertiair!K20</f>
        <v>0</v>
      </c>
      <c r="M40" s="1013">
        <f ca="1">tertiair!L20</f>
        <v>0</v>
      </c>
      <c r="N40" s="1013">
        <f>tertiair!M20</f>
        <v>0</v>
      </c>
      <c r="O40" s="1013">
        <f ca="1">tertiair!N20</f>
        <v>0</v>
      </c>
      <c r="P40" s="1013">
        <f>tertiair!O20</f>
        <v>0</v>
      </c>
      <c r="Q40" s="774">
        <f>tertiair!P20</f>
        <v>0</v>
      </c>
      <c r="R40" s="850">
        <f t="shared" ca="1" si="4"/>
        <v>6588.7155391925535</v>
      </c>
    </row>
    <row r="41" spans="1:18">
      <c r="A41" s="822" t="s">
        <v>225</v>
      </c>
      <c r="B41" s="829"/>
      <c r="C41" s="1013">
        <f ca="1">huishoudens!B12</f>
        <v>5072.0969960833063</v>
      </c>
      <c r="D41" s="1013">
        <f ca="1">huishoudens!C12</f>
        <v>0</v>
      </c>
      <c r="E41" s="1013">
        <f>huishoudens!D12</f>
        <v>6186.2159270376706</v>
      </c>
      <c r="F41" s="1013">
        <f>huishoudens!E12</f>
        <v>1744.5930010125792</v>
      </c>
      <c r="G41" s="1013">
        <f>huishoudens!F12</f>
        <v>6269.3404876838986</v>
      </c>
      <c r="H41" s="1013">
        <f>huishoudens!G12</f>
        <v>0</v>
      </c>
      <c r="I41" s="1013">
        <f>huishoudens!H12</f>
        <v>0</v>
      </c>
      <c r="J41" s="1013">
        <f>huishoudens!I12</f>
        <v>0</v>
      </c>
      <c r="K41" s="1013">
        <f>huishoudens!J12</f>
        <v>611.62563157898944</v>
      </c>
      <c r="L41" s="1013">
        <f>huishoudens!K12</f>
        <v>0</v>
      </c>
      <c r="M41" s="1013">
        <f>huishoudens!L12</f>
        <v>0</v>
      </c>
      <c r="N41" s="1013">
        <f>huishoudens!M12</f>
        <v>0</v>
      </c>
      <c r="O41" s="1013">
        <f>huishoudens!N12</f>
        <v>0</v>
      </c>
      <c r="P41" s="1013">
        <f>huishoudens!O12</f>
        <v>0</v>
      </c>
      <c r="Q41" s="774">
        <f>huishoudens!P12</f>
        <v>0</v>
      </c>
      <c r="R41" s="850">
        <f t="shared" ca="1" si="4"/>
        <v>19883.872043396444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524.73418141141872</v>
      </c>
      <c r="D43" s="1013">
        <f ca="1">industrie!C22</f>
        <v>0</v>
      </c>
      <c r="E43" s="1013">
        <f>industrie!D22</f>
        <v>458.1124772474833</v>
      </c>
      <c r="F43" s="1013">
        <f>industrie!E22</f>
        <v>74.552675674917708</v>
      </c>
      <c r="G43" s="1013">
        <f>industrie!F22</f>
        <v>262.07159968572546</v>
      </c>
      <c r="H43" s="1013">
        <f>industrie!G22</f>
        <v>0</v>
      </c>
      <c r="I43" s="1013">
        <f>industrie!H22</f>
        <v>0</v>
      </c>
      <c r="J43" s="1013">
        <f>industrie!I22</f>
        <v>0</v>
      </c>
      <c r="K43" s="1013">
        <f>industrie!J22</f>
        <v>0.79783090140047375</v>
      </c>
      <c r="L43" s="1013">
        <f>industrie!K22</f>
        <v>0</v>
      </c>
      <c r="M43" s="1013">
        <f>industrie!L22</f>
        <v>0</v>
      </c>
      <c r="N43" s="1013">
        <f>industrie!M22</f>
        <v>0</v>
      </c>
      <c r="O43" s="1013">
        <f>industrie!N22</f>
        <v>0</v>
      </c>
      <c r="P43" s="1013">
        <f>industrie!O22</f>
        <v>0</v>
      </c>
      <c r="Q43" s="774">
        <f>industrie!P22</f>
        <v>0</v>
      </c>
      <c r="R43" s="849">
        <f t="shared" ca="1" si="4"/>
        <v>1320.2687649209456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8647.555214283886</v>
      </c>
      <c r="D46" s="732">
        <f t="shared" ref="D46:Q46" ca="1" si="5">SUM(D39:D45)</f>
        <v>0</v>
      </c>
      <c r="E46" s="732">
        <f t="shared" ca="1" si="5"/>
        <v>9546.9743306486198</v>
      </c>
      <c r="F46" s="732">
        <f t="shared" si="5"/>
        <v>1852.6881570154167</v>
      </c>
      <c r="G46" s="732">
        <f t="shared" ca="1" si="5"/>
        <v>7133.2059491090731</v>
      </c>
      <c r="H46" s="732">
        <f t="shared" si="5"/>
        <v>0</v>
      </c>
      <c r="I46" s="732">
        <f t="shared" si="5"/>
        <v>0</v>
      </c>
      <c r="J46" s="732">
        <f t="shared" si="5"/>
        <v>0</v>
      </c>
      <c r="K46" s="732">
        <f t="shared" si="5"/>
        <v>612.43269645294947</v>
      </c>
      <c r="L46" s="732">
        <f t="shared" si="5"/>
        <v>0</v>
      </c>
      <c r="M46" s="732">
        <f t="shared" ca="1" si="5"/>
        <v>0</v>
      </c>
      <c r="N46" s="732">
        <f t="shared" si="5"/>
        <v>0</v>
      </c>
      <c r="O46" s="732">
        <f t="shared" ca="1" si="5"/>
        <v>0</v>
      </c>
      <c r="P46" s="732">
        <f t="shared" si="5"/>
        <v>0</v>
      </c>
      <c r="Q46" s="732">
        <f t="shared" si="5"/>
        <v>0</v>
      </c>
      <c r="R46" s="732">
        <f ca="1">SUM(R39:R45)</f>
        <v>27792.856347509944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88.793003028594839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88.793003028594839</v>
      </c>
    </row>
    <row r="50" spans="1:18">
      <c r="A50" s="825" t="s">
        <v>307</v>
      </c>
      <c r="B50" s="835"/>
      <c r="C50" s="703">
        <f ca="1">transport!B18</f>
        <v>21.223146992527109</v>
      </c>
      <c r="D50" s="703">
        <f>transport!C18</f>
        <v>0</v>
      </c>
      <c r="E50" s="703">
        <f>transport!D18</f>
        <v>69.751754410102095</v>
      </c>
      <c r="F50" s="703">
        <f>transport!E18</f>
        <v>123.18498848489322</v>
      </c>
      <c r="G50" s="703">
        <f>transport!F18</f>
        <v>0</v>
      </c>
      <c r="H50" s="703">
        <f>transport!G18</f>
        <v>59348.64918525434</v>
      </c>
      <c r="I50" s="703">
        <f>transport!H18</f>
        <v>10002.595654904964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69565.404730046823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21.223146992527109</v>
      </c>
      <c r="D52" s="732">
        <f t="shared" ref="D52:Q52" ca="1" si="6">SUM(D48:D51)</f>
        <v>0</v>
      </c>
      <c r="E52" s="732">
        <f t="shared" si="6"/>
        <v>69.751754410102095</v>
      </c>
      <c r="F52" s="732">
        <f t="shared" si="6"/>
        <v>123.18498848489322</v>
      </c>
      <c r="G52" s="732">
        <f t="shared" si="6"/>
        <v>0</v>
      </c>
      <c r="H52" s="732">
        <f t="shared" si="6"/>
        <v>59437.442188282934</v>
      </c>
      <c r="I52" s="732">
        <f t="shared" si="6"/>
        <v>10002.595654904964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69654.197733075416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1000.1921359827149</v>
      </c>
      <c r="D54" s="703">
        <f ca="1">+landbouw!C12</f>
        <v>7333.1092436974805</v>
      </c>
      <c r="E54" s="703">
        <f>+landbouw!D12</f>
        <v>3528.6515908212318</v>
      </c>
      <c r="F54" s="703">
        <f>+landbouw!E12</f>
        <v>31.577452949380884</v>
      </c>
      <c r="G54" s="703">
        <f>+landbouw!F12</f>
        <v>5264.1882987240588</v>
      </c>
      <c r="H54" s="703">
        <f>+landbouw!G12</f>
        <v>0</v>
      </c>
      <c r="I54" s="703">
        <f>+landbouw!H12</f>
        <v>0</v>
      </c>
      <c r="J54" s="703">
        <f>+landbouw!I12</f>
        <v>0</v>
      </c>
      <c r="K54" s="703">
        <f>+landbouw!J12</f>
        <v>242.72460268911695</v>
      </c>
      <c r="L54" s="703">
        <f>+landbouw!K12</f>
        <v>0</v>
      </c>
      <c r="M54" s="703">
        <f>+landbouw!L12</f>
        <v>0</v>
      </c>
      <c r="N54" s="703">
        <f>+landbouw!M12</f>
        <v>0</v>
      </c>
      <c r="O54" s="703">
        <f>+landbouw!N12</f>
        <v>0</v>
      </c>
      <c r="P54" s="703">
        <f>+landbouw!O12</f>
        <v>0</v>
      </c>
      <c r="Q54" s="704">
        <f>+landbouw!P12</f>
        <v>0</v>
      </c>
      <c r="R54" s="731">
        <f ca="1">SUM(C54:Q54)</f>
        <v>17400.443324863983</v>
      </c>
    </row>
    <row r="55" spans="1:18" ht="15" thickBot="1">
      <c r="A55" s="825" t="s">
        <v>836</v>
      </c>
      <c r="B55" s="835"/>
      <c r="C55" s="703">
        <f ca="1">C25*'EF ele_warmte'!B12</f>
        <v>183.48699687620399</v>
      </c>
      <c r="D55" s="703"/>
      <c r="E55" s="703">
        <f>E25*EF_CO2_aardgas</f>
        <v>147.98418480480521</v>
      </c>
      <c r="F55" s="703"/>
      <c r="G55" s="703"/>
      <c r="H55" s="703"/>
      <c r="I55" s="703"/>
      <c r="J55" s="703"/>
      <c r="K55" s="703"/>
      <c r="L55" s="703"/>
      <c r="M55" s="703"/>
      <c r="N55" s="703"/>
      <c r="O55" s="703"/>
      <c r="P55" s="703"/>
      <c r="Q55" s="704"/>
      <c r="R55" s="731">
        <f ca="1">SUM(C55:Q55)</f>
        <v>331.47118168100917</v>
      </c>
    </row>
    <row r="56" spans="1:18" ht="15.75" thickBot="1">
      <c r="A56" s="823" t="s">
        <v>837</v>
      </c>
      <c r="B56" s="836"/>
      <c r="C56" s="732">
        <f ca="1">SUM(C54:C55)</f>
        <v>1183.6791328589188</v>
      </c>
      <c r="D56" s="732">
        <f t="shared" ref="D56:Q56" ca="1" si="7">SUM(D54:D55)</f>
        <v>7333.1092436974805</v>
      </c>
      <c r="E56" s="732">
        <f t="shared" si="7"/>
        <v>3676.6357756260372</v>
      </c>
      <c r="F56" s="732">
        <f t="shared" si="7"/>
        <v>31.577452949380884</v>
      </c>
      <c r="G56" s="732">
        <f t="shared" si="7"/>
        <v>5264.1882987240588</v>
      </c>
      <c r="H56" s="732">
        <f t="shared" si="7"/>
        <v>0</v>
      </c>
      <c r="I56" s="732">
        <f t="shared" si="7"/>
        <v>0</v>
      </c>
      <c r="J56" s="732">
        <f t="shared" si="7"/>
        <v>0</v>
      </c>
      <c r="K56" s="732">
        <f t="shared" si="7"/>
        <v>242.72460268911695</v>
      </c>
      <c r="L56" s="732">
        <f t="shared" si="7"/>
        <v>0</v>
      </c>
      <c r="M56" s="732">
        <f t="shared" si="7"/>
        <v>0</v>
      </c>
      <c r="N56" s="732">
        <f t="shared" si="7"/>
        <v>0</v>
      </c>
      <c r="O56" s="732">
        <f t="shared" si="7"/>
        <v>0</v>
      </c>
      <c r="P56" s="732">
        <f t="shared" si="7"/>
        <v>0</v>
      </c>
      <c r="Q56" s="733">
        <f t="shared" si="7"/>
        <v>0</v>
      </c>
      <c r="R56" s="734">
        <f ca="1">SUM(R54:R55)</f>
        <v>17731.914506544992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9852.4574941353312</v>
      </c>
      <c r="D61" s="740">
        <f t="shared" ref="D61:Q61" ca="1" si="8">D46+D52+D56</f>
        <v>7333.1092436974805</v>
      </c>
      <c r="E61" s="740">
        <f t="shared" ca="1" si="8"/>
        <v>13293.361860684759</v>
      </c>
      <c r="F61" s="740">
        <f t="shared" si="8"/>
        <v>2007.4505984496907</v>
      </c>
      <c r="G61" s="740">
        <f t="shared" ca="1" si="8"/>
        <v>12397.394247833132</v>
      </c>
      <c r="H61" s="740">
        <f t="shared" si="8"/>
        <v>59437.442188282934</v>
      </c>
      <c r="I61" s="740">
        <f t="shared" si="8"/>
        <v>10002.595654904964</v>
      </c>
      <c r="J61" s="740">
        <f t="shared" si="8"/>
        <v>0</v>
      </c>
      <c r="K61" s="740">
        <f t="shared" si="8"/>
        <v>855.15729914206645</v>
      </c>
      <c r="L61" s="740">
        <f t="shared" si="8"/>
        <v>0</v>
      </c>
      <c r="M61" s="740">
        <f t="shared" ca="1" si="8"/>
        <v>0</v>
      </c>
      <c r="N61" s="740">
        <f t="shared" si="8"/>
        <v>0</v>
      </c>
      <c r="O61" s="740">
        <f t="shared" ca="1" si="8"/>
        <v>0</v>
      </c>
      <c r="P61" s="740">
        <f t="shared" si="8"/>
        <v>0</v>
      </c>
      <c r="Q61" s="740">
        <f t="shared" si="8"/>
        <v>0</v>
      </c>
      <c r="R61" s="740">
        <f ca="1">R46+R52+R56</f>
        <v>115178.96858713037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0.21133766940961909</v>
      </c>
      <c r="D63" s="781">
        <f t="shared" ca="1" si="9"/>
        <v>0.23764705882352949</v>
      </c>
      <c r="E63" s="1024">
        <f t="shared" ca="1" si="9"/>
        <v>0.20200000000000001</v>
      </c>
      <c r="F63" s="781">
        <f t="shared" si="9"/>
        <v>0.22699999999999998</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3665.2920269522438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21600</v>
      </c>
      <c r="D76" s="1034">
        <f>'lokale energieproductie'!C8</f>
        <v>25411.76470588236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5133.176470588237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3665.2920269522438</v>
      </c>
      <c r="C78" s="755">
        <f>SUM(C72:C77)</f>
        <v>21600</v>
      </c>
      <c r="D78" s="756">
        <f t="shared" ref="D78:H78" si="10">SUM(D76:D77)</f>
        <v>25411.76470588236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5133.176470588237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30857.142857142855</v>
      </c>
      <c r="D87" s="777">
        <f>'lokale energieproductie'!C17</f>
        <v>36302.521008403368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7333.1092436974805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30857.142857142855</v>
      </c>
      <c r="D90" s="755">
        <f t="shared" ref="D90:H90" si="12">SUM(D87:D89)</f>
        <v>36302.521008403368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7333.1092436974805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3665.2920269522438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21600</v>
      </c>
      <c r="C8" s="570">
        <f>B101</f>
        <v>25411.76470588236</v>
      </c>
      <c r="D8" s="1044"/>
      <c r="E8" s="1044">
        <f>E101</f>
        <v>0</v>
      </c>
      <c r="F8" s="1045"/>
      <c r="G8" s="571"/>
      <c r="H8" s="1044">
        <f>I101</f>
        <v>0</v>
      </c>
      <c r="I8" s="1044">
        <f>G101+F101</f>
        <v>0</v>
      </c>
      <c r="J8" s="1044">
        <f>H101+D101+C101</f>
        <v>0</v>
      </c>
      <c r="K8" s="1044"/>
      <c r="L8" s="1044"/>
      <c r="M8" s="1044"/>
      <c r="N8" s="572"/>
      <c r="O8" s="573">
        <f>C8*$C$12+D8*$D$12+E8*$E$12+F8*$F$12+G8*$G$12+H8*$H$12+I8*$I$12+J8*$J$12</f>
        <v>5133.176470588237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25265.292026952244</v>
      </c>
      <c r="C10" s="583">
        <f t="shared" ref="C10:L10" si="0">SUM(C8:C9)</f>
        <v>25411.76470588236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5133.176470588237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30857.142857142855</v>
      </c>
      <c r="C17" s="595">
        <f>B102</f>
        <v>36302.521008403368</v>
      </c>
      <c r="D17" s="596"/>
      <c r="E17" s="596">
        <f>E102</f>
        <v>0</v>
      </c>
      <c r="F17" s="1050"/>
      <c r="G17" s="597"/>
      <c r="H17" s="595">
        <f>I102</f>
        <v>0</v>
      </c>
      <c r="I17" s="596">
        <f>G102+F102</f>
        <v>0</v>
      </c>
      <c r="J17" s="596">
        <f>H102+D102+C102</f>
        <v>0</v>
      </c>
      <c r="K17" s="596"/>
      <c r="L17" s="596"/>
      <c r="M17" s="596"/>
      <c r="N17" s="1051"/>
      <c r="O17" s="598">
        <f>C17*$C$22+E17*$E$22+H17*$H$22+I17*$I$22+J17*$J$22+D17*$D$22+F17*$F$22+G17*$G$22+K17*$K$22+L17*$L$22</f>
        <v>7333.1092436974805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30857.142857142855</v>
      </c>
      <c r="C20" s="582">
        <f>SUM(C17:C19)</f>
        <v>36302.521008403368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7333.1092436974805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44049</v>
      </c>
      <c r="C28" s="796">
        <v>9850</v>
      </c>
      <c r="D28" s="653" t="s">
        <v>881</v>
      </c>
      <c r="E28" s="652" t="s">
        <v>882</v>
      </c>
      <c r="F28" s="652" t="s">
        <v>883</v>
      </c>
      <c r="G28" s="652" t="s">
        <v>884</v>
      </c>
      <c r="H28" s="652" t="s">
        <v>885</v>
      </c>
      <c r="I28" s="652" t="s">
        <v>882</v>
      </c>
      <c r="J28" s="795">
        <v>39436</v>
      </c>
      <c r="K28" s="795">
        <v>39436</v>
      </c>
      <c r="L28" s="652" t="s">
        <v>886</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25.5">
      <c r="A29" s="605"/>
      <c r="B29" s="796">
        <v>44049</v>
      </c>
      <c r="C29" s="796">
        <v>9850</v>
      </c>
      <c r="D29" s="653" t="s">
        <v>887</v>
      </c>
      <c r="E29" s="652" t="s">
        <v>888</v>
      </c>
      <c r="F29" s="652" t="s">
        <v>889</v>
      </c>
      <c r="G29" s="652" t="s">
        <v>884</v>
      </c>
      <c r="H29" s="652" t="s">
        <v>885</v>
      </c>
      <c r="I29" s="652" t="s">
        <v>888</v>
      </c>
      <c r="J29" s="795">
        <v>39496</v>
      </c>
      <c r="K29" s="795">
        <v>39542</v>
      </c>
      <c r="L29" s="652" t="s">
        <v>886</v>
      </c>
      <c r="M29" s="652">
        <v>2000</v>
      </c>
      <c r="N29" s="652">
        <v>9000</v>
      </c>
      <c r="O29" s="652">
        <v>12857.142857142857</v>
      </c>
      <c r="P29" s="652">
        <v>25714.285714285717</v>
      </c>
      <c r="Q29" s="652">
        <v>0</v>
      </c>
      <c r="R29" s="652">
        <v>0</v>
      </c>
      <c r="S29" s="652">
        <v>0</v>
      </c>
      <c r="T29" s="652">
        <v>0</v>
      </c>
      <c r="U29" s="652">
        <v>0</v>
      </c>
      <c r="V29" s="652">
        <v>0</v>
      </c>
      <c r="W29" s="652">
        <v>0</v>
      </c>
      <c r="X29" s="652">
        <v>10</v>
      </c>
      <c r="Y29" s="652" t="s">
        <v>112</v>
      </c>
      <c r="Z29" s="654" t="s">
        <v>112</v>
      </c>
    </row>
    <row r="30" spans="1:26" s="606" customFormat="1" ht="25.5">
      <c r="A30" s="605"/>
      <c r="B30" s="796">
        <v>44049</v>
      </c>
      <c r="C30" s="796">
        <v>9850</v>
      </c>
      <c r="D30" s="653" t="s">
        <v>890</v>
      </c>
      <c r="E30" s="652" t="s">
        <v>891</v>
      </c>
      <c r="F30" s="652" t="s">
        <v>892</v>
      </c>
      <c r="G30" s="652" t="s">
        <v>884</v>
      </c>
      <c r="H30" s="652" t="s">
        <v>885</v>
      </c>
      <c r="I30" s="652" t="s">
        <v>891</v>
      </c>
      <c r="J30" s="795">
        <v>39898</v>
      </c>
      <c r="K30" s="795">
        <v>39708</v>
      </c>
      <c r="L30" s="652" t="s">
        <v>886</v>
      </c>
      <c r="M30" s="652">
        <v>800</v>
      </c>
      <c r="N30" s="652">
        <v>3600</v>
      </c>
      <c r="O30" s="652">
        <v>5142.8571428571431</v>
      </c>
      <c r="P30" s="652">
        <v>10285.714285714286</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4800</v>
      </c>
      <c r="N58" s="610">
        <f>SUM(N28:N57)</f>
        <v>21600</v>
      </c>
      <c r="O58" s="610">
        <f t="shared" ref="O58:W58" si="2">SUM(O28:O57)</f>
        <v>30857.142857142855</v>
      </c>
      <c r="P58" s="610">
        <f t="shared" si="2"/>
        <v>61714.285714285725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4800</v>
      </c>
      <c r="N61" s="615">
        <f t="shared" si="4"/>
        <v>21600</v>
      </c>
      <c r="O61" s="615">
        <f t="shared" si="4"/>
        <v>30857.142857142855</v>
      </c>
      <c r="P61" s="615">
        <f t="shared" si="4"/>
        <v>61714.285714285725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25411.76470588236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36302.521008403368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23999.96654762224</v>
      </c>
      <c r="C4" s="477">
        <f>huishoudens!C8</f>
        <v>0</v>
      </c>
      <c r="D4" s="477">
        <f>huishoudens!D8</f>
        <v>30624.831321968664</v>
      </c>
      <c r="E4" s="477">
        <f>huishoudens!E8</f>
        <v>7685.4317225223749</v>
      </c>
      <c r="F4" s="477">
        <f>huishoudens!F8</f>
        <v>23480.675983834826</v>
      </c>
      <c r="G4" s="477">
        <f>huishoudens!G8</f>
        <v>0</v>
      </c>
      <c r="H4" s="477">
        <f>huishoudens!H8</f>
        <v>0</v>
      </c>
      <c r="I4" s="477">
        <f>huishoudens!I8</f>
        <v>0</v>
      </c>
      <c r="J4" s="477">
        <f>huishoudens!J8</f>
        <v>1727.7560214095747</v>
      </c>
      <c r="K4" s="477">
        <f>huishoudens!K8</f>
        <v>0</v>
      </c>
      <c r="L4" s="477">
        <f>huishoudens!L8</f>
        <v>0</v>
      </c>
      <c r="M4" s="477">
        <f>huishoudens!M8</f>
        <v>0</v>
      </c>
      <c r="N4" s="477">
        <f>huishoudens!N8</f>
        <v>17747.269003761347</v>
      </c>
      <c r="O4" s="477">
        <f>huishoudens!O8</f>
        <v>287.65333333333336</v>
      </c>
      <c r="P4" s="478">
        <f>huishoudens!P8</f>
        <v>991.4666666666667</v>
      </c>
      <c r="Q4" s="479">
        <f>SUM(B4:P4)</f>
        <v>106545.05060111902</v>
      </c>
    </row>
    <row r="5" spans="1:17">
      <c r="A5" s="476" t="s">
        <v>156</v>
      </c>
      <c r="B5" s="477">
        <f ca="1">tertiair!B16</f>
        <v>13248.780518291271</v>
      </c>
      <c r="C5" s="477">
        <f ca="1">tertiair!C16</f>
        <v>0</v>
      </c>
      <c r="D5" s="477">
        <f ca="1">tertiair!D16</f>
        <v>14369.534288928045</v>
      </c>
      <c r="E5" s="477">
        <f>tertiair!E16</f>
        <v>147.76423051946986</v>
      </c>
      <c r="F5" s="477">
        <f ca="1">tertiair!F16</f>
        <v>2253.9095945297731</v>
      </c>
      <c r="G5" s="477">
        <f>tertiair!G16</f>
        <v>0</v>
      </c>
      <c r="H5" s="477">
        <f>tertiair!H16</f>
        <v>0</v>
      </c>
      <c r="I5" s="477">
        <f>tertiair!I16</f>
        <v>0</v>
      </c>
      <c r="J5" s="477">
        <f>tertiair!J16</f>
        <v>2.6084668247080764E-2</v>
      </c>
      <c r="K5" s="477">
        <f>tertiair!K16</f>
        <v>0</v>
      </c>
      <c r="L5" s="477">
        <f ca="1">tertiair!L16</f>
        <v>0</v>
      </c>
      <c r="M5" s="477">
        <f>tertiair!M16</f>
        <v>0</v>
      </c>
      <c r="N5" s="477">
        <f ca="1">tertiair!N16</f>
        <v>1042.4973013396345</v>
      </c>
      <c r="O5" s="477">
        <f>tertiair!O16</f>
        <v>9.3800000000000008</v>
      </c>
      <c r="P5" s="478">
        <f>tertiair!P16</f>
        <v>57.2</v>
      </c>
      <c r="Q5" s="476">
        <f t="shared" ref="Q5:Q14" ca="1" si="0">SUM(B5:P5)</f>
        <v>31129.092018276442</v>
      </c>
    </row>
    <row r="6" spans="1:17">
      <c r="A6" s="476" t="s">
        <v>194</v>
      </c>
      <c r="B6" s="477">
        <f>'openbare verlichting'!B8</f>
        <v>1186.5260000000001</v>
      </c>
      <c r="C6" s="477"/>
      <c r="D6" s="477"/>
      <c r="E6" s="477"/>
      <c r="F6" s="477"/>
      <c r="G6" s="477"/>
      <c r="H6" s="477"/>
      <c r="I6" s="477"/>
      <c r="J6" s="477"/>
      <c r="K6" s="477"/>
      <c r="L6" s="477"/>
      <c r="M6" s="477"/>
      <c r="N6" s="477"/>
      <c r="O6" s="477"/>
      <c r="P6" s="478"/>
      <c r="Q6" s="476">
        <f t="shared" si="0"/>
        <v>1186.5260000000001</v>
      </c>
    </row>
    <row r="7" spans="1:17">
      <c r="A7" s="476" t="s">
        <v>112</v>
      </c>
      <c r="B7" s="477">
        <f>landbouw!B8</f>
        <v>4732.6732559169168</v>
      </c>
      <c r="C7" s="477">
        <f>landbouw!C8</f>
        <v>30857.142857142855</v>
      </c>
      <c r="D7" s="477">
        <f>landbouw!D8</f>
        <v>17468.572231788276</v>
      </c>
      <c r="E7" s="477">
        <f>landbouw!E8</f>
        <v>139.10772224396865</v>
      </c>
      <c r="F7" s="477">
        <f>landbouw!F8</f>
        <v>19716.061043910333</v>
      </c>
      <c r="G7" s="477">
        <f>landbouw!G8</f>
        <v>0</v>
      </c>
      <c r="H7" s="477">
        <f>landbouw!H8</f>
        <v>0</v>
      </c>
      <c r="I7" s="477">
        <f>landbouw!I8</f>
        <v>0</v>
      </c>
      <c r="J7" s="477">
        <f>landbouw!J8</f>
        <v>685.66271946078234</v>
      </c>
      <c r="K7" s="477">
        <f>landbouw!K8</f>
        <v>0</v>
      </c>
      <c r="L7" s="477">
        <f>landbouw!L8</f>
        <v>0</v>
      </c>
      <c r="M7" s="477">
        <f>landbouw!M8</f>
        <v>0</v>
      </c>
      <c r="N7" s="477">
        <f>landbouw!N8</f>
        <v>0</v>
      </c>
      <c r="O7" s="477">
        <f>landbouw!O8</f>
        <v>0</v>
      </c>
      <c r="P7" s="478">
        <f>landbouw!P8</f>
        <v>0</v>
      </c>
      <c r="Q7" s="476">
        <f t="shared" si="0"/>
        <v>73599.219830463146</v>
      </c>
    </row>
    <row r="8" spans="1:17">
      <c r="A8" s="476" t="s">
        <v>635</v>
      </c>
      <c r="B8" s="477">
        <f>industrie!B18</f>
        <v>2482.9183688704729</v>
      </c>
      <c r="C8" s="477">
        <f>industrie!C18</f>
        <v>0</v>
      </c>
      <c r="D8" s="477">
        <f>industrie!D18</f>
        <v>2267.8835507301151</v>
      </c>
      <c r="E8" s="477">
        <f>industrie!E18</f>
        <v>328.42588403047449</v>
      </c>
      <c r="F8" s="477">
        <f>industrie!F18</f>
        <v>981.54157185664951</v>
      </c>
      <c r="G8" s="477">
        <f>industrie!G18</f>
        <v>0</v>
      </c>
      <c r="H8" s="477">
        <f>industrie!H18</f>
        <v>0</v>
      </c>
      <c r="I8" s="477">
        <f>industrie!I18</f>
        <v>0</v>
      </c>
      <c r="J8" s="477">
        <f>industrie!J18</f>
        <v>2.2537596084759146</v>
      </c>
      <c r="K8" s="477">
        <f>industrie!K18</f>
        <v>0</v>
      </c>
      <c r="L8" s="477">
        <f>industrie!L18</f>
        <v>0</v>
      </c>
      <c r="M8" s="477">
        <f>industrie!M18</f>
        <v>0</v>
      </c>
      <c r="N8" s="477">
        <f>industrie!N18</f>
        <v>644.60400083953368</v>
      </c>
      <c r="O8" s="477">
        <f>industrie!O18</f>
        <v>0</v>
      </c>
      <c r="P8" s="478">
        <f>industrie!P18</f>
        <v>0</v>
      </c>
      <c r="Q8" s="476">
        <f t="shared" si="0"/>
        <v>6707.6271359357215</v>
      </c>
    </row>
    <row r="9" spans="1:17" s="482" customFormat="1">
      <c r="A9" s="480" t="s">
        <v>561</v>
      </c>
      <c r="B9" s="481">
        <f>transport!B14</f>
        <v>100.42292532048303</v>
      </c>
      <c r="C9" s="481">
        <f>transport!C14</f>
        <v>0</v>
      </c>
      <c r="D9" s="481">
        <f>transport!D14</f>
        <v>345.30571490149549</v>
      </c>
      <c r="E9" s="481">
        <f>transport!E14</f>
        <v>542.66514751054285</v>
      </c>
      <c r="F9" s="481">
        <f>transport!F14</f>
        <v>0</v>
      </c>
      <c r="G9" s="481">
        <f>transport!G14</f>
        <v>222279.58496349939</v>
      </c>
      <c r="H9" s="481">
        <f>transport!H14</f>
        <v>40171.066887168534</v>
      </c>
      <c r="I9" s="481">
        <f>transport!I14</f>
        <v>0</v>
      </c>
      <c r="J9" s="481">
        <f>transport!J14</f>
        <v>0</v>
      </c>
      <c r="K9" s="481">
        <f>transport!K14</f>
        <v>0</v>
      </c>
      <c r="L9" s="481">
        <f>transport!L14</f>
        <v>0</v>
      </c>
      <c r="M9" s="481">
        <f>transport!M14</f>
        <v>14171.919909822374</v>
      </c>
      <c r="N9" s="481">
        <f>transport!N14</f>
        <v>0</v>
      </c>
      <c r="O9" s="481">
        <f>transport!O14</f>
        <v>0</v>
      </c>
      <c r="P9" s="481">
        <f>transport!P14</f>
        <v>0</v>
      </c>
      <c r="Q9" s="480">
        <f>SUM(B9:P9)</f>
        <v>277610.96554822283</v>
      </c>
    </row>
    <row r="10" spans="1:17">
      <c r="A10" s="476" t="s">
        <v>551</v>
      </c>
      <c r="B10" s="477">
        <f>transport!B54</f>
        <v>0</v>
      </c>
      <c r="C10" s="477">
        <f>transport!C54</f>
        <v>0</v>
      </c>
      <c r="D10" s="477">
        <f>transport!D54</f>
        <v>0</v>
      </c>
      <c r="E10" s="477">
        <f>transport!E54</f>
        <v>0</v>
      </c>
      <c r="F10" s="477">
        <f>transport!F54</f>
        <v>0</v>
      </c>
      <c r="G10" s="477">
        <f>transport!G54</f>
        <v>332.55806377750872</v>
      </c>
      <c r="H10" s="477">
        <f>transport!H54</f>
        <v>0</v>
      </c>
      <c r="I10" s="477">
        <f>transport!I54</f>
        <v>0</v>
      </c>
      <c r="J10" s="477">
        <f>transport!J54</f>
        <v>0</v>
      </c>
      <c r="K10" s="477">
        <f>transport!K54</f>
        <v>0</v>
      </c>
      <c r="L10" s="477">
        <f>transport!L54</f>
        <v>0</v>
      </c>
      <c r="M10" s="477">
        <f>transport!M54</f>
        <v>18.887829919587649</v>
      </c>
      <c r="N10" s="477">
        <f>transport!N54</f>
        <v>0</v>
      </c>
      <c r="O10" s="477">
        <f>transport!O54</f>
        <v>0</v>
      </c>
      <c r="P10" s="478">
        <f>transport!P54</f>
        <v>0</v>
      </c>
      <c r="Q10" s="476">
        <f t="shared" si="0"/>
        <v>351.44589369709638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868.21718716205601</v>
      </c>
      <c r="C14" s="484"/>
      <c r="D14" s="484">
        <f>'SEAP template'!E25</f>
        <v>732.59497428121392</v>
      </c>
      <c r="E14" s="484"/>
      <c r="F14" s="484"/>
      <c r="G14" s="484"/>
      <c r="H14" s="484"/>
      <c r="I14" s="484"/>
      <c r="J14" s="484"/>
      <c r="K14" s="484"/>
      <c r="L14" s="484"/>
      <c r="M14" s="484"/>
      <c r="N14" s="484"/>
      <c r="O14" s="484"/>
      <c r="P14" s="485"/>
      <c r="Q14" s="476">
        <f t="shared" si="0"/>
        <v>1600.8121614432698</v>
      </c>
    </row>
    <row r="15" spans="1:17" s="486" customFormat="1">
      <c r="A15" s="1039" t="s">
        <v>555</v>
      </c>
      <c r="B15" s="987">
        <f ca="1">SUM(B4:B14)</f>
        <v>46619.504803183445</v>
      </c>
      <c r="C15" s="987">
        <f t="shared" ref="C15:Q15" ca="1" si="1">SUM(C4:C14)</f>
        <v>30857.142857142855</v>
      </c>
      <c r="D15" s="987">
        <f t="shared" ca="1" si="1"/>
        <v>65808.7220825978</v>
      </c>
      <c r="E15" s="987">
        <f t="shared" si="1"/>
        <v>8843.3947068268299</v>
      </c>
      <c r="F15" s="987">
        <f t="shared" ca="1" si="1"/>
        <v>46432.188194131581</v>
      </c>
      <c r="G15" s="987">
        <f t="shared" si="1"/>
        <v>222612.14302727691</v>
      </c>
      <c r="H15" s="987">
        <f t="shared" si="1"/>
        <v>40171.066887168534</v>
      </c>
      <c r="I15" s="987">
        <f t="shared" si="1"/>
        <v>0</v>
      </c>
      <c r="J15" s="987">
        <f t="shared" si="1"/>
        <v>2415.6985851470799</v>
      </c>
      <c r="K15" s="987">
        <f t="shared" si="1"/>
        <v>0</v>
      </c>
      <c r="L15" s="987">
        <f t="shared" ca="1" si="1"/>
        <v>0</v>
      </c>
      <c r="M15" s="987">
        <f t="shared" si="1"/>
        <v>14190.807739741962</v>
      </c>
      <c r="N15" s="987">
        <f t="shared" ca="1" si="1"/>
        <v>19434.370305940512</v>
      </c>
      <c r="O15" s="987">
        <f t="shared" si="1"/>
        <v>297.03333333333336</v>
      </c>
      <c r="P15" s="987">
        <f t="shared" si="1"/>
        <v>1048.6666666666667</v>
      </c>
      <c r="Q15" s="987">
        <f t="shared" ca="1" si="1"/>
        <v>498730.73918915755</v>
      </c>
    </row>
    <row r="17" spans="1:17">
      <c r="A17" s="487" t="s">
        <v>556</v>
      </c>
      <c r="B17" s="786">
        <f ca="1">huishoudens!B10</f>
        <v>0.21133766940961909</v>
      </c>
      <c r="C17" s="786">
        <f ca="1">huishoudens!C10</f>
        <v>0.23764705882352949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5072.0969960833063</v>
      </c>
      <c r="C22" s="477">
        <f t="shared" ref="C22:C32" ca="1" si="3">C4*$C$17</f>
        <v>0</v>
      </c>
      <c r="D22" s="477">
        <f t="shared" ref="D22:D32" si="4">D4*$D$17</f>
        <v>6186.2159270376706</v>
      </c>
      <c r="E22" s="477">
        <f t="shared" ref="E22:E32" si="5">E4*$E$17</f>
        <v>1744.5930010125792</v>
      </c>
      <c r="F22" s="477">
        <f t="shared" ref="F22:F32" si="6">F4*$F$17</f>
        <v>6269.3404876838986</v>
      </c>
      <c r="G22" s="477">
        <f t="shared" ref="G22:G32" si="7">G4*$G$17</f>
        <v>0</v>
      </c>
      <c r="H22" s="477">
        <f t="shared" ref="H22:H32" si="8">H4*$H$17</f>
        <v>0</v>
      </c>
      <c r="I22" s="477">
        <f t="shared" ref="I22:I32" si="9">I4*$I$17</f>
        <v>0</v>
      </c>
      <c r="J22" s="477">
        <f t="shared" ref="J22:J32" si="10">J4*$J$17</f>
        <v>611.62563157898944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19883.872043396444</v>
      </c>
    </row>
    <row r="23" spans="1:17">
      <c r="A23" s="476" t="s">
        <v>156</v>
      </c>
      <c r="B23" s="477">
        <f t="shared" ca="1" si="2"/>
        <v>2799.9663972552426</v>
      </c>
      <c r="C23" s="477">
        <f t="shared" ca="1" si="3"/>
        <v>0</v>
      </c>
      <c r="D23" s="477">
        <f t="shared" ca="1" si="4"/>
        <v>2902.6459263634652</v>
      </c>
      <c r="E23" s="477">
        <f t="shared" si="5"/>
        <v>33.542480327919662</v>
      </c>
      <c r="F23" s="477">
        <f t="shared" ca="1" si="6"/>
        <v>601.79386173944943</v>
      </c>
      <c r="G23" s="477">
        <f t="shared" si="7"/>
        <v>0</v>
      </c>
      <c r="H23" s="477">
        <f t="shared" si="8"/>
        <v>0</v>
      </c>
      <c r="I23" s="477">
        <f t="shared" si="9"/>
        <v>0</v>
      </c>
      <c r="J23" s="477">
        <f t="shared" si="10"/>
        <v>9.2339725594665894E-3</v>
      </c>
      <c r="K23" s="477">
        <f t="shared" si="11"/>
        <v>0</v>
      </c>
      <c r="L23" s="477">
        <f t="shared" ca="1" si="12"/>
        <v>0</v>
      </c>
      <c r="M23" s="477">
        <f t="shared" si="13"/>
        <v>0</v>
      </c>
      <c r="N23" s="477">
        <f t="shared" ca="1" si="14"/>
        <v>0</v>
      </c>
      <c r="O23" s="477">
        <f t="shared" si="15"/>
        <v>0</v>
      </c>
      <c r="P23" s="478">
        <f t="shared" si="16"/>
        <v>0</v>
      </c>
      <c r="Q23" s="476">
        <f t="shared" ref="Q23:Q32" ca="1" si="17">SUM(B23:P23)</f>
        <v>6337.9578996586361</v>
      </c>
    </row>
    <row r="24" spans="1:17">
      <c r="A24" s="476" t="s">
        <v>194</v>
      </c>
      <c r="B24" s="477">
        <f t="shared" ca="1" si="2"/>
        <v>250.75763953391771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250.75763953391771</v>
      </c>
    </row>
    <row r="25" spans="1:17">
      <c r="A25" s="476" t="s">
        <v>112</v>
      </c>
      <c r="B25" s="477">
        <f t="shared" ca="1" si="2"/>
        <v>1000.1921359827149</v>
      </c>
      <c r="C25" s="477">
        <f t="shared" ca="1" si="3"/>
        <v>7333.1092436974805</v>
      </c>
      <c r="D25" s="477">
        <f t="shared" si="4"/>
        <v>3528.6515908212318</v>
      </c>
      <c r="E25" s="477">
        <f t="shared" si="5"/>
        <v>31.577452949380884</v>
      </c>
      <c r="F25" s="477">
        <f t="shared" si="6"/>
        <v>5264.1882987240588</v>
      </c>
      <c r="G25" s="477">
        <f t="shared" si="7"/>
        <v>0</v>
      </c>
      <c r="H25" s="477">
        <f t="shared" si="8"/>
        <v>0</v>
      </c>
      <c r="I25" s="477">
        <f t="shared" si="9"/>
        <v>0</v>
      </c>
      <c r="J25" s="477">
        <f t="shared" si="10"/>
        <v>242.72460268911695</v>
      </c>
      <c r="K25" s="477">
        <f t="shared" si="11"/>
        <v>0</v>
      </c>
      <c r="L25" s="477">
        <f t="shared" si="12"/>
        <v>0</v>
      </c>
      <c r="M25" s="477">
        <f t="shared" si="13"/>
        <v>0</v>
      </c>
      <c r="N25" s="477">
        <f t="shared" si="14"/>
        <v>0</v>
      </c>
      <c r="O25" s="477">
        <f t="shared" si="15"/>
        <v>0</v>
      </c>
      <c r="P25" s="478">
        <f t="shared" si="16"/>
        <v>0</v>
      </c>
      <c r="Q25" s="476">
        <f t="shared" ca="1" si="17"/>
        <v>17400.443324863983</v>
      </c>
    </row>
    <row r="26" spans="1:17">
      <c r="A26" s="476" t="s">
        <v>635</v>
      </c>
      <c r="B26" s="477">
        <f t="shared" ca="1" si="2"/>
        <v>524.73418141141872</v>
      </c>
      <c r="C26" s="477">
        <f t="shared" ca="1" si="3"/>
        <v>0</v>
      </c>
      <c r="D26" s="477">
        <f t="shared" si="4"/>
        <v>458.1124772474833</v>
      </c>
      <c r="E26" s="477">
        <f t="shared" si="5"/>
        <v>74.552675674917708</v>
      </c>
      <c r="F26" s="477">
        <f t="shared" si="6"/>
        <v>262.07159968572546</v>
      </c>
      <c r="G26" s="477">
        <f t="shared" si="7"/>
        <v>0</v>
      </c>
      <c r="H26" s="477">
        <f t="shared" si="8"/>
        <v>0</v>
      </c>
      <c r="I26" s="477">
        <f t="shared" si="9"/>
        <v>0</v>
      </c>
      <c r="J26" s="477">
        <f t="shared" si="10"/>
        <v>0.79783090140047375</v>
      </c>
      <c r="K26" s="477">
        <f t="shared" si="11"/>
        <v>0</v>
      </c>
      <c r="L26" s="477">
        <f t="shared" si="12"/>
        <v>0</v>
      </c>
      <c r="M26" s="477">
        <f t="shared" si="13"/>
        <v>0</v>
      </c>
      <c r="N26" s="477">
        <f t="shared" si="14"/>
        <v>0</v>
      </c>
      <c r="O26" s="477">
        <f t="shared" si="15"/>
        <v>0</v>
      </c>
      <c r="P26" s="478">
        <f t="shared" si="16"/>
        <v>0</v>
      </c>
      <c r="Q26" s="476">
        <f t="shared" ca="1" si="17"/>
        <v>1320.2687649209456</v>
      </c>
    </row>
    <row r="27" spans="1:17" s="482" customFormat="1">
      <c r="A27" s="480" t="s">
        <v>561</v>
      </c>
      <c r="B27" s="780">
        <f t="shared" ca="1" si="2"/>
        <v>21.223146992527109</v>
      </c>
      <c r="C27" s="481">
        <f t="shared" ca="1" si="3"/>
        <v>0</v>
      </c>
      <c r="D27" s="481">
        <f t="shared" si="4"/>
        <v>69.751754410102095</v>
      </c>
      <c r="E27" s="481">
        <f t="shared" si="5"/>
        <v>123.18498848489322</v>
      </c>
      <c r="F27" s="481">
        <f t="shared" si="6"/>
        <v>0</v>
      </c>
      <c r="G27" s="481">
        <f t="shared" si="7"/>
        <v>59348.64918525434</v>
      </c>
      <c r="H27" s="481">
        <f t="shared" si="8"/>
        <v>10002.595654904964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69565.404730046823</v>
      </c>
    </row>
    <row r="28" spans="1:17">
      <c r="A28" s="476" t="s">
        <v>551</v>
      </c>
      <c r="B28" s="477">
        <f t="shared" ca="1" si="2"/>
        <v>0</v>
      </c>
      <c r="C28" s="477">
        <f t="shared" ca="1" si="3"/>
        <v>0</v>
      </c>
      <c r="D28" s="477">
        <f t="shared" si="4"/>
        <v>0</v>
      </c>
      <c r="E28" s="477">
        <f t="shared" si="5"/>
        <v>0</v>
      </c>
      <c r="F28" s="477">
        <f t="shared" si="6"/>
        <v>0</v>
      </c>
      <c r="G28" s="477">
        <f t="shared" si="7"/>
        <v>88.793003028594839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88.793003028594839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183.48699687620399</v>
      </c>
      <c r="C32" s="477">
        <f t="shared" ca="1" si="3"/>
        <v>0</v>
      </c>
      <c r="D32" s="477">
        <f t="shared" si="4"/>
        <v>147.98418480480521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331.47118168100917</v>
      </c>
    </row>
    <row r="33" spans="1:17" s="486" customFormat="1">
      <c r="A33" s="1039" t="s">
        <v>555</v>
      </c>
      <c r="B33" s="987">
        <f ca="1">SUM(B22:B32)</f>
        <v>9852.4574941353294</v>
      </c>
      <c r="C33" s="987">
        <f t="shared" ref="C33:Q33" ca="1" si="18">SUM(C22:C32)</f>
        <v>7333.1092436974805</v>
      </c>
      <c r="D33" s="987">
        <f t="shared" ca="1" si="18"/>
        <v>13293.361860684759</v>
      </c>
      <c r="E33" s="987">
        <f t="shared" si="18"/>
        <v>2007.4505984496907</v>
      </c>
      <c r="F33" s="987">
        <f t="shared" ca="1" si="18"/>
        <v>12397.394247833132</v>
      </c>
      <c r="G33" s="987">
        <f t="shared" si="18"/>
        <v>59437.442188282934</v>
      </c>
      <c r="H33" s="987">
        <f t="shared" si="18"/>
        <v>10002.595654904964</v>
      </c>
      <c r="I33" s="987">
        <f t="shared" si="18"/>
        <v>0</v>
      </c>
      <c r="J33" s="987">
        <f t="shared" si="18"/>
        <v>855.15729914206645</v>
      </c>
      <c r="K33" s="987">
        <f t="shared" si="18"/>
        <v>0</v>
      </c>
      <c r="L33" s="987">
        <f t="shared" ca="1" si="18"/>
        <v>0</v>
      </c>
      <c r="M33" s="987">
        <f t="shared" si="18"/>
        <v>0</v>
      </c>
      <c r="N33" s="987">
        <f t="shared" ca="1" si="18"/>
        <v>0</v>
      </c>
      <c r="O33" s="987">
        <f t="shared" si="18"/>
        <v>0</v>
      </c>
      <c r="P33" s="987">
        <f t="shared" si="18"/>
        <v>0</v>
      </c>
      <c r="Q33" s="987">
        <f t="shared" ca="1" si="18"/>
        <v>115178.96858713037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3665.2920269522438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21600</v>
      </c>
      <c r="D8" s="1056">
        <f>'SEAP template'!D76</f>
        <v>25411.76470588236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5133.176470588237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3665.2920269522438</v>
      </c>
      <c r="C10" s="1060">
        <f>SUM(C4:C9)</f>
        <v>21600</v>
      </c>
      <c r="D10" s="1060">
        <f t="shared" ref="D10:H10" si="0">SUM(D8:D9)</f>
        <v>25411.76470588236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5133.176470588237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0.21133766940961909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30857.142857142855</v>
      </c>
      <c r="D17" s="1057">
        <f>'SEAP template'!D87</f>
        <v>36302.521008403368</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7333.1092436974805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30857.142857142855</v>
      </c>
      <c r="D20" s="1060">
        <f t="shared" ref="D20:H20" si="2">SUM(D17:D19)</f>
        <v>36302.521008403368</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7333.1092436974805</v>
      </c>
    </row>
    <row r="22" spans="1:16">
      <c r="A22" s="487" t="s">
        <v>862</v>
      </c>
      <c r="B22" s="786" t="s">
        <v>856</v>
      </c>
      <c r="C22" s="786">
        <f ca="1">'EF ele_warmte'!B22</f>
        <v>0.23764705882352949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0.21133766940961909</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2019-08-12T08:34:43Z</dcterms:modified>
</cp:coreProperties>
</file>