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L90" i="14"/>
  <c r="L18" i="61"/>
  <c r="L78" i="14"/>
  <c r="L8" i="61"/>
  <c r="L10" s="1"/>
  <c r="B10" i="18"/>
  <c r="H9"/>
  <c r="M77" i="14" s="1"/>
  <c r="M9" i="61" s="1"/>
  <c r="L20"/>
  <c r="P31" i="48"/>
  <c r="J22" i="14"/>
  <c r="G77"/>
  <c r="G9" i="61" s="1"/>
  <c r="G10" s="1"/>
  <c r="H20"/>
  <c r="P25" i="48"/>
  <c r="I77" i="14"/>
  <c r="I9" i="61" s="1"/>
  <c r="O9" i="18"/>
  <c r="O10" i="61"/>
  <c r="G20"/>
  <c r="K20"/>
  <c r="Q11" i="48"/>
  <c r="O25"/>
  <c r="E20" i="61"/>
  <c r="O32" i="48"/>
  <c r="C98" i="18"/>
  <c r="I101" s="1"/>
  <c r="H8" s="1"/>
  <c r="D13" i="15"/>
  <c r="B72" i="14"/>
  <c r="B4" i="61" s="1"/>
  <c r="O30" i="48"/>
  <c r="C13" i="15"/>
  <c r="L13"/>
  <c r="B13"/>
  <c r="H90" i="14"/>
  <c r="N13" i="15"/>
  <c r="F77" i="14"/>
  <c r="F9" i="61" s="1"/>
  <c r="F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H101" i="18"/>
  <c r="D101"/>
  <c r="C101"/>
  <c r="E101"/>
  <c r="E8" s="1"/>
  <c r="E10" s="1"/>
  <c r="G101"/>
  <c r="I8" s="1"/>
  <c r="O90" i="14"/>
  <c r="O18" i="61"/>
  <c r="O20" s="1"/>
  <c r="B101" i="18"/>
  <c r="C8" s="1"/>
  <c r="C10" s="1"/>
  <c r="B88" i="14"/>
  <c r="B18" i="61" s="1"/>
  <c r="B77" i="14"/>
  <c r="B9" i="61" s="1"/>
  <c r="Q77" i="14"/>
  <c r="P9" i="61" s="1"/>
  <c r="J17" i="18"/>
  <c r="H20"/>
  <c r="M87" i="14"/>
  <c r="J8" i="18"/>
  <c r="M76" i="14"/>
  <c r="H10" i="18"/>
  <c r="E20"/>
  <c r="F87" i="14"/>
  <c r="C77"/>
  <c r="C9" i="61" s="1"/>
  <c r="C20" i="18"/>
  <c r="D87" i="14"/>
  <c r="D17" i="61" s="1"/>
  <c r="D20" s="1"/>
  <c r="D76" i="14"/>
  <c r="D8" i="61" s="1"/>
  <c r="C88" i="14"/>
  <c r="C18" i="61" s="1"/>
  <c r="F76" i="14"/>
  <c r="I17" i="18"/>
  <c r="I10"/>
  <c r="I76" i="14"/>
  <c r="I8" i="61" s="1"/>
  <c r="I10" s="1"/>
  <c r="Q88" i="14"/>
  <c r="P18" i="61" s="1"/>
  <c r="AC15" i="5"/>
  <c r="F78" i="14" l="1"/>
  <c r="F8" i="61"/>
  <c r="F10" s="1"/>
  <c r="F90" i="14"/>
  <c r="F17" i="61"/>
  <c r="F20" s="1"/>
  <c r="M90" i="14"/>
  <c r="M17" i="61"/>
  <c r="M20" s="1"/>
  <c r="M78" i="14"/>
  <c r="M8" i="61"/>
  <c r="M1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G5" i="48" l="1"/>
  <c r="H10" i="14"/>
  <c r="H16" s="1"/>
  <c r="B4" i="6"/>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9" i="48" l="1"/>
  <c r="I31"/>
  <c r="I25"/>
  <c r="I24"/>
  <c r="I28"/>
  <c r="I30"/>
  <c r="I32"/>
  <c r="I27"/>
  <c r="I22"/>
  <c r="I26"/>
  <c r="E11" i="14"/>
  <c r="D4" i="48"/>
  <c r="D22" s="1"/>
  <c r="D11" i="14"/>
  <c r="C4" i="48"/>
  <c r="B4"/>
  <c r="C11" i="14"/>
  <c r="N32" i="48"/>
  <c r="N24"/>
  <c r="N27"/>
  <c r="N31"/>
  <c r="N30"/>
  <c r="N29"/>
  <c r="N28"/>
  <c r="B10"/>
  <c r="C19" i="14"/>
  <c r="L10"/>
  <c r="L16" s="1"/>
  <c r="L27" s="1"/>
  <c r="K5" i="48"/>
  <c r="D30"/>
  <c r="D28"/>
  <c r="D29"/>
  <c r="D31"/>
  <c r="D32"/>
  <c r="D24"/>
  <c r="K32"/>
  <c r="K24"/>
  <c r="K31"/>
  <c r="K28"/>
  <c r="K22"/>
  <c r="K30"/>
  <c r="K25"/>
  <c r="K26"/>
  <c r="K29"/>
  <c r="K27"/>
  <c r="B7"/>
  <c r="C24" i="14"/>
  <c r="C26" s="1"/>
  <c r="J15" i="16"/>
  <c r="O4" i="48"/>
  <c r="P11" i="14"/>
  <c r="H29" i="48"/>
  <c r="H32"/>
  <c r="H28"/>
  <c r="H30"/>
  <c r="H22"/>
  <c r="H25"/>
  <c r="H26"/>
  <c r="H24"/>
  <c r="H23"/>
  <c r="G23"/>
  <c r="G22"/>
  <c r="G30"/>
  <c r="G32"/>
  <c r="G24"/>
  <c r="G25"/>
  <c r="G26"/>
  <c r="G29"/>
  <c r="F30"/>
  <c r="F32"/>
  <c r="F24"/>
  <c r="F27"/>
  <c r="F29"/>
  <c r="F28"/>
  <c r="F31"/>
  <c r="E31"/>
  <c r="E29"/>
  <c r="E32"/>
  <c r="E24"/>
  <c r="E30"/>
  <c r="E28"/>
  <c r="M29"/>
  <c r="M25"/>
  <c r="M22"/>
  <c r="M26"/>
  <c r="M30"/>
  <c r="M24"/>
  <c r="M32"/>
  <c r="M23"/>
  <c r="L29"/>
  <c r="L32"/>
  <c r="L30"/>
  <c r="L28"/>
  <c r="L31"/>
  <c r="L27"/>
  <c r="L22"/>
  <c r="L24"/>
  <c r="P5"/>
  <c r="P23" s="1"/>
  <c r="Q10" i="14"/>
  <c r="J24" i="48"/>
  <c r="J31"/>
  <c r="J29"/>
  <c r="J30"/>
  <c r="J32"/>
  <c r="J27"/>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E9"/>
  <c r="E27" s="1"/>
  <c r="F20" i="14"/>
  <c r="F22" s="1"/>
  <c r="P8" i="48"/>
  <c r="P26" s="1"/>
  <c r="Q13" i="14"/>
  <c r="D9" i="48"/>
  <c r="D27" s="1"/>
  <c r="E20" i="14"/>
  <c r="E22" s="1"/>
  <c r="O5" i="48"/>
  <c r="O23" s="1"/>
  <c r="P10" i="14"/>
  <c r="P22" i="48"/>
  <c r="P15"/>
  <c r="C22" i="14"/>
  <c r="H18"/>
  <c r="G13" i="48"/>
  <c r="G31" s="1"/>
  <c r="B9"/>
  <c r="C20" i="14"/>
  <c r="K24"/>
  <c r="K26" s="1"/>
  <c r="J7" i="48"/>
  <c r="J25" s="1"/>
  <c r="G11" i="14"/>
  <c r="F4" i="48"/>
  <c r="F22" s="1"/>
  <c r="J10" i="14"/>
  <c r="J16" s="1"/>
  <c r="J27" s="1"/>
  <c r="J63" s="1"/>
  <c r="I5" i="48"/>
  <c r="O22"/>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F11" i="14"/>
  <c r="E4" i="48"/>
  <c r="P13" i="14"/>
  <c r="P16" s="1"/>
  <c r="P27" s="1"/>
  <c r="O8" i="48"/>
  <c r="O26" s="1"/>
  <c r="J4"/>
  <c r="K11" i="14"/>
  <c r="O11"/>
  <c r="N4" i="48"/>
  <c r="N22" s="1"/>
  <c r="I23"/>
  <c r="I33" s="1"/>
  <c r="I15"/>
  <c r="Q63" i="14"/>
  <c r="M14" i="22"/>
  <c r="O15" i="48"/>
  <c r="O33"/>
  <c r="H14" i="22"/>
  <c r="P33" i="48"/>
  <c r="G10"/>
  <c r="H19" i="14"/>
  <c r="E7" i="48"/>
  <c r="E25" s="1"/>
  <c r="F24" i="14"/>
  <c r="F26" s="1"/>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E22" i="48" l="1"/>
  <c r="Q4"/>
  <c r="E5"/>
  <c r="E23" s="1"/>
  <c r="F10" i="14"/>
  <c r="G28" i="48"/>
  <c r="Q10"/>
  <c r="G9"/>
  <c r="H20" i="14"/>
  <c r="H22" s="1"/>
  <c r="H27" s="1"/>
  <c r="K10"/>
  <c r="J5" i="48"/>
  <c r="J23" s="1"/>
  <c r="R19" i="14"/>
  <c r="J22" i="48"/>
  <c r="R11" i="14"/>
  <c r="M15" i="48"/>
  <c r="M27"/>
  <c r="M33" s="1"/>
  <c r="H15"/>
  <c r="H27"/>
  <c r="H33" s="1"/>
  <c r="N63" i="14"/>
  <c r="R20"/>
  <c r="R22" s="1"/>
  <c r="R24"/>
  <c r="R26" s="1"/>
  <c r="N18" i="16"/>
  <c r="E20" i="15"/>
  <c r="F40" i="14" s="1"/>
  <c r="F18" i="16"/>
  <c r="J18"/>
  <c r="E18"/>
  <c r="G18" i="22"/>
  <c r="H50" i="14" s="1"/>
  <c r="H52" s="1"/>
  <c r="H61" s="1"/>
  <c r="H63" s="1"/>
  <c r="H18" i="22"/>
  <c r="I50" i="14" s="1"/>
  <c r="I52" s="1"/>
  <c r="I61" s="1"/>
  <c r="I63" s="1"/>
  <c r="G27" i="48" l="1"/>
  <c r="G33" s="1"/>
  <c r="G15"/>
  <c r="K16" i="14"/>
  <c r="K27" s="1"/>
  <c r="K63" s="1"/>
  <c r="Q9" i="48"/>
  <c r="K13" i="14"/>
  <c r="J8" i="48"/>
  <c r="E8"/>
  <c r="F13" i="14"/>
  <c r="F16" s="1"/>
  <c r="F27" s="1"/>
  <c r="N8" i="48"/>
  <c r="N26" s="1"/>
  <c r="O13" i="14"/>
  <c r="F8" i="48"/>
  <c r="G13" i="14"/>
  <c r="E22" i="16"/>
  <c r="F43" i="14" s="1"/>
  <c r="F46" s="1"/>
  <c r="F61" s="1"/>
  <c r="F22" i="16"/>
  <c r="G43" i="14" s="1"/>
  <c r="N22" i="16"/>
  <c r="O43" i="14" s="1"/>
  <c r="J22" i="16"/>
  <c r="K43" i="14" s="1"/>
  <c r="K46" s="1"/>
  <c r="K61" s="1"/>
  <c r="F63" l="1"/>
  <c r="J26" i="48"/>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<sst xmlns="http://schemas.openxmlformats.org/spreadsheetml/2006/main" count="2401" uniqueCount="891">
  <si>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</si>
  <si>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</si>
  <si>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</si>
  <si>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</si>
  <si>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</si>
  <si>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</si>
  <si>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</si>
  <si>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</si>
  <si>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</si>
  <si>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</si>
  <si>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</si>
  <si>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</si>
  <si>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</si>
  <si>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</si>
  <si>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</si>
  <si>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</si>
  <si>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</si>
  <si>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</si>
  <si>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</si>
  <si>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</si>
  <si>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</si>
  <si>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</si>
  <si>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</si>
  <si>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</si>
  <si>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</si>
  <si>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</si>
  <si>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</si>
  <si>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</si>
  <si>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</si>
  <si>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</si>
  <si>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</si>
  <si>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</si>
  <si>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</si>
  <si>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</si>
  <si>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</si>
  <si>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</si>
  <si>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</si>
  <si>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</si>
  <si>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</si>
  <si>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</si>
  <si>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</si>
  <si>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</si>
  <si>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</si>
  <si>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</si>
  <si>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</si>
  <si>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</si>
  <si>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</si>
  <si>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</si>
  <si>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</si>
  <si>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</si>
  <si>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</si>
  <si>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</si>
  <si>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</si>
  <si>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</si>
  <si>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</si>
  <si>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</si>
  <si>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</si>
  <si>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</si>
  <si>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</si>
  <si>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</si>
  <si>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</si>
  <si>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</si>
  <si>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</si>
  <si>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</si>
  <si>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</si>
  <si>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</si>
  <si>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</si>
  <si>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</si>
  <si>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</si>
  <si>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</si>
  <si>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</si>
  <si>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</si>
  <si>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</si>
  <si>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</si>
  <si>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</si>
  <si>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</si>
  <si>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</si>
  <si>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</si>
  <si>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</si>
  <si>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</si>
  <si>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</si>
  <si>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</si>
  <si>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</si>
  <si>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</si>
  <si>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</si>
  <si>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</si>
  <si>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</si>
  <si>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</si>
  <si>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</si>
  <si>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</si>
  <si>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</si>
  <si>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</si>
  <si>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</si>
  <si>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</si>
  <si>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</si>
  <si>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</si>
  <si>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</si>
  <si>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</si>
  <si>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</si>
  <si>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</si>
  <si>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</si>
  <si>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</si>
  <si>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</si>
  <si>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</si>
  <si>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</si>
  <si>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</si>
  <si>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</si>
  <si>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</si>
  <si>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</si>
  <si>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</si>
  <si>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</si>
  <si>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</si>
  <si>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</si>
  <si>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</si>
  <si>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</si>
  <si>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</si>
  <si>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</si>
  <si>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</si>
  <si>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</si>
  <si>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</si>
  <si>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</si>
  <si>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</si>
  <si>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</si>
  <si>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</si>
  <si>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</si>
  <si>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</si>
  <si>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</si>
  <si>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</si>
  <si>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</si>
  <si>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</si>
  <si>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</si>
  <si>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</si>
  <si>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</si>
  <si>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</si>
  <si>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</si>
  <si>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</si>
  <si>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</si>
  <si>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</si>
  <si>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</si>
  <si>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</si>
  <si>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</si>
  <si>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</si>
  <si>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</si>
  <si>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</si>
  <si>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</si>
  <si>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</si>
  <si>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</si>
  <si>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</si>
  <si>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</si>
  <si>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</si>
  <si>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</si>
  <si>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</si>
  <si>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</si>
  <si>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</si>
  <si>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</si>
  <si>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</si>
  <si>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</si>
  <si>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</si>
  <si>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</si>
  <si>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</si>
  <si>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</si>
  <si>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</si>
  <si>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</si>
  <si>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</si>
  <si>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</si>
  <si>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</si>
  <si>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</si>
  <si>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</si>
  <si>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</si>
  <si>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</si>
  <si>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</si>
  <si>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</si>
  <si>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</si>
  <si>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</si>
  <si>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</si>
  <si>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</si>
  <si>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</si>
  <si>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</si>
  <si>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</si>
  <si>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</si>
  <si>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</si>
  <si>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</si>
  <si>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</si>
  <si>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</si>
  <si>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</si>
  <si>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</si>
  <si>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</si>
  <si>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</si>
  <si>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</si>
  <si>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</si>
  <si>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</si>
  <si>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</si>
  <si>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</si>
  <si>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</si>
  <si>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</si>
  <si>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</si>
  <si>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</si>
  <si>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</si>
  <si>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</si>
  <si>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</si>
  <si>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</si>
  <si>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</si>
  <si>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</si>
  <si>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</si>
  <si>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</si>
  <si>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</si>
  <si>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</si>
  <si>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</si>
  <si>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</si>
  <si>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</si>
  <si>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</si>
  <si>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</si>
  <si>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</si>
  <si>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</si>
  <si>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</si>
  <si>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</si>
  <si>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</si>
  <si>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</si>
  <si>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</si>
  <si>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</si>
  <si>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</si>
  <si>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</si>
  <si>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</si>
  <si>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</si>
  <si>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</si>
  <si>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</si>
  <si>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</si>
  <si>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</si>
  <si>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</si>
  <si>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</si>
  <si>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</si>
  <si>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</si>
  <si>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</si>
  <si>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</si>
  <si>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</si>
  <si>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</si>
  <si>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</si>
  <si>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</si>
  <si>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</si>
  <si>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</si>
  <si>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</si>
  <si>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</si>
  <si>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</si>
  <si>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</si>
  <si>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</si>
  <si>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</si>
  <si>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</si>
  <si>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</si>
  <si>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</si>
  <si>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</si>
  <si>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</si>
  <si>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</si>
  <si>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</si>
  <si>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</si>
  <si>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</si>
  <si>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</si>
  <si>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</si>
  <si>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</si>
  <si>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</si>
  <si>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</si>
  <si>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</si>
  <si>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</si>
  <si>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</si>
  <si>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</si>
  <si>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</si>
  <si>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</si>
  <si>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</si>
  <si>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</si>
  <si>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</si>
  <si>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</si>
  <si>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</si>
  <si>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</si>
  <si>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</si>
  <si>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</si>
  <si>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</si>
  <si>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</si>
  <si>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</si>
  <si>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</si>
  <si>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</si>
  <si>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</si>
  <si>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</si>
  <si>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</si>
  <si>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</si>
  <si>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</si>
  <si>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</si>
  <si>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</si>
  <si>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</si>
  <si>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</si>
  <si>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</si>
  <si>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</si>
  <si>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</si>
  <si>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</si>
  <si>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</si>
  <si>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</si>
  <si>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</si>
  <si>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</si>
  <si>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</si>
  <si>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</si>
  <si>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</si>
  <si>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</si>
  <si>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</si>
  <si>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</si>
  <si>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</si>
  <si>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</si>
  <si>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</si>
  <si>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</si>
  <si>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</si>
  <si>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</si>
  <si>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</si>
  <si>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</si>
  <si>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</si>
  <si>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</si>
  <si>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</si>
  <si>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</si>
  <si>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</si>
  <si>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</si>
  <si>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</si>
  <si>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</si>
  <si>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</si>
  <si>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</si>
  <si>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</si>
  <si>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</si>
  <si>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</si>
  <si>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</si>
  <si>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</si>
  <si>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</si>
  <si>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</si>
  <si>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</si>
  <si>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</si>
  <si>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</si>
  <si>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</si>
  <si>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</si>
  <si>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</si>
  <si>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</si>
  <si>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</si>
  <si>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</si>
  <si>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</si>
  <si>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</si>
  <si>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</si>
  <si>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</si>
  <si>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</si>
  <si>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</si>
  <si>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</si>
  <si>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</si>
  <si>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</si>
  <si>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</si>
  <si>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</si>
  <si>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</si>
  <si>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</si>
  <si>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</si>
  <si>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</si>
  <si>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</si>
  <si>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</si>
  <si>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</si>
  <si>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</si>
  <si>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</si>
  <si>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</si>
  <si>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</si>
  <si>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</si>
  <si>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</si>
  <si>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</si>
  <si>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</si>
  <si>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</si>
  <si>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</si>
  <si>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</si>
  <si>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</si>
  <si>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</si>
  <si>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</si>
  <si>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</si>
  <si>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</si>
  <si>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</si>
  <si>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</si>
  <si>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</si>
  <si>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</si>
  <si>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</si>
  <si>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</si>
  <si>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</si>
  <si>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</si>
  <si>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</si>
  <si>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</si>
  <si>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</si>
  <si>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</si>
  <si>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</si>
  <si>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</si>
  <si>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</si>
  <si>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</si>
  <si>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</si>
  <si>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</si>
  <si>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</si>
  <si>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</si>
  <si>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</si>
  <si>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</si>
  <si>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</si>
  <si>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</si>
  <si>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</si>
  <si>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</si>
  <si>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</si>
  <si>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</si>
  <si>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</si>
  <si>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</si>
  <si>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</si>
  <si>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</si>
  <si>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</si>
  <si>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</si>
  <si>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</si>
  <si>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</si>
  <si>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</si>
  <si>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</si>
  <si>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</si>
  <si>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</si>
  <si>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</si>
  <si>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</si>
  <si>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</si>
  <si>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</si>
  <si>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</si>
  <si>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</si>
  <si>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</si>
  <si>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</si>
  <si>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</si>
  <si>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</si>
  <si>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</si>
  <si>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</si>
  <si>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</si>
  <si>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</si>
  <si>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</si>
  <si>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</si>
  <si>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</si>
  <si>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</si>
  <si>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</si>
  <si>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</si>
  <si>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</si>
  <si>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</si>
  <si>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</si>
  <si>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</si>
  <si>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</si>
  <si>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</si>
  <si>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</si>
  <si>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</si>
  <si>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</si>
  <si>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</si>
  <si>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</si>
  <si>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</si>
  <si>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</si>
  <si>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</si>
  <si>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</si>
  <si>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</si>
  <si>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</si>
  <si>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</si>
  <si>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</si>
  <si>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</si>
  <si>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</si>
  <si>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</si>
  <si>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</si>
  <si>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</si>
  <si>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</si>
  <si>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</si>
  <si>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</si>
  <si>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</si>
  <si>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</si>
  <si>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</si>
  <si>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</si>
  <si>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</si>
  <si>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</si>
  <si>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</si>
  <si>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</si>
  <si>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</si>
  <si>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</si>
  <si>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</si>
  <si>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</si>
  <si>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</si>
  <si>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</si>
  <si>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</si>
  <si>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</si>
  <si>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</si>
  <si>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</si>
  <si>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</si>
  <si>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</si>
  <si>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</si>
  <si>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</si>
  <si>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</si>
  <si>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</si>
  <si>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</si>
  <si>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</si>
  <si>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</si>
  <si>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</si>
  <si>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</si>
  <si>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</si>
  <si>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</si>
  <si>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</si>
  <si>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</si>
  <si>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</si>
  <si>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</si>
  <si>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</si>
  <si>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</si>
  <si>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</si>
  <si>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</si>
  <si>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</si>
  <si>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</si>
  <si>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</si>
  <si>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</si>
  <si>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</si>
  <si>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</si>
  <si>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</si>
  <si>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</si>
  <si>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</si>
  <si>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</si>
  <si>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</si>
  <si>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</si>
  <si>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</si>
  <si>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</si>
  <si>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</si>
  <si>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</si>
  <si>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</si>
  <si>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</si>
  <si>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</si>
  <si>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</si>
  <si>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</si>
  <si>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</si>
  <si>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</si>
  <si>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</si>
  <si>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</si>
  <si>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</si>
  <si>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</si>
  <si>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</si>
  <si>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</si>
  <si>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</si>
  <si>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</si>
  <si>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</si>
  <si>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</si>
  <si>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</si>
  <si>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</si>
  <si>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</si>
  <si>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</si>
  <si>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</si>
  <si>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</si>
  <si>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</si>
  <si>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</si>
  <si>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</si>
  <si>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</si>
  <si>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</si>
  <si>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</si>
  <si>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</si>
  <si>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</si>
  <si>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</si>
  <si>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</si>
  <si>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</si>
  <si>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</si>
  <si>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</si>
  <si>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</si>
  <si>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</si>
  <si>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</si>
  <si>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</si>
  <si>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</si>
  <si>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</si>
  <si>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</si>
  <si>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</si>
  <si>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</si>
  <si>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</si>
  <si>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</si>
  <si>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</si>
  <si>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</si>
  <si>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</si>
  <si>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</si>
  <si>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</si>
  <si>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</si>
  <si>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</si>
  <si>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</si>
  <si>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</si>
  <si>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</si>
  <si>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</si>
  <si>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</si>
  <si>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</si>
  <si>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</si>
  <si>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</si>
  <si>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</si>
  <si>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</si>
  <si>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</si>
  <si>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</si>
  <si>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</si>
  <si>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</si>
  <si>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</si>
  <si>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</si>
  <si>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</si>
  <si>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</si>
  <si>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</si>
  <si>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</si>
  <si>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</si>
  <si>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</si>
  <si>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</si>
  <si>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</si>
  <si>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</si>
  <si>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</si>
  <si>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</si>
  <si>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</si>
  <si>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</si>
  <si>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</si>
  <si>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</si>
  <si>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</si>
  <si>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</si>
  <si>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</si>
  <si>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</si>
  <si>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</si>
  <si>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</si>
  <si>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</si>
  <si>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</si>
  <si>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</si>
  <si>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</si>
  <si>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</si>
  <si>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</si>
  <si>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</si>
  <si>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</si>
  <si>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</si>
  <si>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</si>
  <si>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</si>
  <si>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</si>
  <si>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</si>
  <si>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</si>
  <si>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</si>
  <si>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</si>
  <si>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</si>
  <si>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</si>
  <si>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</si>
  <si>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</si>
  <si>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</si>
  <si>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</si>
  <si>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</si>
  <si>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</si>
  <si>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</si>
  <si>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</si>
  <si>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</si>
  <si>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</si>
  <si>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</si>
  <si>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</si>
  <si>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</si>
  <si>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</si>
  <si>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</si>
  <si>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</si>
  <si>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</si>
  <si>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</si>
  <si>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</si>
  <si>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</si>
  <si>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</si>
  <si>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</si>
  <si>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</si>
  <si>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</si>
  <si>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</si>
  <si>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</si>
  <si>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</si>
  <si>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</si>
  <si>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</si>
  <si>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</si>
  <si>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</si>
  <si>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</si>
  <si>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</si>
  <si>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</si>
  <si>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</si>
  <si>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</si>
  <si>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</si>
  <si>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</si>
  <si>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</si>
  <si>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</si>
  <si>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</si>
  <si>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</si>
  <si>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</si>
  <si>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</si>
  <si>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</si>
  <si>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</si>
  <si>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</si>
  <si>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</si>
  <si>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</si>
  <si>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</si>
  <si>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</si>
  <si>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</si>
  <si>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</si>
  <si>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</si>
  <si>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</si>
  <si>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</si>
  <si>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</si>
  <si>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</si>
  <si>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</si>
  <si>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</si>
  <si>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</si>
  <si>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</si>
  <si>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</si>
  <si>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</si>
  <si>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</si>
  <si>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</si>
  <si>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</si>
  <si>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</si>
  <si>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</si>
  <si>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</si>
  <si>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</si>
  <si>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</si>
  <si>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</si>
  <si>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</si>
  <si>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</si>
  <si>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</si>
  <si>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</si>
  <si>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</si>
  <si>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</si>
  <si>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</si>
  <si>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</si>
  <si>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</si>
  <si>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</si>
  <si>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</si>
  <si>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</si>
  <si>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</si>
  <si>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</si>
  <si>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</si>
  <si>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</si>
  <si>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</si>
  <si>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</si>
  <si>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</si>
  <si>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</si>
  <si>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</si>
  <si>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</si>
  <si>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</si>
  <si>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</si>
  <si>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</si>
  <si>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</si>
  <si>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</si>
  <si>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</si>
  <si>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</si>
  <si>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</si>
  <si>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</si>
  <si>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</si>
  <si>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</si>
  <si>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</si>
  <si>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</si>
  <si>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</si>
  <si>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</si>
  <si>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</si>
  <si>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</si>
  <si>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</si>
  <si>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</si>
  <si>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</si>
  <si>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</si>
  <si>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</si>
  <si>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</si>
  <si>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</si>
  <si>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</si>
  <si>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</si>
  <si>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</si>
  <si>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</si>
  <si>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</si>
  <si>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</si>
  <si>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</si>
  <si>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</si>
  <si>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</si>
  <si>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</si>
  <si>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</si>
  <si>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</si>
  <si>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</si>
  <si>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</si>
  <si>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</si>
  <si>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</si>
  <si>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</si>
  <si>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</si>
  <si>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</si>
  <si>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</si>
  <si>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</si>
  <si>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</si>
  <si>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</si>
  <si>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</si>
  <si>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</si>
  <si>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</si>
  <si>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</si>
  <si>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</si>
  <si>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</si>
  <si>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</si>
  <si>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</si>
  <si>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</si>
  <si>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</si>
  <si>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</si>
  <si>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</si>
  <si>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</si>
  <si>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</si>
  <si>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</si>
  <si>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</si>
  <si>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</si>
  <si>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</si>
  <si>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</si>
  <si>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</si>
  <si>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</si>
  <si>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</si>
  <si>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</si>
  <si>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</si>
  <si>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</si>
  <si>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</si>
  <si>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</si>
  <si>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</si>
  <si>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</si>
  <si>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</si>
  <si>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</si>
  <si>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</si>
  <si>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</si>
  <si>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</si>
  <si>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</si>
  <si>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</si>
  <si>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</si>
  <si>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</si>
  <si>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</si>
  <si>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</si>
  <si>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</si>
  <si>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</si>
  <si>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</si>
  <si>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</si>
  <si>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</si>
  <si>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</si>
  <si>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</si>
  <si>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</si>
  <si>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</si>
  <si>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</si>
  <si>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</si>
  <si>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</si>
  <si>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</si>
  <si>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</si>
  <si>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</si>
  <si>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</si>
  <si>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</si>
  <si>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</si>
  <si>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</si>
  <si>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</si>
  <si>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</si>
  <si>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</si>
  <si>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</si>
  <si>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</si>
  <si>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</si>
  <si>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</si>
  <si>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</si>
  <si>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</si>
  <si>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</si>
  <si>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</si>
  <si>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</si>
  <si>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</si>
  <si>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</si>
  <si>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</si>
  <si>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</si>
  <si>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</si>
  <si>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</si>
  <si>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</si>
  <si>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</si>
  <si>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</si>
  <si>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</si>
  <si>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</si>
  <si>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</si>
  <si>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</si>
  <si>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</si>
  <si>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</si>
  <si>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</si>
  <si>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</si>
  <si>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</si>
  <si>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</si>
  <si>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</si>
  <si>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</si>
  <si>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</si>
  <si>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</si>
  <si>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</si>
  <si>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</si>
  <si>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</si>
  <si>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</si>
  <si>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</si>
  <si>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</si>
  <si>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</si>
  <si>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</si>
  <si>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</si>
  <si>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</si>
  <si>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</si>
  <si>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</si>
  <si>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</si>
  <si>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</si>
  <si>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</si>
  <si>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</si>
  <si>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44048</t>
  </si>
  <si>
    <t>NAZARETH</t>
  </si>
  <si>
    <t>Eandis (januari 2018); Infrax (juni 2018)</t>
  </si>
  <si>
    <t>MOW (september 2017)</t>
  </si>
  <si>
    <t>referentietaak LNE (2017); Jaarverslag De Lijn (2016)</t>
  </si>
  <si>
    <t>VEA (april 2018)</t>
  </si>
  <si>
    <t>VEA (januari 2017)</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</si>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</sst>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100742.85903222667</c:v>
                </c:pt>
                <c:pt idx="1">
                  <c:v>57897.623635462121</c:v>
                </c:pt>
                <c:pt idx="2">
                  <c:v>996.298</c:v>
                </c:pt>
                <c:pt idx="3">
                  <c:v>9793.9011665064409</c:v>
                </c:pt>
                <c:pt idx="4">
                  <c:v>152465.52959171031</c:v>
                </c:pt>
                <c:pt idx="5">
                  <c:v>385711.88457748096</c:v>
                </c:pt>
                <c:pt idx="6">
                  <c:v>819.13831099395429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100742.85903222667</c:v>
                </c:pt>
                <c:pt idx="1">
                  <c:v>57897.623635462121</c:v>
                </c:pt>
                <c:pt idx="2">
                  <c:v>996.298</c:v>
                </c:pt>
                <c:pt idx="3">
                  <c:v>9793.9011665064409</c:v>
                </c:pt>
                <c:pt idx="4">
                  <c:v>152465.52959171031</c:v>
                </c:pt>
                <c:pt idx="5">
                  <c:v>385711.88457748096</c:v>
                </c:pt>
                <c:pt idx="6">
                  <c:v>819.13831099395429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20301.901323184054</c:v>
                </c:pt>
                <c:pt idx="2">
                  <c:v>11853.071703665757</c:v>
                </c:pt>
                <c:pt idx="3">
                  <c:v>208.02121529640482</c:v>
                </c:pt>
                <c:pt idx="4">
                  <c:v>2479.3343441257507</c:v>
                </c:pt>
                <c:pt idx="5">
                  <c:v>28783.553063073312</c:v>
                </c:pt>
                <c:pt idx="6">
                  <c:v>96763.734262061451</c:v>
                </c:pt>
                <c:pt idx="7">
                  <c:v>206.95575573181085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20301.901323184054</c:v>
                </c:pt>
                <c:pt idx="2">
                  <c:v>11853.071703665757</c:v>
                </c:pt>
                <c:pt idx="3">
                  <c:v>208.02121529640482</c:v>
                </c:pt>
                <c:pt idx="4">
                  <c:v>2479.3343441257507</c:v>
                </c:pt>
                <c:pt idx="5">
                  <c:v>28783.553063073312</c:v>
                </c:pt>
                <c:pt idx="6">
                  <c:v>96763.734262061451</c:v>
                </c:pt>
                <c:pt idx="7">
                  <c:v>206.95575573181085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34699.894947308501</v>
      </c>
      <c r="D10" s="1013">
        <f ca="1">tertiair!C16</f>
        <v>1285.7142857142858</v>
      </c>
      <c r="E10" s="1013">
        <f ca="1">tertiair!D16</f>
        <v>14352.645318077015</v>
      </c>
      <c r="F10" s="1013">
        <f>tertiair!E16</f>
        <v>462.28999881855827</v>
      </c>
      <c r="G10" s="1013">
        <f ca="1">tertiair!F16</f>
        <v>5641.2566949858883</v>
      </c>
      <c r="H10" s="1013">
        <f>tertiair!G16</f>
        <v>0</v>
      </c>
      <c r="I10" s="1013">
        <f>tertiair!H16</f>
        <v>0</v>
      </c>
      <c r="J10" s="1013">
        <f>tertiair!I16</f>
        <v>0</v>
      </c>
      <c r="K10" s="1013">
        <f>tertiair!J16</f>
        <v>5.9798201960709257E-2</v>
      </c>
      <c r="L10" s="1013">
        <f>tertiair!K16</f>
        <v>0</v>
      </c>
      <c r="M10" s="1013">
        <f ca="1">tertiair!L16</f>
        <v>0</v>
      </c>
      <c r="N10" s="1013">
        <f>tertiair!M16</f>
        <v>0</v>
      </c>
      <c r="O10" s="1013">
        <f ca="1">tertiair!N16</f>
        <v>2412.3639256892538</v>
      </c>
      <c r="P10" s="1013">
        <f>tertiair!O16</f>
        <v>1.5633333333333335</v>
      </c>
      <c r="Q10" s="1014">
        <f>tertiair!P16</f>
        <v>38.133333333333333</v>
      </c>
      <c r="R10" s="700">
        <f ca="1">SUM(C10:Q10)</f>
        <v>58893.921635462131</v>
      </c>
      <c r="S10" s="67"/>
    </row>
    <row r="11" spans="1:19" s="473" customFormat="1">
      <c r="A11" s="809" t="s">
        <v>225</v>
      </c>
      <c r="B11" s="814"/>
      <c r="C11" s="1013">
        <f>huishoudens!B8</f>
        <v>23064.9951042338</v>
      </c>
      <c r="D11" s="1013">
        <f>huishoudens!C8</f>
        <v>0</v>
      </c>
      <c r="E11" s="1013">
        <f>huishoudens!D8</f>
        <v>22235.168560056045</v>
      </c>
      <c r="F11" s="1013">
        <f>huishoudens!E8</f>
        <v>2577.9060443455214</v>
      </c>
      <c r="G11" s="1013">
        <f>huishoudens!F8</f>
        <v>38757.35393098028</v>
      </c>
      <c r="H11" s="1013">
        <f>huishoudens!G8</f>
        <v>0</v>
      </c>
      <c r="I11" s="1013">
        <f>huishoudens!H8</f>
        <v>0</v>
      </c>
      <c r="J11" s="1013">
        <f>huishoudens!I8</f>
        <v>0</v>
      </c>
      <c r="K11" s="1013">
        <f>huishoudens!J8</f>
        <v>172.77560214095769</v>
      </c>
      <c r="L11" s="1013">
        <f>huishoudens!K8</f>
        <v>0</v>
      </c>
      <c r="M11" s="1013">
        <f>huishoudens!L8</f>
        <v>0</v>
      </c>
      <c r="N11" s="1013">
        <f>huishoudens!M8</f>
        <v>0</v>
      </c>
      <c r="O11" s="1013">
        <f>huishoudens!N8</f>
        <v>12550.519790470067</v>
      </c>
      <c r="P11" s="1013">
        <f>huishoudens!O8</f>
        <v>278.27333333333337</v>
      </c>
      <c r="Q11" s="1014">
        <f>huishoudens!P8</f>
        <v>1105.8666666666668</v>
      </c>
      <c r="R11" s="700">
        <f>SUM(C11:Q11)</f>
        <v>100742.85903222667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57456.027051015837</v>
      </c>
      <c r="D13" s="1013">
        <f>industrie!C18</f>
        <v>0</v>
      </c>
      <c r="E13" s="1013">
        <f>industrie!D18</f>
        <v>49671.409025112582</v>
      </c>
      <c r="F13" s="1013">
        <f>industrie!E18</f>
        <v>6417.6566209200973</v>
      </c>
      <c r="G13" s="1013">
        <f>industrie!F18</f>
        <v>19655.244419883049</v>
      </c>
      <c r="H13" s="1013">
        <f>industrie!G18</f>
        <v>0</v>
      </c>
      <c r="I13" s="1013">
        <f>industrie!H18</f>
        <v>0</v>
      </c>
      <c r="J13" s="1013">
        <f>industrie!I18</f>
        <v>0</v>
      </c>
      <c r="K13" s="1013">
        <f>industrie!J18</f>
        <v>137.53268803814291</v>
      </c>
      <c r="L13" s="1013">
        <f>industrie!K18</f>
        <v>0</v>
      </c>
      <c r="M13" s="1013">
        <f>industrie!L18</f>
        <v>0</v>
      </c>
      <c r="N13" s="1013">
        <f>industrie!M18</f>
        <v>0</v>
      </c>
      <c r="O13" s="1013">
        <f>industrie!N18</f>
        <v>19127.659786740616</v>
      </c>
      <c r="P13" s="1013">
        <f>industrie!O18</f>
        <v>0</v>
      </c>
      <c r="Q13" s="1014">
        <f>industrie!P18</f>
        <v>0</v>
      </c>
      <c r="R13" s="700">
        <f>SUM(C13:Q13)</f>
        <v>152465.52959171031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115220.91710255813</v>
      </c>
      <c r="D16" s="732">
        <f t="shared" ref="D16:R16" ca="1" si="0">SUM(D9:D15)</f>
        <v>1285.7142857142858</v>
      </c>
      <c r="E16" s="732">
        <f t="shared" ca="1" si="0"/>
        <v>86259.222903245653</v>
      </c>
      <c r="F16" s="732">
        <f t="shared" si="0"/>
        <v>9457.8526640841774</v>
      </c>
      <c r="G16" s="732">
        <f t="shared" ca="1" si="0"/>
        <v>64053.855045849217</v>
      </c>
      <c r="H16" s="732">
        <f t="shared" si="0"/>
        <v>0</v>
      </c>
      <c r="I16" s="732">
        <f t="shared" si="0"/>
        <v>0</v>
      </c>
      <c r="J16" s="732">
        <f t="shared" si="0"/>
        <v>0</v>
      </c>
      <c r="K16" s="732">
        <f t="shared" si="0"/>
        <v>310.36808838106128</v>
      </c>
      <c r="L16" s="732">
        <f t="shared" si="0"/>
        <v>0</v>
      </c>
      <c r="M16" s="732">
        <f t="shared" ca="1" si="0"/>
        <v>0</v>
      </c>
      <c r="N16" s="732">
        <f t="shared" si="0"/>
        <v>0</v>
      </c>
      <c r="O16" s="732">
        <f t="shared" ca="1" si="0"/>
        <v>34090.543502899935</v>
      </c>
      <c r="P16" s="732">
        <f t="shared" si="0"/>
        <v>279.8366666666667</v>
      </c>
      <c r="Q16" s="732">
        <f t="shared" si="0"/>
        <v>1144.0000000000002</v>
      </c>
      <c r="R16" s="732">
        <f t="shared" ca="1" si="0"/>
        <v>312102.31025939912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775.1151900067822</v>
      </c>
      <c r="I19" s="1013">
        <f>transport!H54</f>
        <v>0</v>
      </c>
      <c r="J19" s="1013">
        <f>transport!I54</f>
        <v>0</v>
      </c>
      <c r="K19" s="1013">
        <f>transport!J54</f>
        <v>0</v>
      </c>
      <c r="L19" s="1013">
        <f>transport!K54</f>
        <v>0</v>
      </c>
      <c r="M19" s="1013">
        <f>transport!L54</f>
        <v>0</v>
      </c>
      <c r="N19" s="1013">
        <f>transport!M54</f>
        <v>44.023120987172099</v>
      </c>
      <c r="O19" s="1013">
        <f>transport!N54</f>
        <v>0</v>
      </c>
      <c r="P19" s="1013">
        <f>transport!O54</f>
        <v>0</v>
      </c>
      <c r="Q19" s="1014">
        <f>transport!P54</f>
        <v>0</v>
      </c>
      <c r="R19" s="700">
        <f>SUM(C19:Q19)</f>
        <v>819.13831099395429</v>
      </c>
      <c r="S19" s="67"/>
    </row>
    <row r="20" spans="1:19" s="473" customFormat="1">
      <c r="A20" s="809" t="s">
        <v>307</v>
      </c>
      <c r="B20" s="814"/>
      <c r="C20" s="1013">
        <f>transport!B14</f>
        <v>122.23139536405812</v>
      </c>
      <c r="D20" s="1013">
        <f>transport!C14</f>
        <v>0</v>
      </c>
      <c r="E20" s="1013">
        <f>transport!D14</f>
        <v>397.52971177308251</v>
      </c>
      <c r="F20" s="1013">
        <f>transport!E14</f>
        <v>621.19221125987053</v>
      </c>
      <c r="G20" s="1013">
        <f>transport!F14</f>
        <v>0</v>
      </c>
      <c r="H20" s="1013">
        <f>transport!G14</f>
        <v>318314.64061168511</v>
      </c>
      <c r="I20" s="1013">
        <f>transport!H14</f>
        <v>46292.740490374352</v>
      </c>
      <c r="J20" s="1013">
        <f>transport!I14</f>
        <v>0</v>
      </c>
      <c r="K20" s="1013">
        <f>transport!J14</f>
        <v>0</v>
      </c>
      <c r="L20" s="1013">
        <f>transport!K14</f>
        <v>0</v>
      </c>
      <c r="M20" s="1013">
        <f>transport!L14</f>
        <v>0</v>
      </c>
      <c r="N20" s="1013">
        <f>transport!M14</f>
        <v>19963.550157024543</v>
      </c>
      <c r="O20" s="1013">
        <f>transport!N14</f>
        <v>0</v>
      </c>
      <c r="P20" s="1013">
        <f>transport!O14</f>
        <v>0</v>
      </c>
      <c r="Q20" s="1014">
        <f>transport!P14</f>
        <v>0</v>
      </c>
      <c r="R20" s="700">
        <f>SUM(C20:Q20)</f>
        <v>385711.88457748096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122.23139536405812</v>
      </c>
      <c r="D22" s="812">
        <f t="shared" ref="D22:R22" si="1">SUM(D18:D21)</f>
        <v>0</v>
      </c>
      <c r="E22" s="812">
        <f t="shared" si="1"/>
        <v>397.52971177308251</v>
      </c>
      <c r="F22" s="812">
        <f t="shared" si="1"/>
        <v>621.19221125987053</v>
      </c>
      <c r="G22" s="812">
        <f t="shared" si="1"/>
        <v>0</v>
      </c>
      <c r="H22" s="812">
        <f t="shared" si="1"/>
        <v>319089.75580169191</v>
      </c>
      <c r="I22" s="812">
        <f t="shared" si="1"/>
        <v>46292.740490374352</v>
      </c>
      <c r="J22" s="812">
        <f t="shared" si="1"/>
        <v>0</v>
      </c>
      <c r="K22" s="812">
        <f t="shared" si="1"/>
        <v>0</v>
      </c>
      <c r="L22" s="812">
        <f t="shared" si="1"/>
        <v>0</v>
      </c>
      <c r="M22" s="812">
        <f t="shared" si="1"/>
        <v>0</v>
      </c>
      <c r="N22" s="812">
        <f t="shared" si="1"/>
        <v>20007.573278011714</v>
      </c>
      <c r="O22" s="812">
        <f t="shared" si="1"/>
        <v>0</v>
      </c>
      <c r="P22" s="812">
        <f t="shared" si="1"/>
        <v>0</v>
      </c>
      <c r="Q22" s="812">
        <f t="shared" si="1"/>
        <v>0</v>
      </c>
      <c r="R22" s="812">
        <f t="shared" si="1"/>
        <v>386531.02288847492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1668.0138425249113</v>
      </c>
      <c r="D24" s="1013">
        <f>+landbouw!C8</f>
        <v>0</v>
      </c>
      <c r="E24" s="1013">
        <f>+landbouw!D8</f>
        <v>886.34438445116496</v>
      </c>
      <c r="F24" s="1013">
        <f>+landbouw!E8</f>
        <v>49.028021534120398</v>
      </c>
      <c r="G24" s="1013">
        <f>+landbouw!F8</f>
        <v>6948.855533221692</v>
      </c>
      <c r="H24" s="1013">
        <f>+landbouw!G8</f>
        <v>0</v>
      </c>
      <c r="I24" s="1013">
        <f>+landbouw!H8</f>
        <v>0</v>
      </c>
      <c r="J24" s="1013">
        <f>+landbouw!I8</f>
        <v>0</v>
      </c>
      <c r="K24" s="1013">
        <f>+landbouw!J8</f>
        <v>241.65938477455239</v>
      </c>
      <c r="L24" s="1013">
        <f>+landbouw!K8</f>
        <v>0</v>
      </c>
      <c r="M24" s="1013">
        <f>+landbouw!L8</f>
        <v>0</v>
      </c>
      <c r="N24" s="1013">
        <f>+landbouw!M8</f>
        <v>0</v>
      </c>
      <c r="O24" s="1013">
        <f>+landbouw!N8</f>
        <v>0</v>
      </c>
      <c r="P24" s="1013">
        <f>+landbouw!O8</f>
        <v>0</v>
      </c>
      <c r="Q24" s="1014">
        <f>+landbouw!P8</f>
        <v>0</v>
      </c>
      <c r="R24" s="700">
        <f>SUM(C24:Q24)</f>
        <v>9793.9011665064409</v>
      </c>
      <c r="S24" s="67"/>
    </row>
    <row r="25" spans="1:19" s="473" customFormat="1" ht="15" thickBot="1">
      <c r="A25" s="831" t="s">
        <v>836</v>
      </c>
      <c r="B25" s="1016"/>
      <c r="C25" s="1017">
        <f>IF(Onbekend_ele_kWh="---",0,Onbekend_ele_kWh)/1000+IF(REST_rest_ele_kWh="---",0,REST_rest_ele_kWh)/1000</f>
        <v>1058.5080907568702</v>
      </c>
      <c r="D25" s="1017"/>
      <c r="E25" s="1017">
        <f>IF(onbekend_gas_kWh="---",0,onbekend_gas_kWh)/1000+IF(REST_rest_gas_kWh="---",0,REST_rest_gas_kWh)/1000</f>
        <v>753.61423335627501</v>
      </c>
      <c r="F25" s="1017"/>
      <c r="G25" s="1017"/>
      <c r="H25" s="1017"/>
      <c r="I25" s="1017"/>
      <c r="J25" s="1017"/>
      <c r="K25" s="1017"/>
      <c r="L25" s="1017"/>
      <c r="M25" s="1017"/>
      <c r="N25" s="1017"/>
      <c r="O25" s="1017"/>
      <c r="P25" s="1017"/>
      <c r="Q25" s="1018"/>
      <c r="R25" s="700">
        <f>SUM(C25:Q25)</f>
        <v>1812.1223241131452</v>
      </c>
      <c r="S25" s="67"/>
    </row>
    <row r="26" spans="1:19" s="473" customFormat="1" ht="15.75" thickBot="1">
      <c r="A26" s="705" t="s">
        <v>837</v>
      </c>
      <c r="B26" s="817"/>
      <c r="C26" s="812">
        <f>SUM(C24:C25)</f>
        <v>2726.5219332817815</v>
      </c>
      <c r="D26" s="812">
        <f t="shared" ref="D26:R26" si="2">SUM(D24:D25)</f>
        <v>0</v>
      </c>
      <c r="E26" s="812">
        <f t="shared" si="2"/>
        <v>1639.9586178074401</v>
      </c>
      <c r="F26" s="812">
        <f t="shared" si="2"/>
        <v>49.028021534120398</v>
      </c>
      <c r="G26" s="812">
        <f t="shared" si="2"/>
        <v>6948.855533221692</v>
      </c>
      <c r="H26" s="812">
        <f t="shared" si="2"/>
        <v>0</v>
      </c>
      <c r="I26" s="812">
        <f t="shared" si="2"/>
        <v>0</v>
      </c>
      <c r="J26" s="812">
        <f t="shared" si="2"/>
        <v>0</v>
      </c>
      <c r="K26" s="812">
        <f t="shared" si="2"/>
        <v>241.65938477455239</v>
      </c>
      <c r="L26" s="812">
        <f t="shared" si="2"/>
        <v>0</v>
      </c>
      <c r="M26" s="812">
        <f t="shared" si="2"/>
        <v>0</v>
      </c>
      <c r="N26" s="812">
        <f t="shared" si="2"/>
        <v>0</v>
      </c>
      <c r="O26" s="812">
        <f t="shared" si="2"/>
        <v>0</v>
      </c>
      <c r="P26" s="812">
        <f t="shared" si="2"/>
        <v>0</v>
      </c>
      <c r="Q26" s="812">
        <f t="shared" si="2"/>
        <v>0</v>
      </c>
      <c r="R26" s="812">
        <f t="shared" si="2"/>
        <v>11606.023490619586</v>
      </c>
      <c r="S26" s="67"/>
    </row>
    <row r="27" spans="1:19" s="473" customFormat="1" ht="17.25" thickTop="1" thickBot="1">
      <c r="A27" s="706" t="s">
        <v>116</v>
      </c>
      <c r="B27" s="805"/>
      <c r="C27" s="707">
        <f ca="1">C22+C16+C26</f>
        <v>118069.67043120397</v>
      </c>
      <c r="D27" s="707">
        <f t="shared" ref="D27:R27" ca="1" si="3">D22+D16+D26</f>
        <v>1285.7142857142858</v>
      </c>
      <c r="E27" s="707">
        <f t="shared" ca="1" si="3"/>
        <v>88296.711232826172</v>
      </c>
      <c r="F27" s="707">
        <f t="shared" si="3"/>
        <v>10128.07289687817</v>
      </c>
      <c r="G27" s="707">
        <f t="shared" ca="1" si="3"/>
        <v>71002.710579070903</v>
      </c>
      <c r="H27" s="707">
        <f t="shared" si="3"/>
        <v>319089.75580169191</v>
      </c>
      <c r="I27" s="707">
        <f t="shared" si="3"/>
        <v>46292.740490374352</v>
      </c>
      <c r="J27" s="707">
        <f t="shared" si="3"/>
        <v>0</v>
      </c>
      <c r="K27" s="707">
        <f t="shared" si="3"/>
        <v>552.02747315561373</v>
      </c>
      <c r="L27" s="707">
        <f t="shared" si="3"/>
        <v>0</v>
      </c>
      <c r="M27" s="707">
        <f t="shared" ca="1" si="3"/>
        <v>0</v>
      </c>
      <c r="N27" s="707">
        <f t="shared" si="3"/>
        <v>20007.573278011714</v>
      </c>
      <c r="O27" s="707">
        <f t="shared" ca="1" si="3"/>
        <v>34090.543502899935</v>
      </c>
      <c r="P27" s="707">
        <f t="shared" si="3"/>
        <v>279.8366666666667</v>
      </c>
      <c r="Q27" s="707">
        <f t="shared" si="3"/>
        <v>1144.0000000000002</v>
      </c>
      <c r="R27" s="707">
        <f t="shared" ca="1" si="3"/>
        <v>710239.35663849371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7245.1358103666689</v>
      </c>
      <c r="D40" s="1013">
        <f ca="1">tertiair!C20</f>
        <v>305.54621848739504</v>
      </c>
      <c r="E40" s="1013">
        <f ca="1">tertiair!D20</f>
        <v>2899.2343542515573</v>
      </c>
      <c r="F40" s="1013">
        <f>tertiair!E20</f>
        <v>104.93982973181274</v>
      </c>
      <c r="G40" s="1013">
        <f ca="1">tertiair!F20</f>
        <v>1506.2155375612322</v>
      </c>
      <c r="H40" s="1013">
        <f>tertiair!G20</f>
        <v>0</v>
      </c>
      <c r="I40" s="1013">
        <f>tertiair!H20</f>
        <v>0</v>
      </c>
      <c r="J40" s="1013">
        <f>tertiair!I20</f>
        <v>0</v>
      </c>
      <c r="K40" s="1013">
        <f>tertiair!J20</f>
        <v>2.1168563494091075E-2</v>
      </c>
      <c r="L40" s="1013">
        <f>tertiair!K20</f>
        <v>0</v>
      </c>
      <c r="M40" s="1013">
        <f ca="1">tertiair!L20</f>
        <v>0</v>
      </c>
      <c r="N40" s="1013">
        <f>tertiair!M20</f>
        <v>0</v>
      </c>
      <c r="O40" s="1013">
        <f ca="1">tertiair!N20</f>
        <v>0</v>
      </c>
      <c r="P40" s="1013">
        <f>tertiair!O20</f>
        <v>0</v>
      </c>
      <c r="Q40" s="774">
        <f>tertiair!P20</f>
        <v>0</v>
      </c>
      <c r="R40" s="850">
        <f t="shared" ca="1" si="4"/>
        <v>12061.092918962162</v>
      </c>
    </row>
    <row r="41" spans="1:18">
      <c r="A41" s="822" t="s">
        <v>225</v>
      </c>
      <c r="B41" s="829"/>
      <c r="C41" s="1013">
        <f ca="1">huishoudens!B12</f>
        <v>4815.8365392566702</v>
      </c>
      <c r="D41" s="1013">
        <f ca="1">huishoudens!C12</f>
        <v>0</v>
      </c>
      <c r="E41" s="1013">
        <f>huishoudens!D12</f>
        <v>4491.5040491313212</v>
      </c>
      <c r="F41" s="1013">
        <f>huishoudens!E12</f>
        <v>585.18467206643334</v>
      </c>
      <c r="G41" s="1013">
        <f>huishoudens!F12</f>
        <v>10348.213499571735</v>
      </c>
      <c r="H41" s="1013">
        <f>huishoudens!G12</f>
        <v>0</v>
      </c>
      <c r="I41" s="1013">
        <f>huishoudens!H12</f>
        <v>0</v>
      </c>
      <c r="J41" s="1013">
        <f>huishoudens!I12</f>
        <v>0</v>
      </c>
      <c r="K41" s="1013">
        <f>huishoudens!J12</f>
        <v>61.162563157899015</v>
      </c>
      <c r="L41" s="1013">
        <f>huishoudens!K12</f>
        <v>0</v>
      </c>
      <c r="M41" s="1013">
        <f>huishoudens!L12</f>
        <v>0</v>
      </c>
      <c r="N41" s="1013">
        <f>huishoudens!M12</f>
        <v>0</v>
      </c>
      <c r="O41" s="1013">
        <f>huishoudens!N12</f>
        <v>0</v>
      </c>
      <c r="P41" s="1013">
        <f>huishoudens!O12</f>
        <v>0</v>
      </c>
      <c r="Q41" s="774">
        <f>huishoudens!P12</f>
        <v>0</v>
      </c>
      <c r="R41" s="850">
        <f t="shared" ca="1" si="4"/>
        <v>20301.901323184054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11996.483555377432</v>
      </c>
      <c r="D43" s="1013">
        <f ca="1">industrie!C22</f>
        <v>0</v>
      </c>
      <c r="E43" s="1013">
        <f>industrie!D22</f>
        <v>10033.624623072743</v>
      </c>
      <c r="F43" s="1013">
        <f>industrie!E22</f>
        <v>1456.808052948862</v>
      </c>
      <c r="G43" s="1013">
        <f>industrie!F22</f>
        <v>5247.9502601087743</v>
      </c>
      <c r="H43" s="1013">
        <f>industrie!G22</f>
        <v>0</v>
      </c>
      <c r="I43" s="1013">
        <f>industrie!H22</f>
        <v>0</v>
      </c>
      <c r="J43" s="1013">
        <f>industrie!I22</f>
        <v>0</v>
      </c>
      <c r="K43" s="1013">
        <f>industrie!J22</f>
        <v>48.686571565502589</v>
      </c>
      <c r="L43" s="1013">
        <f>industrie!K22</f>
        <v>0</v>
      </c>
      <c r="M43" s="1013">
        <f>industrie!L22</f>
        <v>0</v>
      </c>
      <c r="N43" s="1013">
        <f>industrie!M22</f>
        <v>0</v>
      </c>
      <c r="O43" s="1013">
        <f>industrie!N22</f>
        <v>0</v>
      </c>
      <c r="P43" s="1013">
        <f>industrie!O22</f>
        <v>0</v>
      </c>
      <c r="Q43" s="774">
        <f>industrie!P22</f>
        <v>0</v>
      </c>
      <c r="R43" s="849">
        <f t="shared" ca="1" si="4"/>
        <v>28783.553063073312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24057.45590500077</v>
      </c>
      <c r="D46" s="732">
        <f t="shared" ref="D46:Q46" ca="1" si="5">SUM(D39:D45)</f>
        <v>305.54621848739504</v>
      </c>
      <c r="E46" s="732">
        <f t="shared" ca="1" si="5"/>
        <v>17424.36302645562</v>
      </c>
      <c r="F46" s="732">
        <f t="shared" si="5"/>
        <v>2146.932554747108</v>
      </c>
      <c r="G46" s="732">
        <f t="shared" ca="1" si="5"/>
        <v>17102.379297241743</v>
      </c>
      <c r="H46" s="732">
        <f t="shared" si="5"/>
        <v>0</v>
      </c>
      <c r="I46" s="732">
        <f t="shared" si="5"/>
        <v>0</v>
      </c>
      <c r="J46" s="732">
        <f t="shared" si="5"/>
        <v>0</v>
      </c>
      <c r="K46" s="732">
        <f t="shared" si="5"/>
        <v>109.87030328689571</v>
      </c>
      <c r="L46" s="732">
        <f t="shared" si="5"/>
        <v>0</v>
      </c>
      <c r="M46" s="732">
        <f t="shared" ca="1" si="5"/>
        <v>0</v>
      </c>
      <c r="N46" s="732">
        <f t="shared" si="5"/>
        <v>0</v>
      </c>
      <c r="O46" s="732">
        <f t="shared" ca="1" si="5"/>
        <v>0</v>
      </c>
      <c r="P46" s="732">
        <f t="shared" si="5"/>
        <v>0</v>
      </c>
      <c r="Q46" s="732">
        <f t="shared" si="5"/>
        <v>0</v>
      </c>
      <c r="R46" s="732">
        <f ca="1">SUM(R39:R45)</f>
        <v>61146.54730521953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206.95575573181085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206.95575573181085</v>
      </c>
    </row>
    <row r="50" spans="1:18">
      <c r="A50" s="825" t="s">
        <v>307</v>
      </c>
      <c r="B50" s="835"/>
      <c r="C50" s="703">
        <f ca="1">transport!B18</f>
        <v>25.521202904157903</v>
      </c>
      <c r="D50" s="703">
        <f>transport!C18</f>
        <v>0</v>
      </c>
      <c r="E50" s="703">
        <f>transport!D18</f>
        <v>80.301001778162671</v>
      </c>
      <c r="F50" s="703">
        <f>transport!E18</f>
        <v>141.01063195599062</v>
      </c>
      <c r="G50" s="703">
        <f>transport!F18</f>
        <v>0</v>
      </c>
      <c r="H50" s="703">
        <f>transport!G18</f>
        <v>84990.009043319937</v>
      </c>
      <c r="I50" s="703">
        <f>transport!H18</f>
        <v>11526.892382103213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96763.734262061451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25.521202904157903</v>
      </c>
      <c r="D52" s="732">
        <f t="shared" ref="D52:Q52" ca="1" si="6">SUM(D48:D51)</f>
        <v>0</v>
      </c>
      <c r="E52" s="732">
        <f t="shared" si="6"/>
        <v>80.301001778162671</v>
      </c>
      <c r="F52" s="732">
        <f t="shared" si="6"/>
        <v>141.01063195599062</v>
      </c>
      <c r="G52" s="732">
        <f t="shared" si="6"/>
        <v>0</v>
      </c>
      <c r="H52" s="732">
        <f t="shared" si="6"/>
        <v>85196.964799051741</v>
      </c>
      <c r="I52" s="732">
        <f t="shared" si="6"/>
        <v>11526.892382103213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96970.690017793255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348.27156799798661</v>
      </c>
      <c r="D54" s="703">
        <f ca="1">+landbouw!C12</f>
        <v>0</v>
      </c>
      <c r="E54" s="703">
        <f>+landbouw!D12</f>
        <v>179.04156565913533</v>
      </c>
      <c r="F54" s="703">
        <f>+landbouw!E12</f>
        <v>11.129360888245332</v>
      </c>
      <c r="G54" s="703">
        <f>+landbouw!F12</f>
        <v>1855.3444273701919</v>
      </c>
      <c r="H54" s="703">
        <f>+landbouw!G12</f>
        <v>0</v>
      </c>
      <c r="I54" s="703">
        <f>+landbouw!H12</f>
        <v>0</v>
      </c>
      <c r="J54" s="703">
        <f>+landbouw!I12</f>
        <v>0</v>
      </c>
      <c r="K54" s="703">
        <f>+landbouw!J12</f>
        <v>85.547422210191542</v>
      </c>
      <c r="L54" s="703">
        <f>+landbouw!K12</f>
        <v>0</v>
      </c>
      <c r="M54" s="703">
        <f>+landbouw!L12</f>
        <v>0</v>
      </c>
      <c r="N54" s="703">
        <f>+landbouw!M12</f>
        <v>0</v>
      </c>
      <c r="O54" s="703">
        <f>+landbouw!N12</f>
        <v>0</v>
      </c>
      <c r="P54" s="703">
        <f>+landbouw!O12</f>
        <v>0</v>
      </c>
      <c r="Q54" s="704">
        <f>+landbouw!P12</f>
        <v>0</v>
      </c>
      <c r="R54" s="731">
        <f ca="1">SUM(C54:Q54)</f>
        <v>2479.3343441257507</v>
      </c>
    </row>
    <row r="55" spans="1:18" ht="15" thickBot="1">
      <c r="A55" s="825" t="s">
        <v>836</v>
      </c>
      <c r="B55" s="835"/>
      <c r="C55" s="703">
        <f ca="1">C25*'EF ele_warmte'!B12</f>
        <v>221.01031964364208</v>
      </c>
      <c r="D55" s="703"/>
      <c r="E55" s="703">
        <f>E25*EF_CO2_aardgas</f>
        <v>152.23007513796756</v>
      </c>
      <c r="F55" s="703"/>
      <c r="G55" s="703"/>
      <c r="H55" s="703"/>
      <c r="I55" s="703"/>
      <c r="J55" s="703"/>
      <c r="K55" s="703"/>
      <c r="L55" s="703"/>
      <c r="M55" s="703"/>
      <c r="N55" s="703"/>
      <c r="O55" s="703"/>
      <c r="P55" s="703"/>
      <c r="Q55" s="704"/>
      <c r="R55" s="731">
        <f ca="1">SUM(C55:Q55)</f>
        <v>373.24039478160967</v>
      </c>
    </row>
    <row r="56" spans="1:18" ht="15.75" thickBot="1">
      <c r="A56" s="823" t="s">
        <v>837</v>
      </c>
      <c r="B56" s="836"/>
      <c r="C56" s="732">
        <f ca="1">SUM(C54:C55)</f>
        <v>569.28188764162871</v>
      </c>
      <c r="D56" s="732">
        <f t="shared" ref="D56:Q56" ca="1" si="7">SUM(D54:D55)</f>
        <v>0</v>
      </c>
      <c r="E56" s="732">
        <f t="shared" si="7"/>
        <v>331.27164079710292</v>
      </c>
      <c r="F56" s="732">
        <f t="shared" si="7"/>
        <v>11.129360888245332</v>
      </c>
      <c r="G56" s="732">
        <f t="shared" si="7"/>
        <v>1855.3444273701919</v>
      </c>
      <c r="H56" s="732">
        <f t="shared" si="7"/>
        <v>0</v>
      </c>
      <c r="I56" s="732">
        <f t="shared" si="7"/>
        <v>0</v>
      </c>
      <c r="J56" s="732">
        <f t="shared" si="7"/>
        <v>0</v>
      </c>
      <c r="K56" s="732">
        <f t="shared" si="7"/>
        <v>85.547422210191542</v>
      </c>
      <c r="L56" s="732">
        <f t="shared" si="7"/>
        <v>0</v>
      </c>
      <c r="M56" s="732">
        <f t="shared" si="7"/>
        <v>0</v>
      </c>
      <c r="N56" s="732">
        <f t="shared" si="7"/>
        <v>0</v>
      </c>
      <c r="O56" s="732">
        <f t="shared" si="7"/>
        <v>0</v>
      </c>
      <c r="P56" s="732">
        <f t="shared" si="7"/>
        <v>0</v>
      </c>
      <c r="Q56" s="733">
        <f t="shared" si="7"/>
        <v>0</v>
      </c>
      <c r="R56" s="734">
        <f ca="1">SUM(R54:R55)</f>
        <v>2852.5747389073604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24652.258995546556</v>
      </c>
      <c r="D61" s="740">
        <f t="shared" ref="D61:Q61" ca="1" si="8">D46+D52+D56</f>
        <v>305.54621848739504</v>
      </c>
      <c r="E61" s="740">
        <f t="shared" ca="1" si="8"/>
        <v>17835.935669030885</v>
      </c>
      <c r="F61" s="740">
        <f t="shared" si="8"/>
        <v>2299.0725475913437</v>
      </c>
      <c r="G61" s="740">
        <f t="shared" ca="1" si="8"/>
        <v>18957.723724611937</v>
      </c>
      <c r="H61" s="740">
        <f t="shared" si="8"/>
        <v>85196.964799051741</v>
      </c>
      <c r="I61" s="740">
        <f t="shared" si="8"/>
        <v>11526.892382103213</v>
      </c>
      <c r="J61" s="740">
        <f t="shared" si="8"/>
        <v>0</v>
      </c>
      <c r="K61" s="740">
        <f t="shared" si="8"/>
        <v>195.41772549708725</v>
      </c>
      <c r="L61" s="740">
        <f t="shared" si="8"/>
        <v>0</v>
      </c>
      <c r="M61" s="740">
        <f t="shared" ca="1" si="8"/>
        <v>0</v>
      </c>
      <c r="N61" s="740">
        <f t="shared" si="8"/>
        <v>0</v>
      </c>
      <c r="O61" s="740">
        <f t="shared" ca="1" si="8"/>
        <v>0</v>
      </c>
      <c r="P61" s="740">
        <f t="shared" si="8"/>
        <v>0</v>
      </c>
      <c r="Q61" s="740">
        <f t="shared" si="8"/>
        <v>0</v>
      </c>
      <c r="R61" s="740">
        <f ca="1">R46+R52+R56</f>
        <v>160969.81206192015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0.20879417131862638</v>
      </c>
      <c r="D63" s="781">
        <f t="shared" ca="1" si="9"/>
        <v>0.23764705882352946</v>
      </c>
      <c r="E63" s="1024">
        <f t="shared" ca="1" si="9"/>
        <v>0.20199999999999999</v>
      </c>
      <c r="F63" s="781">
        <f t="shared" si="9"/>
        <v>0.22699999999999992</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6588.7806456592552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900</v>
      </c>
      <c r="D76" s="1034">
        <f>'lokale energieproductie'!C8</f>
        <v>1058.8235294117646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213.88235294117646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6588.7806456592552</v>
      </c>
      <c r="C78" s="755">
        <f>SUM(C72:C77)</f>
        <v>900</v>
      </c>
      <c r="D78" s="756">
        <f t="shared" ref="D78:H78" si="10">SUM(D76:D77)</f>
        <v>1058.8235294117646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213.88235294117646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1285.7142857142858</v>
      </c>
      <c r="D87" s="777">
        <f>'lokale energieproductie'!C17</f>
        <v>1512.6050420168069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305.54621848739504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1285.7142857142858</v>
      </c>
      <c r="D90" s="755">
        <f t="shared" ref="D90:H90" si="12">SUM(D87:D89)</f>
        <v>1512.6050420168069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23064.9951042338</v>
      </c>
      <c r="C4" s="477">
        <f>huishoudens!C8</f>
        <v>0</v>
      </c>
      <c r="D4" s="477">
        <f>huishoudens!D8</f>
        <v>22235.168560056045</v>
      </c>
      <c r="E4" s="477">
        <f>huishoudens!E8</f>
        <v>2577.9060443455214</v>
      </c>
      <c r="F4" s="477">
        <f>huishoudens!F8</f>
        <v>38757.35393098028</v>
      </c>
      <c r="G4" s="477">
        <f>huishoudens!G8</f>
        <v>0</v>
      </c>
      <c r="H4" s="477">
        <f>huishoudens!H8</f>
        <v>0</v>
      </c>
      <c r="I4" s="477">
        <f>huishoudens!I8</f>
        <v>0</v>
      </c>
      <c r="J4" s="477">
        <f>huishoudens!J8</f>
        <v>172.77560214095769</v>
      </c>
      <c r="K4" s="477">
        <f>huishoudens!K8</f>
        <v>0</v>
      </c>
      <c r="L4" s="477">
        <f>huishoudens!L8</f>
        <v>0</v>
      </c>
      <c r="M4" s="477">
        <f>huishoudens!M8</f>
        <v>0</v>
      </c>
      <c r="N4" s="477">
        <f>huishoudens!N8</f>
        <v>12550.519790470067</v>
      </c>
      <c r="O4" s="477">
        <f>huishoudens!O8</f>
        <v>278.27333333333337</v>
      </c>
      <c r="P4" s="478">
        <f>huishoudens!P8</f>
        <v>1105.8666666666668</v>
      </c>
      <c r="Q4" s="479">
        <f>SUM(B4:P4)</f>
        <v>100742.85903222667</v>
      </c>
    </row>
    <row r="5" spans="1:17">
      <c r="A5" s="476" t="s">
        <v>156</v>
      </c>
      <c r="B5" s="477">
        <f ca="1">tertiair!B16</f>
        <v>33703.596947308499</v>
      </c>
      <c r="C5" s="477">
        <f ca="1">tertiair!C16</f>
        <v>1285.7142857142858</v>
      </c>
      <c r="D5" s="477">
        <f ca="1">tertiair!D16</f>
        <v>14352.645318077015</v>
      </c>
      <c r="E5" s="477">
        <f>tertiair!E16</f>
        <v>462.28999881855827</v>
      </c>
      <c r="F5" s="477">
        <f ca="1">tertiair!F16</f>
        <v>5641.2566949858883</v>
      </c>
      <c r="G5" s="477">
        <f>tertiair!G16</f>
        <v>0</v>
      </c>
      <c r="H5" s="477">
        <f>tertiair!H16</f>
        <v>0</v>
      </c>
      <c r="I5" s="477">
        <f>tertiair!I16</f>
        <v>0</v>
      </c>
      <c r="J5" s="477">
        <f>tertiair!J16</f>
        <v>5.9798201960709257E-2</v>
      </c>
      <c r="K5" s="477">
        <f>tertiair!K16</f>
        <v>0</v>
      </c>
      <c r="L5" s="477">
        <f ca="1">tertiair!L16</f>
        <v>0</v>
      </c>
      <c r="M5" s="477">
        <f>tertiair!M16</f>
        <v>0</v>
      </c>
      <c r="N5" s="477">
        <f ca="1">tertiair!N16</f>
        <v>2412.3639256892538</v>
      </c>
      <c r="O5" s="477">
        <f>tertiair!O16</f>
        <v>1.5633333333333335</v>
      </c>
      <c r="P5" s="478">
        <f>tertiair!P16</f>
        <v>38.133333333333333</v>
      </c>
      <c r="Q5" s="476">
        <f t="shared" ref="Q5:Q14" ca="1" si="0">SUM(B5:P5)</f>
        <v>57897.623635462121</v>
      </c>
    </row>
    <row r="6" spans="1:17">
      <c r="A6" s="476" t="s">
        <v>194</v>
      </c>
      <c r="B6" s="477">
        <f>'openbare verlichting'!B8</f>
        <v>996.298</v>
      </c>
      <c r="C6" s="477"/>
      <c r="D6" s="477"/>
      <c r="E6" s="477"/>
      <c r="F6" s="477"/>
      <c r="G6" s="477"/>
      <c r="H6" s="477"/>
      <c r="I6" s="477"/>
      <c r="J6" s="477"/>
      <c r="K6" s="477"/>
      <c r="L6" s="477"/>
      <c r="M6" s="477"/>
      <c r="N6" s="477"/>
      <c r="O6" s="477"/>
      <c r="P6" s="478"/>
      <c r="Q6" s="476">
        <f t="shared" si="0"/>
        <v>996.298</v>
      </c>
    </row>
    <row r="7" spans="1:17">
      <c r="A7" s="476" t="s">
        <v>112</v>
      </c>
      <c r="B7" s="477">
        <f>landbouw!B8</f>
        <v>1668.0138425249113</v>
      </c>
      <c r="C7" s="477">
        <f>landbouw!C8</f>
        <v>0</v>
      </c>
      <c r="D7" s="477">
        <f>landbouw!D8</f>
        <v>886.34438445116496</v>
      </c>
      <c r="E7" s="477">
        <f>landbouw!E8</f>
        <v>49.028021534120398</v>
      </c>
      <c r="F7" s="477">
        <f>landbouw!F8</f>
        <v>6948.855533221692</v>
      </c>
      <c r="G7" s="477">
        <f>landbouw!G8</f>
        <v>0</v>
      </c>
      <c r="H7" s="477">
        <f>landbouw!H8</f>
        <v>0</v>
      </c>
      <c r="I7" s="477">
        <f>landbouw!I8</f>
        <v>0</v>
      </c>
      <c r="J7" s="477">
        <f>landbouw!J8</f>
        <v>241.65938477455239</v>
      </c>
      <c r="K7" s="477">
        <f>landbouw!K8</f>
        <v>0</v>
      </c>
      <c r="L7" s="477">
        <f>landbouw!L8</f>
        <v>0</v>
      </c>
      <c r="M7" s="477">
        <f>landbouw!M8</f>
        <v>0</v>
      </c>
      <c r="N7" s="477">
        <f>landbouw!N8</f>
        <v>0</v>
      </c>
      <c r="O7" s="477">
        <f>landbouw!O8</f>
        <v>0</v>
      </c>
      <c r="P7" s="478">
        <f>landbouw!P8</f>
        <v>0</v>
      </c>
      <c r="Q7" s="476">
        <f t="shared" si="0"/>
        <v>9793.9011665064409</v>
      </c>
    </row>
    <row r="8" spans="1:17">
      <c r="A8" s="476" t="s">
        <v>635</v>
      </c>
      <c r="B8" s="477">
        <f>industrie!B18</f>
        <v>57456.027051015837</v>
      </c>
      <c r="C8" s="477">
        <f>industrie!C18</f>
        <v>0</v>
      </c>
      <c r="D8" s="477">
        <f>industrie!D18</f>
        <v>49671.409025112582</v>
      </c>
      <c r="E8" s="477">
        <f>industrie!E18</f>
        <v>6417.6566209200973</v>
      </c>
      <c r="F8" s="477">
        <f>industrie!F18</f>
        <v>19655.244419883049</v>
      </c>
      <c r="G8" s="477">
        <f>industrie!G18</f>
        <v>0</v>
      </c>
      <c r="H8" s="477">
        <f>industrie!H18</f>
        <v>0</v>
      </c>
      <c r="I8" s="477">
        <f>industrie!I18</f>
        <v>0</v>
      </c>
      <c r="J8" s="477">
        <f>industrie!J18</f>
        <v>137.53268803814291</v>
      </c>
      <c r="K8" s="477">
        <f>industrie!K18</f>
        <v>0</v>
      </c>
      <c r="L8" s="477">
        <f>industrie!L18</f>
        <v>0</v>
      </c>
      <c r="M8" s="477">
        <f>industrie!M18</f>
        <v>0</v>
      </c>
      <c r="N8" s="477">
        <f>industrie!N18</f>
        <v>19127.659786740616</v>
      </c>
      <c r="O8" s="477">
        <f>industrie!O18</f>
        <v>0</v>
      </c>
      <c r="P8" s="478">
        <f>industrie!P18</f>
        <v>0</v>
      </c>
      <c r="Q8" s="476">
        <f t="shared" si="0"/>
        <v>152465.52959171031</v>
      </c>
    </row>
    <row r="9" spans="1:17" s="482" customFormat="1">
      <c r="A9" s="480" t="s">
        <v>561</v>
      </c>
      <c r="B9" s="481">
        <f>transport!B14</f>
        <v>122.23139536405812</v>
      </c>
      <c r="C9" s="481">
        <f>transport!C14</f>
        <v>0</v>
      </c>
      <c r="D9" s="481">
        <f>transport!D14</f>
        <v>397.52971177308251</v>
      </c>
      <c r="E9" s="481">
        <f>transport!E14</f>
        <v>621.19221125987053</v>
      </c>
      <c r="F9" s="481">
        <f>transport!F14</f>
        <v>0</v>
      </c>
      <c r="G9" s="481">
        <f>transport!G14</f>
        <v>318314.64061168511</v>
      </c>
      <c r="H9" s="481">
        <f>transport!H14</f>
        <v>46292.740490374352</v>
      </c>
      <c r="I9" s="481">
        <f>transport!I14</f>
        <v>0</v>
      </c>
      <c r="J9" s="481">
        <f>transport!J14</f>
        <v>0</v>
      </c>
      <c r="K9" s="481">
        <f>transport!K14</f>
        <v>0</v>
      </c>
      <c r="L9" s="481">
        <f>transport!L14</f>
        <v>0</v>
      </c>
      <c r="M9" s="481">
        <f>transport!M14</f>
        <v>19963.550157024543</v>
      </c>
      <c r="N9" s="481">
        <f>transport!N14</f>
        <v>0</v>
      </c>
      <c r="O9" s="481">
        <f>transport!O14</f>
        <v>0</v>
      </c>
      <c r="P9" s="481">
        <f>transport!P14</f>
        <v>0</v>
      </c>
      <c r="Q9" s="480">
        <f>SUM(B9:P9)</f>
        <v>385711.88457748096</v>
      </c>
    </row>
    <row r="10" spans="1:17">
      <c r="A10" s="476" t="s">
        <v>551</v>
      </c>
      <c r="B10" s="477">
        <f>transport!B54</f>
        <v>0</v>
      </c>
      <c r="C10" s="477">
        <f>transport!C54</f>
        <v>0</v>
      </c>
      <c r="D10" s="477">
        <f>transport!D54</f>
        <v>0</v>
      </c>
      <c r="E10" s="477">
        <f>transport!E54</f>
        <v>0</v>
      </c>
      <c r="F10" s="477">
        <f>transport!F54</f>
        <v>0</v>
      </c>
      <c r="G10" s="477">
        <f>transport!G54</f>
        <v>775.1151900067822</v>
      </c>
      <c r="H10" s="477">
        <f>transport!H54</f>
        <v>0</v>
      </c>
      <c r="I10" s="477">
        <f>transport!I54</f>
        <v>0</v>
      </c>
      <c r="J10" s="477">
        <f>transport!J54</f>
        <v>0</v>
      </c>
      <c r="K10" s="477">
        <f>transport!K54</f>
        <v>0</v>
      </c>
      <c r="L10" s="477">
        <f>transport!L54</f>
        <v>0</v>
      </c>
      <c r="M10" s="477">
        <f>transport!M54</f>
        <v>44.023120987172099</v>
      </c>
      <c r="N10" s="477">
        <f>transport!N54</f>
        <v>0</v>
      </c>
      <c r="O10" s="477">
        <f>transport!O54</f>
        <v>0</v>
      </c>
      <c r="P10" s="478">
        <f>transport!P54</f>
        <v>0</v>
      </c>
      <c r="Q10" s="476">
        <f t="shared" si="0"/>
        <v>819.13831099395429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1058.5080907568702</v>
      </c>
      <c r="C14" s="484"/>
      <c r="D14" s="484">
        <f>'SEAP template'!E25</f>
        <v>753.61423335627501</v>
      </c>
      <c r="E14" s="484"/>
      <c r="F14" s="484"/>
      <c r="G14" s="484"/>
      <c r="H14" s="484"/>
      <c r="I14" s="484"/>
      <c r="J14" s="484"/>
      <c r="K14" s="484"/>
      <c r="L14" s="484"/>
      <c r="M14" s="484"/>
      <c r="N14" s="484"/>
      <c r="O14" s="484"/>
      <c r="P14" s="485"/>
      <c r="Q14" s="476">
        <f t="shared" si="0"/>
        <v>1812.1223241131452</v>
      </c>
    </row>
    <row r="15" spans="1:17" s="486" customFormat="1">
      <c r="A15" s="1039" t="s">
        <v>555</v>
      </c>
      <c r="B15" s="987">
        <f ca="1">SUM(B4:B14)</f>
        <v>118069.67043120398</v>
      </c>
      <c r="C15" s="987">
        <f t="shared" ref="C15:Q15" ca="1" si="1">SUM(C4:C14)</f>
        <v>1285.7142857142858</v>
      </c>
      <c r="D15" s="987">
        <f t="shared" ca="1" si="1"/>
        <v>88296.711232826172</v>
      </c>
      <c r="E15" s="987">
        <f t="shared" si="1"/>
        <v>10128.072896878168</v>
      </c>
      <c r="F15" s="987">
        <f t="shared" ca="1" si="1"/>
        <v>71002.710579070903</v>
      </c>
      <c r="G15" s="987">
        <f t="shared" si="1"/>
        <v>319089.75580169191</v>
      </c>
      <c r="H15" s="987">
        <f t="shared" si="1"/>
        <v>46292.740490374352</v>
      </c>
      <c r="I15" s="987">
        <f t="shared" si="1"/>
        <v>0</v>
      </c>
      <c r="J15" s="987">
        <f t="shared" si="1"/>
        <v>552.02747315561373</v>
      </c>
      <c r="K15" s="987">
        <f t="shared" si="1"/>
        <v>0</v>
      </c>
      <c r="L15" s="987">
        <f t="shared" ca="1" si="1"/>
        <v>0</v>
      </c>
      <c r="M15" s="987">
        <f t="shared" si="1"/>
        <v>20007.573278011714</v>
      </c>
      <c r="N15" s="987">
        <f t="shared" ca="1" si="1"/>
        <v>34090.543502899935</v>
      </c>
      <c r="O15" s="987">
        <f t="shared" si="1"/>
        <v>279.8366666666667</v>
      </c>
      <c r="P15" s="987">
        <f t="shared" si="1"/>
        <v>1144.0000000000002</v>
      </c>
      <c r="Q15" s="987">
        <f t="shared" ca="1" si="1"/>
        <v>710239.3566384936</v>
      </c>
    </row>
    <row r="17" spans="1:17">
      <c r="A17" s="487" t="s">
        <v>556</v>
      </c>
      <c r="B17" s="786">
        <f ca="1">huishoudens!B10</f>
        <v>0.20879417131862638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4815.8365392566702</v>
      </c>
      <c r="C22" s="477">
        <f t="shared" ref="C22:C32" ca="1" si="3">C4*$C$17</f>
        <v>0</v>
      </c>
      <c r="D22" s="477">
        <f t="shared" ref="D22:D32" si="4">D4*$D$17</f>
        <v>4491.5040491313212</v>
      </c>
      <c r="E22" s="477">
        <f t="shared" ref="E22:E32" si="5">E4*$E$17</f>
        <v>585.18467206643334</v>
      </c>
      <c r="F22" s="477">
        <f t="shared" ref="F22:F32" si="6">F4*$F$17</f>
        <v>10348.213499571735</v>
      </c>
      <c r="G22" s="477">
        <f t="shared" ref="G22:G32" si="7">G4*$G$17</f>
        <v>0</v>
      </c>
      <c r="H22" s="477">
        <f t="shared" ref="H22:H32" si="8">H4*$H$17</f>
        <v>0</v>
      </c>
      <c r="I22" s="477">
        <f t="shared" ref="I22:I32" si="9">I4*$I$17</f>
        <v>0</v>
      </c>
      <c r="J22" s="477">
        <f t="shared" ref="J22:J32" si="10">J4*$J$17</f>
        <v>61.162563157899015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20301.901323184054</v>
      </c>
    </row>
    <row r="23" spans="1:17">
      <c r="A23" s="476" t="s">
        <v>156</v>
      </c>
      <c r="B23" s="477">
        <f t="shared" ca="1" si="2"/>
        <v>7037.1145950702639</v>
      </c>
      <c r="C23" s="477">
        <f t="shared" ca="1" si="3"/>
        <v>305.54621848739504</v>
      </c>
      <c r="D23" s="477">
        <f t="shared" ca="1" si="4"/>
        <v>2899.2343542515573</v>
      </c>
      <c r="E23" s="477">
        <f t="shared" si="5"/>
        <v>104.93982973181274</v>
      </c>
      <c r="F23" s="477">
        <f t="shared" ca="1" si="6"/>
        <v>1506.2155375612322</v>
      </c>
      <c r="G23" s="477">
        <f t="shared" si="7"/>
        <v>0</v>
      </c>
      <c r="H23" s="477">
        <f t="shared" si="8"/>
        <v>0</v>
      </c>
      <c r="I23" s="477">
        <f t="shared" si="9"/>
        <v>0</v>
      </c>
      <c r="J23" s="477">
        <f t="shared" si="10"/>
        <v>2.1168563494091075E-2</v>
      </c>
      <c r="K23" s="477">
        <f t="shared" si="11"/>
        <v>0</v>
      </c>
      <c r="L23" s="477">
        <f t="shared" ca="1" si="12"/>
        <v>0</v>
      </c>
      <c r="M23" s="477">
        <f t="shared" si="13"/>
        <v>0</v>
      </c>
      <c r="N23" s="477">
        <f t="shared" ca="1" si="14"/>
        <v>0</v>
      </c>
      <c r="O23" s="477">
        <f t="shared" si="15"/>
        <v>0</v>
      </c>
      <c r="P23" s="478">
        <f t="shared" si="16"/>
        <v>0</v>
      </c>
      <c r="Q23" s="476">
        <f t="shared" ref="Q23:Q32" ca="1" si="17">SUM(B23:P23)</f>
        <v>11853.071703665757</v>
      </c>
    </row>
    <row r="24" spans="1:17">
      <c r="A24" s="476" t="s">
        <v>194</v>
      </c>
      <c r="B24" s="477">
        <f t="shared" ca="1" si="2"/>
        <v>208.02121529640482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208.02121529640482</v>
      </c>
    </row>
    <row r="25" spans="1:17">
      <c r="A25" s="476" t="s">
        <v>112</v>
      </c>
      <c r="B25" s="477">
        <f t="shared" ca="1" si="2"/>
        <v>348.27156799798661</v>
      </c>
      <c r="C25" s="477">
        <f t="shared" ca="1" si="3"/>
        <v>0</v>
      </c>
      <c r="D25" s="477">
        <f t="shared" si="4"/>
        <v>179.04156565913533</v>
      </c>
      <c r="E25" s="477">
        <f t="shared" si="5"/>
        <v>11.129360888245332</v>
      </c>
      <c r="F25" s="477">
        <f t="shared" si="6"/>
        <v>1855.3444273701919</v>
      </c>
      <c r="G25" s="477">
        <f t="shared" si="7"/>
        <v>0</v>
      </c>
      <c r="H25" s="477">
        <f t="shared" si="8"/>
        <v>0</v>
      </c>
      <c r="I25" s="477">
        <f t="shared" si="9"/>
        <v>0</v>
      </c>
      <c r="J25" s="477">
        <f t="shared" si="10"/>
        <v>85.547422210191542</v>
      </c>
      <c r="K25" s="477">
        <f t="shared" si="11"/>
        <v>0</v>
      </c>
      <c r="L25" s="477">
        <f t="shared" si="12"/>
        <v>0</v>
      </c>
      <c r="M25" s="477">
        <f t="shared" si="13"/>
        <v>0</v>
      </c>
      <c r="N25" s="477">
        <f t="shared" si="14"/>
        <v>0</v>
      </c>
      <c r="O25" s="477">
        <f t="shared" si="15"/>
        <v>0</v>
      </c>
      <c r="P25" s="478">
        <f t="shared" si="16"/>
        <v>0</v>
      </c>
      <c r="Q25" s="476">
        <f t="shared" ca="1" si="17"/>
        <v>2479.3343441257507</v>
      </c>
    </row>
    <row r="26" spans="1:17">
      <c r="A26" s="476" t="s">
        <v>635</v>
      </c>
      <c r="B26" s="477">
        <f t="shared" ca="1" si="2"/>
        <v>11996.483555377432</v>
      </c>
      <c r="C26" s="477">
        <f t="shared" ca="1" si="3"/>
        <v>0</v>
      </c>
      <c r="D26" s="477">
        <f t="shared" si="4"/>
        <v>10033.624623072743</v>
      </c>
      <c r="E26" s="477">
        <f t="shared" si="5"/>
        <v>1456.808052948862</v>
      </c>
      <c r="F26" s="477">
        <f t="shared" si="6"/>
        <v>5247.9502601087743</v>
      </c>
      <c r="G26" s="477">
        <f t="shared" si="7"/>
        <v>0</v>
      </c>
      <c r="H26" s="477">
        <f t="shared" si="8"/>
        <v>0</v>
      </c>
      <c r="I26" s="477">
        <f t="shared" si="9"/>
        <v>0</v>
      </c>
      <c r="J26" s="477">
        <f t="shared" si="10"/>
        <v>48.686571565502589</v>
      </c>
      <c r="K26" s="477">
        <f t="shared" si="11"/>
        <v>0</v>
      </c>
      <c r="L26" s="477">
        <f t="shared" si="12"/>
        <v>0</v>
      </c>
      <c r="M26" s="477">
        <f t="shared" si="13"/>
        <v>0</v>
      </c>
      <c r="N26" s="477">
        <f t="shared" si="14"/>
        <v>0</v>
      </c>
      <c r="O26" s="477">
        <f t="shared" si="15"/>
        <v>0</v>
      </c>
      <c r="P26" s="478">
        <f t="shared" si="16"/>
        <v>0</v>
      </c>
      <c r="Q26" s="476">
        <f t="shared" ca="1" si="17"/>
        <v>28783.553063073312</v>
      </c>
    </row>
    <row r="27" spans="1:17" s="482" customFormat="1">
      <c r="A27" s="480" t="s">
        <v>561</v>
      </c>
      <c r="B27" s="780">
        <f t="shared" ca="1" si="2"/>
        <v>25.521202904157903</v>
      </c>
      <c r="C27" s="481">
        <f t="shared" ca="1" si="3"/>
        <v>0</v>
      </c>
      <c r="D27" s="481">
        <f t="shared" si="4"/>
        <v>80.301001778162671</v>
      </c>
      <c r="E27" s="481">
        <f t="shared" si="5"/>
        <v>141.01063195599062</v>
      </c>
      <c r="F27" s="481">
        <f t="shared" si="6"/>
        <v>0</v>
      </c>
      <c r="G27" s="481">
        <f t="shared" si="7"/>
        <v>84990.009043319937</v>
      </c>
      <c r="H27" s="481">
        <f t="shared" si="8"/>
        <v>11526.892382103213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96763.734262061451</v>
      </c>
    </row>
    <row r="28" spans="1:17">
      <c r="A28" s="476" t="s">
        <v>551</v>
      </c>
      <c r="B28" s="477">
        <f t="shared" ca="1" si="2"/>
        <v>0</v>
      </c>
      <c r="C28" s="477">
        <f t="shared" ca="1" si="3"/>
        <v>0</v>
      </c>
      <c r="D28" s="477">
        <f t="shared" si="4"/>
        <v>0</v>
      </c>
      <c r="E28" s="477">
        <f t="shared" si="5"/>
        <v>0</v>
      </c>
      <c r="F28" s="477">
        <f t="shared" si="6"/>
        <v>0</v>
      </c>
      <c r="G28" s="477">
        <f t="shared" si="7"/>
        <v>206.95575573181085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206.95575573181085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221.01031964364208</v>
      </c>
      <c r="C32" s="477">
        <f t="shared" ca="1" si="3"/>
        <v>0</v>
      </c>
      <c r="D32" s="477">
        <f t="shared" si="4"/>
        <v>152.23007513796756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373.24039478160967</v>
      </c>
    </row>
    <row r="33" spans="1:17" s="486" customFormat="1">
      <c r="A33" s="1039" t="s">
        <v>555</v>
      </c>
      <c r="B33" s="987">
        <f ca="1">SUM(B22:B32)</f>
        <v>24652.258995546556</v>
      </c>
      <c r="C33" s="987">
        <f t="shared" ref="C33:Q33" ca="1" si="18">SUM(C22:C32)</f>
        <v>305.54621848739504</v>
      </c>
      <c r="D33" s="987">
        <f t="shared" ca="1" si="18"/>
        <v>17835.935669030885</v>
      </c>
      <c r="E33" s="987">
        <f t="shared" si="18"/>
        <v>2299.0725475913437</v>
      </c>
      <c r="F33" s="987">
        <f t="shared" ca="1" si="18"/>
        <v>18957.723724611933</v>
      </c>
      <c r="G33" s="987">
        <f t="shared" si="18"/>
        <v>85196.964799051741</v>
      </c>
      <c r="H33" s="987">
        <f t="shared" si="18"/>
        <v>11526.892382103213</v>
      </c>
      <c r="I33" s="987">
        <f t="shared" si="18"/>
        <v>0</v>
      </c>
      <c r="J33" s="987">
        <f t="shared" si="18"/>
        <v>195.41772549708725</v>
      </c>
      <c r="K33" s="987">
        <f t="shared" si="18"/>
        <v>0</v>
      </c>
      <c r="L33" s="987">
        <f t="shared" ca="1" si="18"/>
        <v>0</v>
      </c>
      <c r="M33" s="987">
        <f t="shared" si="18"/>
        <v>0</v>
      </c>
      <c r="N33" s="987">
        <f t="shared" ca="1" si="18"/>
        <v>0</v>
      </c>
      <c r="O33" s="987">
        <f t="shared" si="18"/>
        <v>0</v>
      </c>
      <c r="P33" s="987">
        <f t="shared" si="18"/>
        <v>0</v>
      </c>
      <c r="Q33" s="987">
        <f t="shared" ca="1" si="18"/>
        <v>160969.81206192015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6588.7806456592552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900</v>
      </c>
      <c r="D8" s="1056">
        <f>'SEAP template'!D76</f>
        <v>1058.8235294117646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213.88235294117646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6588.7806456592552</v>
      </c>
      <c r="C10" s="1060">
        <f>SUM(C4:C9)</f>
        <v>900</v>
      </c>
      <c r="D10" s="1060">
        <f t="shared" ref="D10:H10" si="0">SUM(D8:D9)</f>
        <v>1058.8235294117646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213.88235294117646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0.20879417131862638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1285.7142857142858</v>
      </c>
      <c r="D17" s="1057">
        <f>'SEAP template'!D87</f>
        <v>1512.6050420168069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305.54621848739504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1285.7142857142858</v>
      </c>
      <c r="D20" s="1060">
        <f t="shared" ref="D20:H20" si="2">SUM(D17:D19)</f>
        <v>1512.6050420168069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305.54621848739504</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0.20879417131862638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0.20879417131862638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0.20879417131862638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4703</v>
      </c>
      <c r="C9" s="342">
        <v>4766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2042.82</v>
      </c>
    </row>
    <row r="15" spans="1:6">
      <c r="A15" s="348" t="s">
        <v>184</v>
      </c>
      <c r="B15" s="334">
        <v>47</v>
      </c>
    </row>
    <row r="16" spans="1:6">
      <c r="A16" s="348" t="s">
        <v>6</v>
      </c>
      <c r="B16" s="334">
        <v>1352</v>
      </c>
    </row>
    <row r="17" spans="1:6">
      <c r="A17" s="348" t="s">
        <v>7</v>
      </c>
      <c r="B17" s="334">
        <v>502</v>
      </c>
    </row>
    <row r="18" spans="1:6">
      <c r="A18" s="348" t="s">
        <v>8</v>
      </c>
      <c r="B18" s="334">
        <v>996</v>
      </c>
    </row>
    <row r="19" spans="1:6">
      <c r="A19" s="348" t="s">
        <v>9</v>
      </c>
      <c r="B19" s="334">
        <v>1052</v>
      </c>
    </row>
    <row r="20" spans="1:6">
      <c r="A20" s="348" t="s">
        <v>10</v>
      </c>
      <c r="B20" s="334">
        <v>789</v>
      </c>
    </row>
    <row r="21" spans="1:6">
      <c r="A21" s="348" t="s">
        <v>11</v>
      </c>
      <c r="B21" s="334">
        <v>8679</v>
      </c>
    </row>
    <row r="22" spans="1:6">
      <c r="A22" s="348" t="s">
        <v>12</v>
      </c>
      <c r="B22" s="334">
        <v>18918</v>
      </c>
    </row>
    <row r="23" spans="1:6">
      <c r="A23" s="348" t="s">
        <v>13</v>
      </c>
      <c r="B23" s="334">
        <v>177</v>
      </c>
    </row>
    <row r="24" spans="1:6">
      <c r="A24" s="348" t="s">
        <v>14</v>
      </c>
      <c r="B24" s="334">
        <v>10</v>
      </c>
    </row>
    <row r="25" spans="1:6">
      <c r="A25" s="348" t="s">
        <v>15</v>
      </c>
      <c r="B25" s="334">
        <v>1004</v>
      </c>
    </row>
    <row r="26" spans="1:6">
      <c r="A26" s="348" t="s">
        <v>16</v>
      </c>
      <c r="B26" s="334">
        <v>105</v>
      </c>
    </row>
    <row r="27" spans="1:6">
      <c r="A27" s="348" t="s">
        <v>17</v>
      </c>
      <c r="B27" s="334">
        <v>0</v>
      </c>
    </row>
    <row r="28" spans="1:6" s="356" customFormat="1">
      <c r="A28" s="355" t="s">
        <v>18</v>
      </c>
      <c r="B28" s="355">
        <v>59906</v>
      </c>
    </row>
    <row r="29" spans="1:6">
      <c r="A29" s="355" t="s">
        <v>744</v>
      </c>
      <c r="B29" s="355">
        <v>104</v>
      </c>
      <c r="C29" s="356"/>
      <c r="D29" s="356"/>
      <c r="E29" s="356"/>
      <c r="F29" s="356"/>
    </row>
    <row r="30" spans="1:6">
      <c r="A30" s="341" t="s">
        <v>745</v>
      </c>
      <c r="B30" s="341">
        <v>57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1893.7260618683999</v>
      </c>
    </row>
    <row r="39" spans="1:6">
      <c r="A39" s="348" t="s">
        <v>30</v>
      </c>
      <c r="B39" s="348" t="s">
        <v>31</v>
      </c>
      <c r="C39" s="334">
        <v>1624</v>
      </c>
      <c r="D39" s="334">
        <v>24650962.926891401</v>
      </c>
      <c r="E39" s="334">
        <v>4379</v>
      </c>
      <c r="F39" s="334">
        <v>20371554.660904646</v>
      </c>
    </row>
    <row r="40" spans="1:6">
      <c r="A40" s="348" t="s">
        <v>30</v>
      </c>
      <c r="B40" s="348" t="s">
        <v>29</v>
      </c>
      <c r="C40" s="334">
        <v>0</v>
      </c>
      <c r="D40" s="334">
        <v>0</v>
      </c>
      <c r="E40" s="334">
        <v>1</v>
      </c>
      <c r="F40" s="334">
        <v>99</v>
      </c>
    </row>
    <row r="41" spans="1:6">
      <c r="A41" s="348" t="s">
        <v>32</v>
      </c>
      <c r="B41" s="348" t="s">
        <v>33</v>
      </c>
      <c r="C41" s="334">
        <v>21</v>
      </c>
      <c r="D41" s="334">
        <v>347342.15378698503</v>
      </c>
      <c r="E41" s="334">
        <v>160</v>
      </c>
      <c r="F41" s="334">
        <v>14655819.0046384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1211372.8564697199</v>
      </c>
      <c r="E44" s="334">
        <v>11</v>
      </c>
      <c r="F44" s="334">
        <v>1159515.88637244</v>
      </c>
    </row>
    <row r="45" spans="1:6">
      <c r="A45" s="348" t="s">
        <v>32</v>
      </c>
      <c r="B45" s="348" t="s">
        <v>37</v>
      </c>
      <c r="C45" s="334">
        <v>0</v>
      </c>
      <c r="D45" s="334">
        <v>0</v>
      </c>
      <c r="E45" s="334">
        <v>3</v>
      </c>
      <c r="F45" s="334">
        <v>186942.60389255401</v>
      </c>
    </row>
    <row r="46" spans="1:6">
      <c r="A46" s="348" t="s">
        <v>32</v>
      </c>
      <c r="B46" s="348" t="s">
        <v>38</v>
      </c>
      <c r="C46" s="334">
        <v>0</v>
      </c>
      <c r="D46" s="334">
        <v>0</v>
      </c>
      <c r="E46" s="334">
        <v>0</v>
      </c>
      <c r="F46" s="334">
        <v>0</v>
      </c>
    </row>
    <row r="47" spans="1:6">
      <c r="A47" s="348" t="s">
        <v>32</v>
      </c>
      <c r="B47" s="348" t="s">
        <v>39</v>
      </c>
      <c r="C47" s="334">
        <v>0</v>
      </c>
      <c r="D47" s="334">
        <v>0</v>
      </c>
      <c r="E47" s="334">
        <v>8</v>
      </c>
      <c r="F47" s="334">
        <v>1912377.7252092301</v>
      </c>
    </row>
    <row r="48" spans="1:6">
      <c r="A48" s="348" t="s">
        <v>32</v>
      </c>
      <c r="B48" s="348" t="s">
        <v>29</v>
      </c>
      <c r="C48" s="334">
        <v>33</v>
      </c>
      <c r="D48" s="334">
        <v>52322684.979467303</v>
      </c>
      <c r="E48" s="334">
        <v>38</v>
      </c>
      <c r="F48" s="334">
        <v>38248727.698185101</v>
      </c>
    </row>
    <row r="49" spans="1:6">
      <c r="A49" s="348" t="s">
        <v>32</v>
      </c>
      <c r="B49" s="348" t="s">
        <v>40</v>
      </c>
      <c r="C49" s="334">
        <v>0</v>
      </c>
      <c r="D49" s="334">
        <v>0</v>
      </c>
      <c r="E49" s="334">
        <v>3</v>
      </c>
      <c r="F49" s="334">
        <v>10239.2063622888</v>
      </c>
    </row>
    <row r="50" spans="1:6">
      <c r="A50" s="348" t="s">
        <v>32</v>
      </c>
      <c r="B50" s="348" t="s">
        <v>41</v>
      </c>
      <c r="C50" s="334">
        <v>3</v>
      </c>
      <c r="D50" s="334">
        <v>1186680.96938085</v>
      </c>
      <c r="E50" s="334">
        <v>8</v>
      </c>
      <c r="F50" s="334">
        <v>1282404.9263558199</v>
      </c>
    </row>
    <row r="51" spans="1:6">
      <c r="A51" s="348" t="s">
        <v>42</v>
      </c>
      <c r="B51" s="348" t="s">
        <v>43</v>
      </c>
      <c r="C51" s="334">
        <v>3</v>
      </c>
      <c r="D51" s="334">
        <v>48843.414575542003</v>
      </c>
      <c r="E51" s="334">
        <v>99</v>
      </c>
      <c r="F51" s="334">
        <v>1624137.6265064401</v>
      </c>
    </row>
    <row r="52" spans="1:6">
      <c r="A52" s="348" t="s">
        <v>42</v>
      </c>
      <c r="B52" s="348" t="s">
        <v>29</v>
      </c>
      <c r="C52" s="334">
        <v>7</v>
      </c>
      <c r="D52" s="334">
        <v>933800.02716632595</v>
      </c>
      <c r="E52" s="334">
        <v>4</v>
      </c>
      <c r="F52" s="334">
        <v>43876.216018471103</v>
      </c>
    </row>
    <row r="53" spans="1:6">
      <c r="A53" s="348" t="s">
        <v>44</v>
      </c>
      <c r="B53" s="348" t="s">
        <v>45</v>
      </c>
      <c r="C53" s="334">
        <v>37</v>
      </c>
      <c r="D53" s="334">
        <v>753614.23335627501</v>
      </c>
      <c r="E53" s="334">
        <v>126</v>
      </c>
      <c r="F53" s="334">
        <v>1058508.0907568701</v>
      </c>
    </row>
    <row r="54" spans="1:6">
      <c r="A54" s="348" t="s">
        <v>46</v>
      </c>
      <c r="B54" s="348" t="s">
        <v>47</v>
      </c>
      <c r="C54" s="334">
        <v>0</v>
      </c>
      <c r="D54" s="334">
        <v>0</v>
      </c>
      <c r="E54" s="334">
        <v>1</v>
      </c>
      <c r="F54" s="334">
        <v>996298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333880.77403268497</v>
      </c>
      <c r="E57" s="334">
        <v>59</v>
      </c>
      <c r="F57" s="334">
        <v>757167.37228793197</v>
      </c>
    </row>
    <row r="58" spans="1:6">
      <c r="A58" s="348" t="s">
        <v>49</v>
      </c>
      <c r="B58" s="348" t="s">
        <v>51</v>
      </c>
      <c r="C58" s="334">
        <v>0</v>
      </c>
      <c r="D58" s="334">
        <v>0</v>
      </c>
      <c r="E58" s="334">
        <v>26</v>
      </c>
      <c r="F58" s="334">
        <v>1387509.1087909001</v>
      </c>
    </row>
    <row r="59" spans="1:6">
      <c r="A59" s="348" t="s">
        <v>49</v>
      </c>
      <c r="B59" s="348" t="s">
        <v>52</v>
      </c>
      <c r="C59" s="334">
        <v>36</v>
      </c>
      <c r="D59" s="334">
        <v>2662779.3933157199</v>
      </c>
      <c r="E59" s="334">
        <v>193</v>
      </c>
      <c r="F59" s="334">
        <v>6029363.6156501304</v>
      </c>
    </row>
    <row r="60" spans="1:6">
      <c r="A60" s="348" t="s">
        <v>49</v>
      </c>
      <c r="B60" s="348" t="s">
        <v>53</v>
      </c>
      <c r="C60" s="334">
        <v>21</v>
      </c>
      <c r="D60" s="334">
        <v>840249.08602136804</v>
      </c>
      <c r="E60" s="334">
        <v>41</v>
      </c>
      <c r="F60" s="334">
        <v>1362870.86004325</v>
      </c>
    </row>
    <row r="61" spans="1:6">
      <c r="A61" s="348" t="s">
        <v>49</v>
      </c>
      <c r="B61" s="348" t="s">
        <v>54</v>
      </c>
      <c r="C61" s="334">
        <v>115</v>
      </c>
      <c r="D61" s="334">
        <v>4079134.7950181598</v>
      </c>
      <c r="E61" s="334">
        <v>335</v>
      </c>
      <c r="F61" s="334">
        <v>5313356.51951278</v>
      </c>
    </row>
    <row r="62" spans="1:6">
      <c r="A62" s="348" t="s">
        <v>49</v>
      </c>
      <c r="B62" s="348" t="s">
        <v>55</v>
      </c>
      <c r="C62" s="334">
        <v>0</v>
      </c>
      <c r="D62" s="334">
        <v>0</v>
      </c>
      <c r="E62" s="334">
        <v>8</v>
      </c>
      <c r="F62" s="334">
        <v>45993.3555280086</v>
      </c>
    </row>
    <row r="63" spans="1:6">
      <c r="A63" s="348" t="s">
        <v>49</v>
      </c>
      <c r="B63" s="348" t="s">
        <v>29</v>
      </c>
      <c r="C63" s="334">
        <v>93</v>
      </c>
      <c r="D63" s="334">
        <v>10846787.3147003</v>
      </c>
      <c r="E63" s="334">
        <v>117</v>
      </c>
      <c r="F63" s="334">
        <v>17907336.115495499</v>
      </c>
    </row>
    <row r="64" spans="1:6">
      <c r="A64" s="348" t="s">
        <v>56</v>
      </c>
      <c r="B64" s="348" t="s">
        <v>57</v>
      </c>
      <c r="C64" s="334">
        <v>0</v>
      </c>
      <c r="D64" s="334">
        <v>0</v>
      </c>
      <c r="E64" s="334">
        <v>0</v>
      </c>
      <c r="F64" s="334">
        <v>0</v>
      </c>
    </row>
    <row r="65" spans="1:6">
      <c r="A65" s="348" t="s">
        <v>56</v>
      </c>
      <c r="B65" s="348" t="s">
        <v>29</v>
      </c>
      <c r="C65" s="334">
        <v>3</v>
      </c>
      <c r="D65" s="334">
        <v>149401.67830329199</v>
      </c>
      <c r="E65" s="334">
        <v>6</v>
      </c>
      <c r="F65" s="334">
        <v>32526.578725020499</v>
      </c>
    </row>
    <row r="66" spans="1:6">
      <c r="A66" s="348" t="s">
        <v>56</v>
      </c>
      <c r="B66" s="348" t="s">
        <v>58</v>
      </c>
      <c r="C66" s="334">
        <v>0</v>
      </c>
      <c r="D66" s="334">
        <v>0</v>
      </c>
      <c r="E66" s="334">
        <v>5</v>
      </c>
      <c r="F66" s="334">
        <v>505746.28218757198</v>
      </c>
    </row>
    <row r="67" spans="1:6">
      <c r="A67" s="355" t="s">
        <v>56</v>
      </c>
      <c r="B67" s="355" t="s">
        <v>59</v>
      </c>
      <c r="C67" s="334">
        <v>0</v>
      </c>
      <c r="D67" s="334">
        <v>0</v>
      </c>
      <c r="E67" s="334">
        <v>0</v>
      </c>
      <c r="F67" s="334">
        <v>0</v>
      </c>
    </row>
    <row r="68" spans="1:6">
      <c r="A68" s="341" t="s">
        <v>56</v>
      </c>
      <c r="B68" s="341" t="s">
        <v>60</v>
      </c>
      <c r="C68" s="334">
        <v>0</v>
      </c>
      <c r="D68" s="334">
        <v>0</v>
      </c>
      <c r="E68" s="334">
        <v>9</v>
      </c>
      <c r="F68" s="334">
        <v>1856613.21009519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88920670</v>
      </c>
      <c r="E73" s="475">
        <v>101124817.41793402</v>
      </c>
    </row>
    <row r="74" spans="1:6">
      <c r="A74" s="348" t="s">
        <v>64</v>
      </c>
      <c r="B74" s="348" t="s">
        <v>657</v>
      </c>
      <c r="C74" s="1295" t="s">
        <v>659</v>
      </c>
      <c r="D74" s="475">
        <v>12121635</v>
      </c>
      <c r="E74" s="475">
        <v>13110185.119429316</v>
      </c>
    </row>
    <row r="75" spans="1:6">
      <c r="A75" s="348" t="s">
        <v>65</v>
      </c>
      <c r="B75" s="348" t="s">
        <v>656</v>
      </c>
      <c r="C75" s="1295" t="s">
        <v>660</v>
      </c>
      <c r="D75" s="475">
        <v>21831727</v>
      </c>
      <c r="E75" s="475">
        <v>24158518.749572985</v>
      </c>
    </row>
    <row r="76" spans="1:6">
      <c r="A76" s="348" t="s">
        <v>65</v>
      </c>
      <c r="B76" s="348" t="s">
        <v>657</v>
      </c>
      <c r="C76" s="1295" t="s">
        <v>661</v>
      </c>
      <c r="D76" s="475">
        <v>2226192</v>
      </c>
      <c r="E76" s="475">
        <v>2204153.5903103026</v>
      </c>
    </row>
    <row r="77" spans="1:6">
      <c r="A77" s="348" t="s">
        <v>66</v>
      </c>
      <c r="B77" s="348" t="s">
        <v>656</v>
      </c>
      <c r="C77" s="1295" t="s">
        <v>662</v>
      </c>
      <c r="D77" s="475">
        <v>199950109</v>
      </c>
      <c r="E77" s="475">
        <v>211825086.31064036</v>
      </c>
    </row>
    <row r="78" spans="1:6">
      <c r="A78" s="341" t="s">
        <v>66</v>
      </c>
      <c r="B78" s="341" t="s">
        <v>657</v>
      </c>
      <c r="C78" s="341" t="s">
        <v>663</v>
      </c>
      <c r="D78" s="1296">
        <v>52918449</v>
      </c>
      <c r="E78" s="1296">
        <v>53541250.376004234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222164</v>
      </c>
      <c r="C83" s="475">
        <v>221310.82759064273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2693.3414433291537</v>
      </c>
    </row>
    <row r="92" spans="1:6">
      <c r="A92" s="341" t="s">
        <v>69</v>
      </c>
      <c r="B92" s="342">
        <v>3895.4392023301011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118069.67043120397</v>
      </c>
      <c r="C3" s="43" t="s">
        <v>170</v>
      </c>
      <c r="D3" s="43"/>
      <c r="E3" s="154"/>
      <c r="F3" s="43"/>
      <c r="G3" s="43"/>
      <c r="H3" s="43"/>
      <c r="I3" s="43"/>
      <c r="J3" s="43"/>
      <c r="K3" s="96"/>
    </row>
    <row r="4" spans="1:11">
      <c r="A4" s="383" t="s">
        <v>171</v>
      </c>
      <c r="B4" s="49">
        <f>IF(ISERROR('SEAP template'!B78+'SEAP template'!C78),0,'SEAP template'!B78+'SEAP template'!C78)</f>
        <v>7488.7806456592552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213.88235294117646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0.20879417131862638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0.20879417131862638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208.02121529640482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B46*B57</f>
        <v>2577.9060443455214</v>
      </c>
      <c r="F5" s="17">
        <f>B51*B62</f>
        <v>38757.35393098028</v>
      </c>
      <c r="G5" s="18"/>
      <c r="H5" s="17"/>
      <c r="I5" s="17"/>
      <c r="J5" s="17">
        <f>B50*B61+C50*C61</f>
        <v>172.77560214095769</v>
      </c>
      <c r="K5" s="17"/>
      <c r="L5" s="17"/>
      <c r="M5" s="17"/>
      <c r="N5" s="17">
        <f>B48*B59+C48*C59</f>
        <v>12550.519790470067</v>
      </c>
      <c r="O5" s="17">
        <f>B69*B70*B71</f>
        <v>278.27333333333337</v>
      </c>
      <c r="P5" s="17">
        <f>B77*B78*B79/1000-B77*B78*B79/1000/B80</f>
        <v>1105.8666666666668</v>
      </c>
    </row>
    <row r="6" spans="1:16">
      <c r="A6" s="16" t="s">
        <v>621</v>
      </c>
      <c r="B6" s="788">
        <f>kWh_PV_kleiner_dan_10kW</f>
        <v>2693.3414433291537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23064.9951042338</v>
      </c>
      <c r="C8" s="21">
        <f>C5</f>
        <v>0</v>
      </c>
      <c r="D8" s="21">
        <f>D5</f>
        <v>22235.168560056045</v>
      </c>
      <c r="E8" s="21">
        <f>E5</f>
        <v>2577.9060443455214</v>
      </c>
      <c r="F8" s="21">
        <f>F5</f>
        <v>38757.35393098028</v>
      </c>
      <c r="G8" s="21"/>
      <c r="H8" s="21"/>
      <c r="I8" s="21"/>
      <c r="J8" s="21">
        <f>J5</f>
        <v>172.77560214095769</v>
      </c>
      <c r="K8" s="21"/>
      <c r="L8" s="21">
        <f>L5</f>
        <v>0</v>
      </c>
      <c r="M8" s="21">
        <f>M5</f>
        <v>0</v>
      </c>
      <c r="N8" s="21">
        <f>N5</f>
        <v>12550.519790470067</v>
      </c>
      <c r="O8" s="21">
        <f>O5</f>
        <v>278.27333333333337</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0.20879417131862638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4815.8365392566702</v>
      </c>
      <c r="C12" s="23">
        <f ca="1">C10*C8</f>
        <v>0</v>
      </c>
      <c r="D12" s="23">
        <f>D8*D10</f>
        <v>4491.5040491313212</v>
      </c>
      <c r="E12" s="23">
        <f>E10*E8</f>
        <v>585.18467206643334</v>
      </c>
      <c r="F12" s="23">
        <f>F10*F8</f>
        <v>10348.213499571735</v>
      </c>
      <c r="G12" s="23"/>
      <c r="H12" s="23"/>
      <c r="I12" s="23"/>
      <c r="J12" s="23">
        <f>J10*J8</f>
        <v>61.162563157899015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4703</v>
      </c>
      <c r="C28" s="36"/>
      <c r="D28" s="228"/>
    </row>
    <row r="29" spans="1:7" s="15" customFormat="1">
      <c r="A29" s="230" t="s">
        <v>794</v>
      </c>
      <c r="B29" s="37">
        <f>SUM(HH_hh_gas_aantal,HH_rest_gas_aantal)</f>
        <v>1624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1624</v>
      </c>
      <c r="C32" s="167">
        <f>IF(ISERROR(B32/SUM($B$32,$B$34,$B$35,$B$36,$B$38,$B$39)*100),0,B32/SUM($B$32,$B$34,$B$35,$B$36,$B$38,$B$39)*100)</f>
        <v>34.962325080731972</v>
      </c>
      <c r="D32" s="233"/>
      <c r="G32" s="15"/>
    </row>
    <row r="33" spans="1:7">
      <c r="A33" s="171" t="s">
        <v>72</v>
      </c>
      <c r="B33" s="34" t="s">
        <v>111</v>
      </c>
      <c r="C33" s="167"/>
      <c r="D33" s="233"/>
      <c r="G33" s="15"/>
    </row>
    <row r="34" spans="1:7">
      <c r="A34" s="171" t="s">
        <v>73</v>
      </c>
      <c r="B34" s="33">
        <f>IF((($B$28-$B$32-$B$39-$B$77-$B$38)*C20/100)&lt;0,0,($B$28-$B$32-$B$39-$B$77-$B$38)*C20/100)</f>
        <v>121.75190839694655</v>
      </c>
      <c r="C34" s="167">
        <f>IF(ISERROR(B34/SUM($B$32,$B$34,$B$35,$B$36,$B$38,$B$39)*100),0,B34/SUM($B$32,$B$34,$B$35,$B$36,$B$38,$B$39)*100)</f>
        <v>2.6211390397620353</v>
      </c>
      <c r="D34" s="233"/>
      <c r="G34" s="15"/>
    </row>
    <row r="35" spans="1:7">
      <c r="A35" s="171" t="s">
        <v>74</v>
      </c>
      <c r="B35" s="33">
        <f>IF((($B$28-$B$32-$B$39-$B$77-$B$38)*C21/100)&lt;0,0,($B$28-$B$32-$B$39-$B$77-$B$38)*C21/100)</f>
        <v>1223.3167938931297</v>
      </c>
      <c r="C35" s="167">
        <f>IF(ISERROR(B35/SUM($B$32,$B$34,$B$35,$B$36,$B$38,$B$39)*100),0,B35/SUM($B$32,$B$34,$B$35,$B$36,$B$38,$B$39)*100)</f>
        <v>26.336206542370928</v>
      </c>
      <c r="D35" s="233"/>
      <c r="G35" s="15"/>
    </row>
    <row r="36" spans="1:7">
      <c r="A36" s="171" t="s">
        <v>75</v>
      </c>
      <c r="B36" s="33">
        <f>IF((($B$28-$B$32-$B$39-$B$77-$B$38)*C22/100)&lt;0,0,($B$28-$B$32-$B$39-$B$77-$B$38)*C22/100)</f>
        <v>173.93129770992368</v>
      </c>
      <c r="C36" s="167">
        <f>IF(ISERROR(B36/SUM($B$32,$B$34,$B$35,$B$36,$B$38,$B$39)*100),0,B36/SUM($B$32,$B$34,$B$35,$B$36,$B$38,$B$39)*100)</f>
        <v>3.7444843425171945</v>
      </c>
      <c r="D36" s="233"/>
      <c r="G36" s="15"/>
    </row>
    <row r="37" spans="1:7">
      <c r="A37" s="171" t="s">
        <v>76</v>
      </c>
      <c r="B37" s="34" t="s">
        <v>111</v>
      </c>
      <c r="C37" s="167"/>
      <c r="D37" s="173"/>
      <c r="G37" s="15"/>
    </row>
    <row r="38" spans="1:7">
      <c r="A38" s="171" t="s">
        <v>77</v>
      </c>
      <c r="B38" s="33">
        <f>IF((B24-(B29-B18)*0.1)&lt;0,0,B24-(B29-B18)*0.1)</f>
        <v>4.9000000000000057</v>
      </c>
      <c r="C38" s="167">
        <f>IF(ISERROR(B38/SUM($B$32,$B$34,$B$35,$B$36,$B$38,$B$39)*100),0,B38/SUM($B$32,$B$34,$B$35,$B$36,$B$38,$B$39)*100)</f>
        <v>0.10548977395048451</v>
      </c>
      <c r="D38" s="234"/>
      <c r="G38" s="15"/>
    </row>
    <row r="39" spans="1:7">
      <c r="A39" s="171" t="s">
        <v>78</v>
      </c>
      <c r="B39" s="33">
        <f>IF((B25-(B29-B18))&lt;0,0,B25-(B29-B18)*0.9)</f>
        <v>1497.1</v>
      </c>
      <c r="C39" s="167">
        <f>IF(ISERROR(B39/SUM($B$32,$B$34,$B$35,$B$36,$B$38,$B$39)*100),0,B39/SUM($B$32,$B$34,$B$35,$B$36,$B$38,$B$39)*100)</f>
        <v>32.230355220667384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1624</v>
      </c>
      <c r="C44" s="34" t="s">
        <v>111</v>
      </c>
      <c r="D44" s="174"/>
    </row>
    <row r="45" spans="1:7">
      <c r="A45" s="171" t="s">
        <v>72</v>
      </c>
      <c r="B45" s="33" t="str">
        <f t="shared" si="0"/>
        <v>-</v>
      </c>
      <c r="C45" s="34" t="s">
        <v>111</v>
      </c>
      <c r="D45" s="174"/>
    </row>
    <row r="46" spans="1:7">
      <c r="A46" s="171" t="s">
        <v>73</v>
      </c>
      <c r="B46" s="33">
        <f t="shared" si="0"/>
        <v>121.75190839694655</v>
      </c>
      <c r="C46" s="34" t="s">
        <v>111</v>
      </c>
      <c r="D46" s="174"/>
    </row>
    <row r="47" spans="1:7">
      <c r="A47" s="171" t="s">
        <v>74</v>
      </c>
      <c r="B47" s="33">
        <f t="shared" si="0"/>
        <v>1223.3167938931297</v>
      </c>
      <c r="C47" s="34" t="s">
        <v>111</v>
      </c>
      <c r="D47" s="174"/>
    </row>
    <row r="48" spans="1:7">
      <c r="A48" s="171" t="s">
        <v>75</v>
      </c>
      <c r="B48" s="33">
        <f t="shared" si="0"/>
        <v>173.93129770992368</v>
      </c>
      <c r="C48" s="33">
        <f>B48*10</f>
        <v>1739.3129770992368</v>
      </c>
      <c r="D48" s="234"/>
    </row>
    <row r="49" spans="1:6">
      <c r="A49" s="171" t="s">
        <v>76</v>
      </c>
      <c r="B49" s="33" t="str">
        <f t="shared" si="0"/>
        <v>-</v>
      </c>
      <c r="C49" s="34" t="s">
        <v>111</v>
      </c>
      <c r="D49" s="234"/>
    </row>
    <row r="50" spans="1:6">
      <c r="A50" s="171" t="s">
        <v>77</v>
      </c>
      <c r="B50" s="33">
        <f t="shared" si="0"/>
        <v>4.9000000000000057</v>
      </c>
      <c r="C50" s="33">
        <f>B50*2</f>
        <v>9.8000000000000114</v>
      </c>
      <c r="D50" s="234"/>
    </row>
    <row r="51" spans="1:6">
      <c r="A51" s="171" t="s">
        <v>78</v>
      </c>
      <c r="B51" s="33">
        <f t="shared" si="0"/>
        <v>1497.1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54</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53</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52</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51</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50</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55</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260</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488</v>
      </c>
      <c r="B13" s="247">
        <f ca="1">'lokale energieproductie'!N91+'lokale energieproductie'!N60</f>
        <v>900</v>
      </c>
      <c r="C13" s="247">
        <f ca="1">'lokale energieproductie'!O91+'lokale energieproductie'!O60</f>
        <v>1285.7142857142858</v>
      </c>
      <c r="D13" s="310">
        <f ca="1">('lokale energieproductie'!P60+'lokale energieproductie'!P91)*(-1)</f>
        <v>-2571.4285714285716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0.20879417131862638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7037.1145950702639</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5313.3565195127803</v>
      </c>
      <c r="C26" s="39">
        <f>IF(ISERROR(B26*3.6/1000000/'E Balans VL '!Z12*100),0,B26*3.6/1000000/'E Balans VL '!Z12*100)</f>
        <v>0.11231593978588655</v>
      </c>
      <c r="D26" s="237" t="s">
        <v>754</v>
      </c>
      <c r="F26" s="6"/>
    </row>
    <row r="27" spans="1:18">
      <c r="A27" s="231" t="s">
        <v>53</v>
      </c>
      <c r="B27" s="33">
        <f>IF(ISERROR(TER_horeca_ele_kWh/1000),0,TER_horeca_ele_kWh/1000)</f>
        <v>1362.8708600432501</v>
      </c>
      <c r="C27" s="39">
        <f>IF(ISERROR(B27*3.6/1000000/'E Balans VL '!Z9*100),0,B27*3.6/1000000/'E Balans VL '!Z9*100)</f>
        <v>0.10743460192930718</v>
      </c>
      <c r="D27" s="237" t="s">
        <v>754</v>
      </c>
      <c r="F27" s="6"/>
    </row>
    <row r="28" spans="1:18">
      <c r="A28" s="171" t="s">
        <v>52</v>
      </c>
      <c r="B28" s="33">
        <f>IF(ISERROR(TER_handel_ele_kWh/1000),0,TER_handel_ele_kWh/1000)</f>
        <v>6029.3636156501307</v>
      </c>
      <c r="C28" s="39">
        <f>IF(ISERROR(B28*3.6/1000000/'E Balans VL '!Z13*100),0,B28*3.6/1000000/'E Balans VL '!Z13*100)</f>
        <v>0.174996493485013</v>
      </c>
      <c r="D28" s="237" t="s">
        <v>754</v>
      </c>
      <c r="F28" s="6"/>
    </row>
    <row r="29" spans="1:18">
      <c r="A29" s="231" t="s">
        <v>51</v>
      </c>
      <c r="B29" s="33">
        <f>IF(ISERROR(TER_gezond_ele_kWh/1000),0,TER_gezond_ele_kWh/1000)</f>
        <v>1387.5091087909002</v>
      </c>
      <c r="C29" s="39">
        <f>IF(ISERROR(B29*3.6/1000000/'E Balans VL '!Z10*100),0,B29*3.6/1000000/'E Balans VL '!Z10*100)</f>
        <v>0.14612749265664449</v>
      </c>
      <c r="D29" s="237" t="s">
        <v>754</v>
      </c>
      <c r="F29" s="6"/>
    </row>
    <row r="30" spans="1:18">
      <c r="A30" s="231" t="s">
        <v>50</v>
      </c>
      <c r="B30" s="33">
        <f>IF(ISERROR(TER_ander_ele_kWh/1000),0,TER_ander_ele_kWh/1000)</f>
        <v>757.16737228793193</v>
      </c>
      <c r="C30" s="39">
        <f>IF(ISERROR(B30*3.6/1000000/'E Balans VL '!Z14*100),0,B30*3.6/1000000/'E Balans VL '!Z14*100)</f>
        <v>5.5848829835893052E-2</v>
      </c>
      <c r="D30" s="237" t="s">
        <v>754</v>
      </c>
      <c r="F30" s="6"/>
    </row>
    <row r="31" spans="1:18">
      <c r="A31" s="231" t="s">
        <v>55</v>
      </c>
      <c r="B31" s="33">
        <f>IF(ISERROR(TER_onderwijs_ele_kWh/1000),0,TER_onderwijs_ele_kWh/1000)</f>
        <v>45.9933555280086</v>
      </c>
      <c r="C31" s="39">
        <f>IF(ISERROR(B31*3.6/1000000/'E Balans VL '!Z11*100),0,B31*3.6/1000000/'E Balans VL '!Z11*100)</f>
        <v>1.1422304633257798E-2</v>
      </c>
      <c r="D31" s="237" t="s">
        <v>754</v>
      </c>
    </row>
    <row r="32" spans="1:18">
      <c r="A32" s="231" t="s">
        <v>260</v>
      </c>
      <c r="B32" s="33">
        <f>IF(ISERROR(TER_rest_ele_kWh/1000),0,TER_rest_ele_kWh/1000)</f>
        <v>17907.336115495498</v>
      </c>
      <c r="C32" s="39">
        <f>IF(ISERROR(B32*3.6/1000000/'E Balans VL '!Z8*100),0,B32*3.6/1000000/'E Balans VL '!Z8*100)</f>
        <v>0.1473536066580744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19127.659786740616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33</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4842.5098947700153</v>
      </c>
      <c r="O9" s="33"/>
      <c r="P9" s="33"/>
      <c r="R9" s="32"/>
    </row>
    <row r="10" spans="1:18">
      <c r="A10" s="6" t="s">
        <v>41</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40</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37</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39</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5558.8293562818935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8579.7899974071643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19127.659786740616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0.20879417131862638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11996.483555377432</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1159.51588637244</v>
      </c>
      <c r="C30" s="39">
        <f>IF(ISERROR(B30*3.6/1000000/'E Balans VL '!Z18*100),0,B30*3.6/1000000/'E Balans VL '!Z18*100)</f>
        <v>6.5712738473920063E-2</v>
      </c>
      <c r="D30" s="237" t="s">
        <v>754</v>
      </c>
    </row>
    <row r="31" spans="1:18">
      <c r="A31" s="6" t="s">
        <v>33</v>
      </c>
      <c r="B31" s="37">
        <f>IF( ISERROR(IND_ander_ele_kWh/1000),0,IND_ander_ele_kWh/1000)</f>
        <v>14655.819004638401</v>
      </c>
      <c r="C31" s="39">
        <f>IF(ISERROR(B31*3.6/1000000/'E Balans VL '!Z19*100),0,B31*3.6/1000000/'E Balans VL '!Z19*100)</f>
        <v>0.66472692428219737</v>
      </c>
      <c r="D31" s="237" t="s">
        <v>754</v>
      </c>
    </row>
    <row r="32" spans="1:18">
      <c r="A32" s="171" t="s">
        <v>41</v>
      </c>
      <c r="B32" s="37">
        <f>IF( ISERROR(IND_voed_ele_kWh/1000),0,IND_voed_ele_kWh/1000)</f>
        <v>1282.40492635582</v>
      </c>
      <c r="C32" s="39">
        <f>IF(ISERROR(B32*3.6/1000000/'E Balans VL '!Z20*100),0,B32*3.6/1000000/'E Balans VL '!Z20*100)</f>
        <v>3.9670605998999242E-2</v>
      </c>
      <c r="D32" s="237" t="s">
        <v>754</v>
      </c>
    </row>
    <row r="33" spans="1:5">
      <c r="A33" s="171" t="s">
        <v>40</v>
      </c>
      <c r="B33" s="37">
        <f>IF( ISERROR(IND_textiel_ele_kWh/1000),0,IND_textiel_ele_kWh/1000)</f>
        <v>10.239206362288799</v>
      </c>
      <c r="C33" s="39">
        <f>IF(ISERROR(B33*3.6/1000000/'E Balans VL '!Z21*100),0,B33*3.6/1000000/'E Balans VL '!Z21*100)</f>
        <v>1.3350786950682889E-3</v>
      </c>
      <c r="D33" s="237" t="s">
        <v>754</v>
      </c>
    </row>
    <row r="34" spans="1:5">
      <c r="A34" s="171" t="s">
        <v>37</v>
      </c>
      <c r="B34" s="37">
        <f>IF( ISERROR(IND_min_ele_kWh/1000),0,IND_min_ele_kWh/1000)</f>
        <v>186.94260389255402</v>
      </c>
      <c r="C34" s="39">
        <f>IF(ISERROR(B34*3.6/1000000/'E Balans VL '!Z22*100),0,B34*3.6/1000000/'E Balans VL '!Z22*100)</f>
        <v>3.362514189820192E-2</v>
      </c>
      <c r="D34" s="237" t="s">
        <v>754</v>
      </c>
    </row>
    <row r="35" spans="1:5">
      <c r="A35" s="171" t="s">
        <v>39</v>
      </c>
      <c r="B35" s="37">
        <f>IF( ISERROR(IND_papier_ele_kWh/1000),0,IND_papier_ele_kWh/1000)</f>
        <v>1912.37772520923</v>
      </c>
      <c r="C35" s="39">
        <f>IF(ISERROR(B35*3.6/1000000/'E Balans VL '!Z22*100),0,B35*3.6/1000000/'E Balans VL '!Z22*100)</f>
        <v>0.34397708726727644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38248.727698185103</v>
      </c>
      <c r="C37" s="39">
        <f>IF(ISERROR(B37*3.6/1000000/'E Balans VL '!Z15*100),0,B37*3.6/1000000/'E Balans VL '!Z15*100)</f>
        <v>0.30316814091317479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1668.0138425249113</v>
      </c>
      <c r="C5" s="17">
        <f>'Eigen informatie GS &amp; warmtenet'!B60</f>
        <v>0</v>
      </c>
      <c r="D5" s="30">
        <f>IF(ISERROR(SUM(LB_lb_gas_kWh,LB_rest_gas_kWh)/1000),0,SUM(LB_lb_gas_kWh,LB_rest_gas_kWh)/1000)*0.902</f>
        <v>886.34438445116496</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1668.0138425249113</v>
      </c>
      <c r="C8" s="21">
        <f>C5+C6</f>
        <v>0</v>
      </c>
      <c r="D8" s="21">
        <f>MAX((D5+D6),0)</f>
        <v>886.34438445116496</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0.20879417131862638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348.27156799798661</v>
      </c>
      <c r="C12" s="23">
        <f ca="1">C8*C10</f>
        <v>0</v>
      </c>
      <c r="D12" s="23">
        <f>D8*D10</f>
        <v>179.04156565913533</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0.23669639748811847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415.44706888343524</v>
      </c>
      <c r="C26" s="247">
        <f>B26*'GWP N2O_CH4'!B5</f>
        <v>8724.3884465521405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181.53730093261132</v>
      </c>
      <c r="C27" s="247">
        <f>B27*'GWP N2O_CH4'!B5</f>
        <v>3812.2833195848375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7">
        <f>B28*'GWP N2O_CH4'!B4</f>
        <v>1616.6108516861327</v>
      </c>
      <c r="D28" s="50"/>
    </row>
    <row r="29" spans="1:4">
      <c r="A29" s="41" t="s">
        <v>277</v>
      </c>
      <c r="B29" s="247">
        <f>B34*'ha_N2O bodem landbouw'!B4</f>
        <v>13.291077983325025</v>
      </c>
      <c r="C29" s="247">
        <f>B29*'GWP N2O_CH4'!B4</f>
        <v>4120.2341748307572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3.0329781927023944E-3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4.4003302331060924E-4</v>
      </c>
      <c r="C5" s="463" t="s">
        <v>211</v>
      </c>
      <c r="D5" s="448">
        <f>SUM(D6:D11)</f>
        <v>1.431106962383097E-3</v>
      </c>
      <c r="E5" s="448">
        <f>SUM(E6:E11)</f>
        <v>2.2362919605355336E-3</v>
      </c>
      <c r="F5" s="461" t="s">
        <v>211</v>
      </c>
      <c r="G5" s="448">
        <f>SUM(G6:G11)</f>
        <v>1.1459327062020663</v>
      </c>
      <c r="H5" s="448">
        <f>SUM(H6:H11)</f>
        <v>0.16665386576534766</v>
      </c>
      <c r="I5" s="463" t="s">
        <v>211</v>
      </c>
      <c r="J5" s="463" t="s">
        <v>211</v>
      </c>
      <c r="K5" s="463" t="s">
        <v>211</v>
      </c>
      <c r="L5" s="463" t="s">
        <v>211</v>
      </c>
      <c r="M5" s="448">
        <f>SUM(M6:M11)</f>
        <v>7.1868780565288351E-2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1.2593407037053312E-4</v>
      </c>
      <c r="C6" s="449"/>
      <c r="D6" s="892">
        <f>vkm_2011_GW_PW*SUMIFS(TableVerdeelsleutelVkm[CNG],TableVerdeelsleutelVkm[Voertuigtype],"Lichte voertuigen")*SUMIFS(TableECFTransport[EnergieConsumptieFactor (PJ per km)],TableECFTransport[Index],CONCATENATE($A6,"_CNG_CNG"))</f>
        <v>3.7772993152982879E-4</v>
      </c>
      <c r="E6" s="892">
        <f>vkm_2011_GW_PW*SUMIFS(TableVerdeelsleutelVkm[LPG],TableVerdeelsleutelVkm[Voertuigtype],"Lichte voertuigen")*SUMIFS(TableECFTransport[EnergieConsumptieFactor (PJ per km)],TableECFTransport[Index],CONCATENATE($A6,"_LPG_LPG"))</f>
        <v>5.1603334470044239E-4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0.13342256760334589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4.2962433348535861E-2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9.0625319204305013E-3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0.11375001786178315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3.466869403216386E-5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6.6471672730657591E-3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3.0919225466117923E-5</v>
      </c>
      <c r="C8" s="449"/>
      <c r="D8" s="451">
        <f>vkm_2011_NGW_PW*SUMIFS(TableVerdeelsleutelVkm[CNG],TableVerdeelsleutelVkm[Voertuigtype],"Lichte voertuigen")*SUMIFS(TableECFTransport[EnergieConsumptieFactor (PJ per km)],TableECFTransport[Index],CONCATENATE($A8,"_CNG_CNG"))</f>
        <v>1.6489263511657647E-4</v>
      </c>
      <c r="E8" s="451">
        <f>vkm_2011_NGW_PW*SUMIFS(TableVerdeelsleutelVkm[LPG],TableVerdeelsleutelVkm[Voertuigtype],"Lichte voertuigen")*SUMIFS(TableECFTransport[EnergieConsumptieFactor (PJ per km)],TableECFTransport[Index],CONCATENATE($A8,"_LPG_LPG"))</f>
        <v>2.0862282727389999E-4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5.0266651985519807E-2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1.8225402184377688E-2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3.4744306704376357E-3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2.678696203330207E-2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7.6858149272151919E-6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1.5653255818315636E-3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2.8317972747395818E-4</v>
      </c>
      <c r="C10" s="449"/>
      <c r="D10" s="451">
        <f>vkm_2011_SW_PW*SUMIFS(TableVerdeelsleutelVkm[CNG],TableVerdeelsleutelVkm[Voertuigtype],"Lichte voertuigen")*SUMIFS(TableECFTransport[EnergieConsumptieFactor (PJ per km)],TableECFTransport[Index],CONCATENATE($A10,"_CNG_CNG"))</f>
        <v>8.8848439573669183E-4</v>
      </c>
      <c r="E10" s="451">
        <f>vkm_2011_SW_PW*SUMIFS(TableVerdeelsleutelVkm[LPG],TableVerdeelsleutelVkm[Voertuigtype],"Lichte voertuigen")*SUMIFS(TableECFTransport[EnergieConsumptieFactor (PJ per km)],TableECFTransport[Index],CONCATENATE($A10,"_LPG_LPG"))</f>
        <v>1.5116357885611913E-3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0.3484354741729136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0.10526790872224999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2.3462622871089099E-2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0.47327103254520186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1.5576700122474124E-4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2.7656702248433789E-2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122.23139536405812</v>
      </c>
      <c r="C14" s="21"/>
      <c r="D14" s="21">
        <f t="shared" ref="D14:M14" si="0">((D5)*10^9/3600)+D12</f>
        <v>397.52971177308251</v>
      </c>
      <c r="E14" s="21">
        <f t="shared" si="0"/>
        <v>621.19221125987053</v>
      </c>
      <c r="F14" s="21"/>
      <c r="G14" s="21">
        <f t="shared" si="0"/>
        <v>318314.64061168511</v>
      </c>
      <c r="H14" s="21">
        <f t="shared" si="0"/>
        <v>46292.740490374352</v>
      </c>
      <c r="I14" s="21"/>
      <c r="J14" s="21"/>
      <c r="K14" s="21"/>
      <c r="L14" s="21"/>
      <c r="M14" s="21">
        <f t="shared" si="0"/>
        <v>19963.550157024543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0.20879417131862638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25.521202904157903</v>
      </c>
      <c r="C18" s="23"/>
      <c r="D18" s="23">
        <f t="shared" ref="D18:M18" si="1">D14*D16</f>
        <v>80.301001778162671</v>
      </c>
      <c r="E18" s="23">
        <f t="shared" si="1"/>
        <v>141.01063195599062</v>
      </c>
      <c r="F18" s="23"/>
      <c r="G18" s="23">
        <f t="shared" si="1"/>
        <v>84990.009043319937</v>
      </c>
      <c r="H18" s="23">
        <f t="shared" si="1"/>
        <v>11526.892382103213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2.7904146840244158E-3</v>
      </c>
      <c r="H50" s="321">
        <f t="shared" si="2"/>
        <v>0</v>
      </c>
      <c r="I50" s="321">
        <f t="shared" si="2"/>
        <v>0</v>
      </c>
      <c r="J50" s="321">
        <f t="shared" si="2"/>
        <v>0</v>
      </c>
      <c r="K50" s="321">
        <f t="shared" si="2"/>
        <v>0</v>
      </c>
      <c r="L50" s="321">
        <f t="shared" si="2"/>
        <v>0</v>
      </c>
      <c r="M50" s="321">
        <f t="shared" si="2"/>
        <v>1.5848323555381957E-4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2.7904146840244158E-3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1.5848323555381957E-4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775.1151900067822</v>
      </c>
      <c r="H54" s="21">
        <f t="shared" si="3"/>
        <v>0</v>
      </c>
      <c r="I54" s="21">
        <f t="shared" si="3"/>
        <v>0</v>
      </c>
      <c r="J54" s="21">
        <f t="shared" si="3"/>
        <v>0</v>
      </c>
      <c r="K54" s="21">
        <f t="shared" si="3"/>
        <v>0</v>
      </c>
      <c r="L54" s="21">
        <f t="shared" si="3"/>
        <v>0</v>
      </c>
      <c r="M54" s="21">
        <f t="shared" si="3"/>
        <v>44.023120987172099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0.20879417131862638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206.95575573181085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6588.7806456592552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900</v>
      </c>
      <c r="C8" s="570">
        <f>B101</f>
        <v>1058.8235294117646</v>
      </c>
      <c r="D8" s="1044"/>
      <c r="E8" s="1044">
        <f>E101</f>
        <v>0</v>
      </c>
      <c r="F8" s="1045"/>
      <c r="G8" s="571"/>
      <c r="H8" s="1044">
        <f>I101</f>
        <v>0</v>
      </c>
      <c r="I8" s="1044">
        <f>G101+F101</f>
        <v>0</v>
      </c>
      <c r="J8" s="1044">
        <f>H101+D101+C101</f>
        <v>0</v>
      </c>
      <c r="K8" s="1044"/>
      <c r="L8" s="1044"/>
      <c r="M8" s="1044"/>
      <c r="N8" s="572"/>
      <c r="O8" s="573">
        <f>C8*$C$12+D8*$D$12+E8*$E$12+F8*$F$12+G8*$G$12+H8*$H$12+I8*$I$12+J8*$J$12</f>
        <v>213.88235294117646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7488.7806456592552</v>
      </c>
      <c r="C10" s="583">
        <f t="shared" ref="C10:L10" si="0">SUM(C8:C9)</f>
        <v>1058.8235294117646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213.88235294117646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1285.7142857142858</v>
      </c>
      <c r="C17" s="595">
        <f>B102</f>
        <v>1512.6050420168069</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305.54621848739504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1285.7142857142858</v>
      </c>
      <c r="C20" s="582">
        <f>SUM(C17:C19)</f>
        <v>1512.6050420168069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44048</v>
      </c>
      <c r="C28" s="796">
        <v>9810</v>
      </c>
      <c r="D28" s="653" t="s">
        <v>881</v>
      </c>
      <c r="E28" s="652" t="s">
        <v>882</v>
      </c>
      <c r="F28" s="652" t="s">
        <v>883</v>
      </c>
      <c r="G28" s="652" t="s">
        <v>884</v>
      </c>
      <c r="H28" s="652" t="s">
        <v>885</v>
      </c>
      <c r="I28" s="652" t="s">
        <v>882</v>
      </c>
      <c r="J28" s="795">
        <v>39800</v>
      </c>
      <c r="K28" s="795">
        <v>40087</v>
      </c>
      <c r="L28" s="652" t="s">
        <v>886</v>
      </c>
      <c r="M28" s="652">
        <v>120</v>
      </c>
      <c r="N28" s="652">
        <v>540</v>
      </c>
      <c r="O28" s="652">
        <v>771.42857142857144</v>
      </c>
      <c r="P28" s="652">
        <v>1542.8571428571429</v>
      </c>
      <c r="Q28" s="652">
        <v>0</v>
      </c>
      <c r="R28" s="652">
        <v>0</v>
      </c>
      <c r="S28" s="652">
        <v>0</v>
      </c>
      <c r="T28" s="652">
        <v>0</v>
      </c>
      <c r="U28" s="652">
        <v>0</v>
      </c>
      <c r="V28" s="652">
        <v>0</v>
      </c>
      <c r="W28" s="652">
        <v>0</v>
      </c>
      <c r="X28" s="652">
        <v>1100</v>
      </c>
      <c r="Y28" s="652" t="s">
        <v>52</v>
      </c>
      <c r="Z28" s="654" t="s">
        <v>156</v>
      </c>
    </row>
    <row r="29" spans="1:26" s="606" customFormat="1" ht="51">
      <c r="A29" s="605"/>
      <c r="B29" s="796">
        <v>44048</v>
      </c>
      <c r="C29" s="796">
        <v>9810</v>
      </c>
      <c r="D29" s="653" t="s">
        <v>887</v>
      </c>
      <c r="E29" s="652" t="s">
        <v>888</v>
      </c>
      <c r="F29" s="652" t="s">
        <v>889</v>
      </c>
      <c r="G29" s="652" t="s">
        <v>884</v>
      </c>
      <c r="H29" s="652" t="s">
        <v>885</v>
      </c>
      <c r="I29" s="652" t="s">
        <v>890</v>
      </c>
      <c r="J29" s="795">
        <v>39785</v>
      </c>
      <c r="K29" s="795">
        <v>40544</v>
      </c>
      <c r="L29" s="652" t="s">
        <v>886</v>
      </c>
      <c r="M29" s="652">
        <v>80</v>
      </c>
      <c r="N29" s="652">
        <v>360</v>
      </c>
      <c r="O29" s="652">
        <v>514.28571428571433</v>
      </c>
      <c r="P29" s="652">
        <v>1028.5714285714287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200</v>
      </c>
      <c r="N58" s="610">
        <f>SUM(N28:N57)</f>
        <v>900</v>
      </c>
      <c r="O58" s="610">
        <f t="shared" ref="O58:W58" si="2">SUM(O28:O57)</f>
        <v>1285.7142857142858</v>
      </c>
      <c r="P58" s="610">
        <f t="shared" si="2"/>
        <v>2571.4285714285716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200</v>
      </c>
      <c r="N60" s="610">
        <f ca="1">SUMIF($Z$28:AD57,"tertiair",N28:N57)</f>
        <v>900</v>
      </c>
      <c r="O60" s="610">
        <f ca="1">SUMIF($Z$28:AE57,"tertiair",O28:O57)</f>
        <v>1285.7142857142858</v>
      </c>
      <c r="P60" s="610">
        <f ca="1">SUMIF($Z$28:AF57,"tertiair",P28:P57)</f>
        <v>2571.4285714285716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2019-08-12T08:34:42Z</dcterms:modified>
</cp:coreProperties>
</file>