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Q14" i="48"/>
  <c r="E90" i="14"/>
  <c r="E18" i="61"/>
  <c r="E20"/>
  <c r="L20" i="18"/>
  <c r="O77" i="14"/>
  <c r="O9" i="61" s="1"/>
  <c r="O10" s="1"/>
  <c r="B10" i="18"/>
  <c r="D20"/>
  <c r="M77" i="14"/>
  <c r="M9" i="61" s="1"/>
  <c r="P31" i="48"/>
  <c r="J22" i="14"/>
  <c r="P22"/>
  <c r="E10" i="61"/>
  <c r="B17" i="18"/>
  <c r="B20" s="1"/>
  <c r="F13" i="15"/>
  <c r="L78" i="14"/>
  <c r="L8" i="61"/>
  <c r="L10" s="1"/>
  <c r="K78" i="14"/>
  <c r="K8" i="61"/>
  <c r="K10" s="1"/>
  <c r="L90" i="14"/>
  <c r="L18" i="61"/>
  <c r="C98" i="18"/>
  <c r="F101" s="1"/>
  <c r="N20" i="61"/>
  <c r="N77" i="14"/>
  <c r="P27" i="48"/>
  <c r="H9" i="18"/>
  <c r="O9" s="1"/>
  <c r="L20" i="61"/>
  <c r="O22" i="14"/>
  <c r="H20" i="61"/>
  <c r="P25" i="48"/>
  <c r="I77" i="14"/>
  <c r="I9" i="61" s="1"/>
  <c r="L13" i="15"/>
  <c r="B13"/>
  <c r="H90" i="14"/>
  <c r="N13" i="15"/>
  <c r="F77" i="14"/>
  <c r="F9" i="61" s="1"/>
  <c r="E101" i="18"/>
  <c r="E8" s="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I101" i="18"/>
  <c r="H8" s="1"/>
  <c r="H78" i="14"/>
  <c r="H9" i="61"/>
  <c r="H10" s="1"/>
  <c r="N78" i="14"/>
  <c r="N9" i="61"/>
  <c r="N10" s="1"/>
  <c r="D10"/>
  <c r="G101" i="18"/>
  <c r="I8" s="1"/>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B10" i="48"/>
  <c r="C19" i="14"/>
  <c r="E29" i="48"/>
  <c r="E31"/>
  <c r="E30"/>
  <c r="E28"/>
  <c r="E32"/>
  <c r="E24"/>
  <c r="M29"/>
  <c r="M25"/>
  <c r="M32"/>
  <c r="M22"/>
  <c r="M26"/>
  <c r="M24"/>
  <c r="M30"/>
  <c r="M23"/>
  <c r="B8" i="9"/>
  <c r="B6" i="48" s="1"/>
  <c r="Q6" s="1"/>
  <c r="H29"/>
  <c r="H32"/>
  <c r="H24"/>
  <c r="H25"/>
  <c r="H22"/>
  <c r="H26"/>
  <c r="H28"/>
  <c r="H30"/>
  <c r="H23"/>
  <c r="G23"/>
  <c r="G32"/>
  <c r="G30"/>
  <c r="G29"/>
  <c r="G25"/>
  <c r="G22"/>
  <c r="G24"/>
  <c r="G26"/>
  <c r="F32"/>
  <c r="F24"/>
  <c r="F31"/>
  <c r="F30"/>
  <c r="F29"/>
  <c r="F28"/>
  <c r="F27"/>
  <c r="K5"/>
  <c r="L10" i="14"/>
  <c r="L16" s="1"/>
  <c r="L27" s="1"/>
  <c r="D30" i="48"/>
  <c r="D28"/>
  <c r="D24"/>
  <c r="D29"/>
  <c r="D31"/>
  <c r="D32"/>
  <c r="L29"/>
  <c r="L32"/>
  <c r="L31"/>
  <c r="L22"/>
  <c r="L24"/>
  <c r="L30"/>
  <c r="L27"/>
  <c r="L28"/>
  <c r="Q10" i="14"/>
  <c r="P5" i="48"/>
  <c r="P23" s="1"/>
  <c r="K32"/>
  <c r="K27"/>
  <c r="K24"/>
  <c r="K25"/>
  <c r="K30"/>
  <c r="K22"/>
  <c r="K26"/>
  <c r="K28"/>
  <c r="K31"/>
  <c r="K29"/>
  <c r="B7"/>
  <c r="C24" i="14"/>
  <c r="C26" s="1"/>
  <c r="J15" i="16"/>
  <c r="I31" i="48"/>
  <c r="I27"/>
  <c r="I22"/>
  <c r="I26"/>
  <c r="I29"/>
  <c r="I24"/>
  <c r="I28"/>
  <c r="I30"/>
  <c r="I25"/>
  <c r="I32"/>
  <c r="D11" i="14"/>
  <c r="C4" i="48"/>
  <c r="B4"/>
  <c r="C11" i="14"/>
  <c r="N31" i="48"/>
  <c r="N30"/>
  <c r="N32"/>
  <c r="N24"/>
  <c r="N27"/>
  <c r="N29"/>
  <c r="N28"/>
  <c r="J30"/>
  <c r="J32"/>
  <c r="J24"/>
  <c r="J31"/>
  <c r="J27"/>
  <c r="J28"/>
  <c r="J29"/>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J63" s="1"/>
  <c r="I5" i="48"/>
  <c r="I20" i="15"/>
  <c r="J40" i="14" s="1"/>
  <c r="J46" s="1"/>
  <c r="J61" s="1"/>
  <c r="K33" i="48"/>
  <c r="P15"/>
  <c r="P22"/>
  <c r="P33" s="1"/>
  <c r="O22"/>
  <c r="H18" i="14"/>
  <c r="G13" i="48"/>
  <c r="G31" s="1"/>
  <c r="E9"/>
  <c r="E27" s="1"/>
  <c r="F20" i="14"/>
  <c r="F22" s="1"/>
  <c r="G11"/>
  <c r="F4" i="48"/>
  <c r="F22" s="1"/>
  <c r="Q13" i="14"/>
  <c r="P8" i="48"/>
  <c r="P26" s="1"/>
  <c r="K23"/>
  <c r="K15"/>
  <c r="C22" i="14"/>
  <c r="D9" i="48"/>
  <c r="D27" s="1"/>
  <c r="E20" i="14"/>
  <c r="E22" s="1"/>
  <c r="P10"/>
  <c r="O5" i="48"/>
  <c r="O23" s="1"/>
  <c r="B9"/>
  <c r="C20" i="14"/>
  <c r="J7" i="48"/>
  <c r="J25" s="1"/>
  <c r="K24" i="14"/>
  <c r="K26"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4" i="48" l="1"/>
  <c r="F11" i="14"/>
  <c r="R11" s="1"/>
  <c r="O11"/>
  <c r="N4" i="48"/>
  <c r="N22" s="1"/>
  <c r="M14" i="22"/>
  <c r="P16" i="14"/>
  <c r="P27" s="1"/>
  <c r="H19"/>
  <c r="G10" i="48"/>
  <c r="P13" i="14"/>
  <c r="O8" i="48"/>
  <c r="J4"/>
  <c r="K11" i="14"/>
  <c r="H14" i="22"/>
  <c r="E7" i="48"/>
  <c r="E25" s="1"/>
  <c r="F24" i="14"/>
  <c r="F26" s="1"/>
  <c r="I23" i="48"/>
  <c r="I33" s="1"/>
  <c r="I15"/>
  <c r="M10"/>
  <c r="M28" s="1"/>
  <c r="N19" i="14"/>
  <c r="E12" i="17"/>
  <c r="F54" i="14" s="1"/>
  <c r="F56" s="1"/>
  <c r="I20"/>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E22" i="48"/>
  <c r="Q4"/>
  <c r="F10" i="14"/>
  <c r="E5" i="48"/>
  <c r="E23" s="1"/>
  <c r="O26"/>
  <c r="O33" s="1"/>
  <c r="O15"/>
  <c r="J22"/>
  <c r="G9"/>
  <c r="H20" i="14"/>
  <c r="H22"/>
  <c r="H27" s="1"/>
  <c r="R19"/>
  <c r="J5" i="48"/>
  <c r="J23" s="1"/>
  <c r="K10" i="14"/>
  <c r="G28" i="48"/>
  <c r="Q10"/>
  <c r="Q7"/>
  <c r="M15"/>
  <c r="M27"/>
  <c r="M33" s="1"/>
  <c r="R22" i="14"/>
  <c r="Q9" i="48"/>
  <c r="H15"/>
  <c r="H27"/>
  <c r="H33" s="1"/>
  <c r="N63" i="14"/>
  <c r="R20"/>
  <c r="R24"/>
  <c r="R26" s="1"/>
  <c r="N18" i="16"/>
  <c r="E20" i="15"/>
  <c r="F40" i="14" s="1"/>
  <c r="F18" i="16"/>
  <c r="J18"/>
  <c r="E18"/>
  <c r="G18" i="22"/>
  <c r="H50" i="14" s="1"/>
  <c r="H18" i="22"/>
  <c r="I50" i="14" s="1"/>
  <c r="I52" s="1"/>
  <c r="I61" s="1"/>
  <c r="I63" s="1"/>
  <c r="K13" l="1"/>
  <c r="J8" i="48"/>
  <c r="J26" s="1"/>
  <c r="E8"/>
  <c r="E26" s="1"/>
  <c r="F13" i="14"/>
  <c r="G27" i="48"/>
  <c r="G33" s="1"/>
  <c r="G15"/>
  <c r="K16" i="14"/>
  <c r="K27" s="1"/>
  <c r="K63" s="1"/>
  <c r="J33" i="48"/>
  <c r="J15"/>
  <c r="E15"/>
  <c r="E33"/>
  <c r="F16" i="14"/>
  <c r="F27" s="1"/>
  <c r="N8" i="48"/>
  <c r="N26" s="1"/>
  <c r="O13" i="14"/>
  <c r="F8" i="48"/>
  <c r="G13" i="14"/>
  <c r="E22" i="16"/>
  <c r="F43" i="14" s="1"/>
  <c r="F46" s="1"/>
  <c r="F61" s="1"/>
  <c r="F22" i="16"/>
  <c r="G43" i="14" s="1"/>
  <c r="N22" i="16"/>
  <c r="O43" i="14" s="1"/>
  <c r="J22" i="16"/>
  <c r="K43" i="14" s="1"/>
  <c r="K46" s="1"/>
  <c r="K61" s="1"/>
  <c r="R13" l="1"/>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<sst xmlns="http://schemas.openxmlformats.org/spreadsheetml/2006/main" count="2427" uniqueCount="902">
  <si>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</si>
  <si>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</si>
  <si>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</si>
  <si>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</si>
  <si>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</si>
  <si>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</si>
  <si>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</si>
  <si>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</si>
  <si>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</si>
  <si>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</si>
  <si>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</si>
  <si>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</si>
  <si>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</si>
  <si>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</si>
  <si>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</si>
  <si>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</si>
  <si>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</si>
  <si>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</si>
  <si>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</si>
  <si>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</si>
  <si>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</si>
  <si>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</si>
  <si>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</si>
  <si>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</si>
  <si>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</si>
  <si>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</si>
  <si>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</si>
  <si>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</si>
  <si>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</si>
  <si>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</si>
  <si>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</si>
  <si>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</si>
  <si>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</si>
  <si>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</si>
  <si>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</si>
  <si>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</si>
  <si>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</si>
  <si>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</si>
  <si>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</si>
  <si>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</si>
  <si>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</si>
  <si>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</si>
  <si>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</si>
  <si>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</si>
  <si>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</si>
  <si>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</si>
  <si>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</si>
  <si>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</si>
  <si>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</si>
  <si>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</si>
  <si>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</si>
  <si>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</si>
  <si>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</si>
  <si>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</si>
  <si>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</si>
  <si>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</si>
  <si>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</si>
  <si>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</si>
  <si>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</si>
  <si>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</si>
  <si>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</si>
  <si>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</si>
  <si>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</si>
  <si>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</si>
  <si>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</si>
  <si>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</si>
  <si>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</si>
  <si>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</si>
  <si>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</si>
  <si>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</si>
  <si>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</si>
  <si>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</si>
  <si>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</si>
  <si>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</si>
  <si>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</si>
  <si>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</si>
  <si>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</si>
  <si>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</si>
  <si>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</si>
  <si>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</si>
  <si>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</si>
  <si>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</si>
  <si>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</si>
  <si>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</si>
  <si>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</si>
  <si>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</si>
  <si>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</si>
  <si>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</si>
  <si>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</si>
  <si>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</si>
  <si>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</si>
  <si>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</si>
  <si>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</si>
  <si>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</si>
  <si>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</si>
  <si>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</si>
  <si>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</si>
  <si>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</si>
  <si>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</si>
  <si>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</si>
  <si>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</si>
  <si>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</si>
  <si>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</si>
  <si>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</si>
  <si>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</si>
  <si>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</si>
  <si>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</si>
  <si>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</si>
  <si>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</si>
  <si>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</si>
  <si>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</si>
  <si>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</si>
  <si>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</si>
  <si>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</si>
  <si>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</si>
  <si>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</si>
  <si>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</si>
  <si>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</si>
  <si>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</si>
  <si>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</si>
  <si>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</si>
  <si>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</si>
  <si>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</si>
  <si>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</si>
  <si>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</si>
  <si>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</si>
  <si>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</si>
  <si>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</si>
  <si>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</si>
  <si>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</si>
  <si>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</si>
  <si>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</si>
  <si>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</si>
  <si>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</si>
  <si>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</si>
  <si>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</si>
  <si>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</si>
  <si>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</si>
  <si>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</si>
  <si>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</si>
  <si>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</si>
  <si>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</si>
  <si>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</si>
  <si>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</si>
  <si>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</si>
  <si>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</si>
  <si>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</si>
  <si>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</si>
  <si>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</si>
  <si>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</si>
  <si>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</si>
  <si>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</si>
  <si>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</si>
  <si>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</si>
  <si>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</si>
  <si>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</si>
  <si>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</si>
  <si>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</si>
  <si>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</si>
  <si>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</si>
  <si>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</si>
  <si>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</si>
  <si>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</si>
  <si>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</si>
  <si>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</si>
  <si>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</si>
  <si>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</si>
  <si>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</si>
  <si>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</si>
  <si>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</si>
  <si>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</si>
  <si>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</si>
  <si>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</si>
  <si>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</si>
  <si>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</si>
  <si>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</si>
  <si>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</si>
  <si>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</si>
  <si>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</si>
  <si>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</si>
  <si>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</si>
  <si>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</si>
  <si>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</si>
  <si>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</si>
  <si>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</si>
  <si>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</si>
  <si>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</si>
  <si>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</si>
  <si>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</si>
  <si>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</si>
  <si>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</si>
  <si>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</si>
  <si>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</si>
  <si>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</si>
  <si>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</si>
  <si>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</si>
  <si>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</si>
  <si>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</si>
  <si>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</si>
  <si>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</si>
  <si>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</si>
  <si>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</si>
  <si>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</si>
  <si>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</si>
  <si>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</si>
  <si>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</si>
  <si>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</si>
  <si>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</si>
  <si>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</si>
  <si>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</si>
  <si>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</si>
  <si>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</si>
  <si>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</si>
  <si>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</si>
  <si>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</si>
  <si>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</si>
  <si>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</si>
  <si>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</si>
  <si>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</si>
  <si>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</si>
  <si>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</si>
  <si>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</si>
  <si>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</si>
  <si>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</si>
  <si>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</si>
  <si>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</si>
  <si>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</si>
  <si>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</si>
  <si>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</si>
  <si>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</si>
  <si>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</si>
  <si>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</si>
  <si>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</si>
  <si>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</si>
  <si>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</si>
  <si>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</si>
  <si>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</si>
  <si>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</si>
  <si>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</si>
  <si>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</si>
  <si>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</si>
  <si>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</si>
  <si>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</si>
  <si>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</si>
  <si>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</si>
  <si>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</si>
  <si>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</si>
  <si>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</si>
  <si>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</si>
  <si>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</si>
  <si>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</si>
  <si>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</si>
  <si>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</si>
  <si>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</si>
  <si>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</si>
  <si>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</si>
  <si>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</si>
  <si>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</si>
  <si>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</si>
  <si>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</si>
  <si>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</si>
  <si>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</si>
  <si>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</si>
  <si>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</si>
  <si>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</si>
  <si>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</si>
  <si>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</si>
  <si>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</si>
  <si>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</si>
  <si>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</si>
  <si>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</si>
  <si>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</si>
  <si>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</si>
  <si>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</si>
  <si>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</si>
  <si>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</si>
  <si>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</si>
  <si>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</si>
  <si>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</si>
  <si>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</si>
  <si>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</si>
  <si>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</si>
  <si>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</si>
  <si>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</si>
  <si>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</si>
  <si>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</si>
  <si>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</si>
  <si>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</si>
  <si>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</si>
  <si>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</si>
  <si>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</si>
  <si>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</si>
  <si>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</si>
  <si>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</si>
  <si>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</si>
  <si>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</si>
  <si>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</si>
  <si>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</si>
  <si>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</si>
  <si>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</si>
  <si>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</si>
  <si>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</si>
  <si>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</si>
  <si>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</si>
  <si>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</si>
  <si>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</si>
  <si>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</si>
  <si>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</si>
  <si>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</si>
  <si>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</si>
  <si>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</si>
  <si>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</si>
  <si>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</si>
  <si>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</si>
  <si>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</si>
  <si>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</si>
  <si>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</si>
  <si>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</si>
  <si>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</si>
  <si>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</si>
  <si>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</si>
  <si>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</si>
  <si>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</si>
  <si>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</si>
  <si>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</si>
  <si>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</si>
  <si>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</si>
  <si>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</si>
  <si>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</si>
  <si>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</si>
  <si>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</si>
  <si>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</si>
  <si>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</si>
  <si>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</si>
  <si>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</si>
  <si>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</si>
  <si>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</si>
  <si>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</si>
  <si>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</si>
  <si>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</si>
  <si>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</si>
  <si>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</si>
  <si>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</si>
  <si>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</si>
  <si>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</si>
  <si>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</si>
  <si>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</si>
  <si>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</si>
  <si>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</si>
  <si>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</si>
  <si>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</si>
  <si>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</si>
  <si>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</si>
  <si>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</si>
  <si>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</si>
  <si>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</si>
  <si>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</si>
  <si>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</si>
  <si>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</si>
  <si>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</si>
  <si>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</si>
  <si>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</si>
  <si>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</si>
  <si>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</si>
  <si>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</si>
  <si>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</si>
  <si>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</si>
  <si>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</si>
  <si>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</si>
  <si>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</si>
  <si>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</si>
  <si>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</si>
  <si>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</si>
  <si>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</si>
  <si>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</si>
  <si>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</si>
  <si>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</si>
  <si>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</si>
  <si>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</si>
  <si>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</si>
  <si>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</si>
  <si>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</si>
  <si>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</si>
  <si>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</si>
  <si>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</si>
  <si>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</si>
  <si>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</si>
  <si>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</si>
  <si>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</si>
  <si>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</si>
  <si>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</si>
  <si>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</si>
  <si>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</si>
  <si>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</si>
  <si>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</si>
  <si>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</si>
  <si>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</si>
  <si>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</si>
  <si>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</si>
  <si>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</si>
  <si>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</si>
  <si>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</si>
  <si>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</si>
  <si>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</si>
  <si>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</si>
  <si>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</si>
  <si>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</si>
  <si>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</si>
  <si>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</si>
  <si>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</si>
  <si>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</si>
  <si>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</si>
  <si>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</si>
  <si>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</si>
  <si>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</si>
  <si>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</si>
  <si>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</si>
  <si>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</si>
  <si>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</si>
  <si>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</si>
  <si>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</si>
  <si>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</si>
  <si>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</si>
  <si>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</si>
  <si>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</si>
  <si>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</si>
  <si>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</si>
  <si>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</si>
  <si>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</si>
  <si>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</si>
  <si>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</si>
  <si>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</si>
  <si>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</si>
  <si>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</si>
  <si>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</si>
  <si>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</si>
  <si>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</si>
  <si>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</si>
  <si>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</si>
  <si>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</si>
  <si>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</si>
  <si>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</si>
  <si>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</si>
  <si>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</si>
  <si>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</si>
  <si>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</si>
  <si>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</si>
  <si>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</si>
  <si>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</si>
  <si>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</si>
  <si>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</si>
  <si>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</si>
  <si>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</si>
  <si>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</si>
  <si>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</si>
  <si>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</si>
  <si>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</si>
  <si>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</si>
  <si>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</si>
  <si>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</si>
  <si>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</si>
  <si>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</si>
  <si>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</si>
  <si>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</si>
  <si>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</si>
  <si>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</si>
  <si>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</si>
  <si>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</si>
  <si>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</si>
  <si>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</si>
  <si>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</si>
  <si>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</si>
  <si>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</si>
  <si>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</si>
  <si>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</si>
  <si>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</si>
  <si>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</si>
  <si>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</si>
  <si>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</si>
  <si>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</si>
  <si>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</si>
  <si>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</si>
  <si>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</si>
  <si>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</si>
  <si>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</si>
  <si>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</si>
  <si>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</si>
  <si>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</si>
  <si>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</si>
  <si>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</si>
  <si>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</si>
  <si>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</si>
  <si>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</si>
  <si>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</si>
  <si>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</si>
  <si>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</si>
  <si>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</si>
  <si>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</si>
  <si>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</si>
  <si>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</si>
  <si>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</si>
  <si>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</si>
  <si>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</si>
  <si>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</si>
  <si>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</si>
  <si>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</si>
  <si>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</si>
  <si>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</si>
  <si>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</si>
  <si>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</si>
  <si>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</si>
  <si>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</si>
  <si>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</si>
  <si>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</si>
  <si>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</si>
  <si>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</si>
  <si>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</si>
  <si>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</si>
  <si>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</si>
  <si>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</si>
  <si>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</si>
  <si>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</si>
  <si>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</si>
  <si>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</si>
  <si>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</si>
  <si>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</si>
  <si>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</si>
  <si>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</si>
  <si>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</si>
  <si>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</si>
  <si>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</si>
  <si>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</si>
  <si>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</si>
  <si>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</si>
  <si>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</si>
  <si>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</si>
  <si>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</si>
  <si>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</si>
  <si>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</si>
  <si>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</si>
  <si>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</si>
  <si>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</si>
  <si>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</si>
  <si>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</si>
  <si>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</si>
  <si>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</si>
  <si>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</si>
  <si>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</si>
  <si>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</si>
  <si>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</si>
  <si>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</si>
  <si>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</si>
  <si>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</si>
  <si>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</si>
  <si>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</si>
  <si>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</si>
  <si>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</si>
  <si>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</si>
  <si>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</si>
  <si>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</si>
  <si>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</si>
  <si>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</si>
  <si>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</si>
  <si>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</si>
  <si>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</si>
  <si>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</si>
  <si>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</si>
  <si>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</si>
  <si>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</si>
  <si>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</si>
  <si>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</si>
  <si>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</si>
  <si>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</si>
  <si>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</si>
  <si>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</si>
  <si>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</si>
  <si>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</si>
  <si>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</si>
  <si>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</si>
  <si>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</si>
  <si>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</si>
  <si>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</si>
  <si>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</si>
  <si>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</si>
  <si>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</si>
  <si>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</si>
  <si>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</si>
  <si>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</si>
  <si>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</si>
  <si>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</si>
  <si>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</si>
  <si>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</si>
  <si>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</si>
  <si>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</si>
  <si>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</si>
  <si>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</si>
  <si>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</si>
  <si>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</si>
  <si>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</si>
  <si>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</si>
  <si>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</si>
  <si>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</si>
  <si>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</si>
  <si>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</si>
  <si>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</si>
  <si>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</si>
  <si>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</si>
  <si>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</si>
  <si>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</si>
  <si>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</si>
  <si>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</si>
  <si>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</si>
  <si>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</si>
  <si>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</si>
  <si>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</si>
  <si>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</si>
  <si>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</si>
  <si>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</si>
  <si>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</si>
  <si>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</si>
  <si>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</si>
  <si>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</si>
  <si>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</si>
  <si>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</si>
  <si>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</si>
  <si>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</si>
  <si>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</si>
  <si>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</si>
  <si>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</si>
  <si>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</si>
  <si>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</si>
  <si>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</si>
  <si>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</si>
  <si>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</si>
  <si>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</si>
  <si>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</si>
  <si>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</si>
  <si>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</si>
  <si>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</si>
  <si>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</si>
  <si>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</si>
  <si>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</si>
  <si>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</si>
  <si>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</si>
  <si>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</si>
  <si>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</si>
  <si>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</si>
  <si>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</si>
  <si>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</si>
  <si>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</si>
  <si>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</si>
  <si>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</si>
  <si>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</si>
  <si>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</si>
  <si>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</si>
  <si>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</si>
  <si>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</si>
  <si>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</si>
  <si>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</si>
  <si>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</si>
  <si>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</si>
  <si>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</si>
  <si>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</si>
  <si>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</si>
  <si>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</si>
  <si>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</si>
  <si>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</si>
  <si>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</si>
  <si>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</si>
  <si>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</si>
  <si>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</si>
  <si>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</si>
  <si>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</si>
  <si>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</si>
  <si>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</si>
  <si>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</si>
  <si>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</si>
  <si>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</si>
  <si>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</si>
  <si>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</si>
  <si>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</si>
  <si>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</si>
  <si>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</si>
  <si>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</si>
  <si>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</si>
  <si>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</si>
  <si>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</si>
  <si>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</si>
  <si>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</si>
  <si>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</si>
  <si>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</si>
  <si>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</si>
  <si>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</si>
  <si>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</si>
  <si>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</si>
  <si>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</si>
  <si>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</si>
  <si>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</si>
  <si>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</si>
  <si>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</si>
  <si>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</si>
  <si>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</si>
  <si>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</si>
  <si>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</si>
  <si>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</si>
  <si>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</si>
  <si>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</si>
  <si>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</si>
  <si>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</si>
  <si>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</si>
  <si>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</si>
  <si>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</si>
  <si>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</si>
  <si>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</si>
  <si>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</si>
  <si>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</si>
  <si>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</si>
  <si>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</si>
  <si>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</si>
  <si>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</si>
  <si>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</si>
  <si>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</si>
  <si>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</si>
  <si>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</si>
  <si>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</si>
  <si>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</si>
  <si>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</si>
  <si>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</si>
  <si>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</si>
  <si>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</si>
  <si>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</si>
  <si>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</si>
  <si>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</si>
  <si>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</si>
  <si>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</si>
  <si>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</si>
  <si>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</si>
  <si>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</si>
  <si>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</si>
  <si>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</si>
  <si>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</si>
  <si>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</si>
  <si>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</si>
  <si>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</si>
  <si>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</si>
  <si>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</si>
  <si>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</si>
  <si>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</si>
  <si>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</si>
  <si>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</si>
  <si>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</si>
  <si>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</si>
  <si>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</si>
  <si>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</si>
  <si>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</si>
  <si>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</si>
  <si>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</si>
  <si>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</si>
  <si>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</si>
  <si>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</si>
  <si>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</si>
  <si>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</si>
  <si>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</si>
  <si>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</si>
  <si>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</si>
  <si>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</si>
  <si>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</si>
  <si>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</si>
  <si>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</si>
  <si>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</si>
  <si>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</si>
  <si>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</si>
  <si>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</si>
  <si>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</si>
  <si>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</si>
  <si>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</si>
  <si>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</si>
  <si>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</si>
  <si>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</si>
  <si>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</si>
  <si>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</si>
  <si>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</si>
  <si>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</si>
  <si>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</si>
  <si>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</si>
  <si>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</si>
  <si>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</si>
  <si>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</si>
  <si>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</si>
  <si>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</si>
  <si>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</si>
  <si>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</si>
  <si>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</si>
  <si>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</si>
  <si>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</si>
  <si>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</si>
  <si>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</si>
  <si>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</si>
  <si>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</si>
  <si>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</si>
  <si>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</si>
  <si>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</si>
  <si>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</si>
  <si>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</si>
  <si>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</si>
  <si>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</si>
  <si>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</si>
  <si>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</si>
  <si>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</si>
  <si>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</si>
  <si>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</si>
  <si>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</si>
  <si>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</si>
  <si>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</si>
  <si>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</si>
  <si>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</si>
  <si>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</si>
  <si>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</si>
  <si>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</si>
  <si>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</si>
  <si>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</si>
  <si>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</si>
  <si>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</si>
  <si>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</si>
  <si>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</si>
  <si>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</si>
  <si>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</si>
  <si>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</si>
  <si>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</si>
  <si>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</si>
  <si>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</si>
  <si>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</si>
  <si>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</si>
  <si>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</si>
  <si>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</si>
  <si>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</si>
  <si>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</si>
  <si>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</si>
  <si>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</si>
  <si>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</si>
  <si>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</si>
  <si>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</si>
  <si>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</si>
  <si>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</si>
  <si>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</si>
  <si>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</si>
  <si>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</si>
  <si>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</si>
  <si>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</si>
  <si>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</si>
  <si>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</si>
  <si>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</si>
  <si>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</si>
  <si>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</si>
  <si>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</si>
  <si>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</si>
  <si>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</si>
  <si>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</si>
  <si>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</si>
  <si>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</si>
  <si>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</si>
  <si>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</si>
  <si>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</si>
  <si>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</si>
  <si>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</si>
  <si>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</si>
  <si>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</si>
  <si>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</si>
  <si>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</si>
  <si>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</si>
  <si>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</si>
  <si>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</si>
  <si>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</si>
  <si>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44034</t>
  </si>
  <si>
    <t>LOCHRISTI</t>
  </si>
  <si>
    <t>Eandis (januari 2018); Infrax (juni 2018)</t>
  </si>
  <si>
    <t>MOW (september 2017)</t>
  </si>
  <si>
    <t>referentietaak LNE (2017); Jaarverslag De Lijn (2016)</t>
  </si>
  <si>
    <t>VEA (april 2018)</t>
  </si>
  <si>
    <t>VEA (januari 2017)</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</si>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</sst>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160199.32857041032</c:v>
                </c:pt>
                <c:pt idx="1">
                  <c:v>68644.630241248291</c:v>
                </c:pt>
                <c:pt idx="2">
                  <c:v>1706.7</c:v>
                </c:pt>
                <c:pt idx="3">
                  <c:v>112395.29515157413</c:v>
                </c:pt>
                <c:pt idx="4">
                  <c:v>41065.549801514731</c:v>
                </c:pt>
                <c:pt idx="5">
                  <c:v>292167.23687663657</c:v>
                </c:pt>
                <c:pt idx="6">
                  <c:v>2317.6632207260341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160199.32857041032</c:v>
                </c:pt>
                <c:pt idx="1">
                  <c:v>68644.630241248291</c:v>
                </c:pt>
                <c:pt idx="2">
                  <c:v>1706.7</c:v>
                </c:pt>
                <c:pt idx="3">
                  <c:v>112395.29515157413</c:v>
                </c:pt>
                <c:pt idx="4">
                  <c:v>41065.549801514731</c:v>
                </c:pt>
                <c:pt idx="5">
                  <c:v>292167.23687663657</c:v>
                </c:pt>
                <c:pt idx="6">
                  <c:v>2317.6632207260341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28453.508057479929</c:v>
                </c:pt>
                <c:pt idx="2">
                  <c:v>13321.887415496341</c:v>
                </c:pt>
                <c:pt idx="3">
                  <c:v>323.25091392416567</c:v>
                </c:pt>
                <c:pt idx="4">
                  <c:v>26551.985654298158</c:v>
                </c:pt>
                <c:pt idx="5">
                  <c:v>8061.8582223384101</c:v>
                </c:pt>
                <c:pt idx="6">
                  <c:v>73256.838098499764</c:v>
                </c:pt>
                <c:pt idx="7">
                  <c:v>585.55891836527621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28453.508057479929</c:v>
                </c:pt>
                <c:pt idx="2">
                  <c:v>13321.887415496341</c:v>
                </c:pt>
                <c:pt idx="3">
                  <c:v>323.25091392416567</c:v>
                </c:pt>
                <c:pt idx="4">
                  <c:v>26551.985654298158</c:v>
                </c:pt>
                <c:pt idx="5">
                  <c:v>8061.8582223384101</c:v>
                </c:pt>
                <c:pt idx="6">
                  <c:v>73256.838098499764</c:v>
                </c:pt>
                <c:pt idx="7">
                  <c:v>585.55891836527621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0.18940113313655924</v>
      </c>
      <c r="C17" s="524">
        <f ca="1">'EF ele_warmte'!B22</f>
        <v>0.23652419832006455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0.18940113313655924</v>
      </c>
      <c r="C29" s="525">
        <f ca="1">'EF ele_warmte'!B22</f>
        <v>0.23652419832006455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8735</v>
      </c>
      <c r="C9" s="342">
        <v>9390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3514.96</v>
      </c>
    </row>
    <row r="15" spans="1:6">
      <c r="A15" s="348" t="s">
        <v>184</v>
      </c>
      <c r="B15" s="334">
        <v>63</v>
      </c>
    </row>
    <row r="16" spans="1:6">
      <c r="A16" s="348" t="s">
        <v>6</v>
      </c>
      <c r="B16" s="334">
        <v>2168</v>
      </c>
    </row>
    <row r="17" spans="1:6">
      <c r="A17" s="348" t="s">
        <v>7</v>
      </c>
      <c r="B17" s="334">
        <v>1553</v>
      </c>
    </row>
    <row r="18" spans="1:6">
      <c r="A18" s="348" t="s">
        <v>8</v>
      </c>
      <c r="B18" s="334">
        <v>2661</v>
      </c>
    </row>
    <row r="19" spans="1:6">
      <c r="A19" s="348" t="s">
        <v>9</v>
      </c>
      <c r="B19" s="334">
        <v>2849</v>
      </c>
    </row>
    <row r="20" spans="1:6">
      <c r="A20" s="348" t="s">
        <v>10</v>
      </c>
      <c r="B20" s="334">
        <v>1760</v>
      </c>
    </row>
    <row r="21" spans="1:6">
      <c r="A21" s="348" t="s">
        <v>11</v>
      </c>
      <c r="B21" s="334">
        <v>13421</v>
      </c>
    </row>
    <row r="22" spans="1:6">
      <c r="A22" s="348" t="s">
        <v>12</v>
      </c>
      <c r="B22" s="334">
        <v>10639</v>
      </c>
    </row>
    <row r="23" spans="1:6">
      <c r="A23" s="348" t="s">
        <v>13</v>
      </c>
      <c r="B23" s="334">
        <v>280</v>
      </c>
    </row>
    <row r="24" spans="1:6">
      <c r="A24" s="348" t="s">
        <v>14</v>
      </c>
      <c r="B24" s="334">
        <v>19</v>
      </c>
    </row>
    <row r="25" spans="1:6">
      <c r="A25" s="348" t="s">
        <v>15</v>
      </c>
      <c r="B25" s="334">
        <v>3491</v>
      </c>
    </row>
    <row r="26" spans="1:6">
      <c r="A26" s="348" t="s">
        <v>16</v>
      </c>
      <c r="B26" s="334">
        <v>597</v>
      </c>
    </row>
    <row r="27" spans="1:6">
      <c r="A27" s="348" t="s">
        <v>17</v>
      </c>
      <c r="B27" s="334">
        <v>910</v>
      </c>
    </row>
    <row r="28" spans="1:6" s="356" customFormat="1">
      <c r="A28" s="355" t="s">
        <v>18</v>
      </c>
      <c r="B28" s="355">
        <v>48520</v>
      </c>
    </row>
    <row r="29" spans="1:6">
      <c r="A29" s="355" t="s">
        <v>744</v>
      </c>
      <c r="B29" s="355">
        <v>169</v>
      </c>
      <c r="C29" s="356"/>
      <c r="D29" s="356"/>
      <c r="E29" s="356"/>
      <c r="F29" s="356"/>
    </row>
    <row r="30" spans="1:6">
      <c r="A30" s="341" t="s">
        <v>745</v>
      </c>
      <c r="B30" s="341">
        <v>65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231993.88008004799</v>
      </c>
      <c r="E38" s="334">
        <v>5</v>
      </c>
      <c r="F38" s="334">
        <v>155423.495406762</v>
      </c>
    </row>
    <row r="39" spans="1:6">
      <c r="A39" s="348" t="s">
        <v>30</v>
      </c>
      <c r="B39" s="348" t="s">
        <v>31</v>
      </c>
      <c r="C39" s="334">
        <v>5183</v>
      </c>
      <c r="D39" s="334">
        <v>84398377.285274193</v>
      </c>
      <c r="E39" s="334">
        <v>8222</v>
      </c>
      <c r="F39" s="334">
        <v>35089878.387079298</v>
      </c>
    </row>
    <row r="40" spans="1:6">
      <c r="A40" s="348" t="s">
        <v>30</v>
      </c>
      <c r="B40" s="348" t="s">
        <v>29</v>
      </c>
      <c r="C40" s="334">
        <v>0</v>
      </c>
      <c r="D40" s="334">
        <v>0</v>
      </c>
      <c r="E40" s="334">
        <v>0</v>
      </c>
      <c r="F40" s="334">
        <v>0</v>
      </c>
    </row>
    <row r="41" spans="1:6">
      <c r="A41" s="348" t="s">
        <v>32</v>
      </c>
      <c r="B41" s="348" t="s">
        <v>33</v>
      </c>
      <c r="C41" s="334">
        <v>98</v>
      </c>
      <c r="D41" s="334">
        <v>2179377.5813964</v>
      </c>
      <c r="E41" s="334">
        <v>226</v>
      </c>
      <c r="F41" s="334">
        <v>3187397.68689651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109562.779578405</v>
      </c>
      <c r="E44" s="334">
        <v>24</v>
      </c>
      <c r="F44" s="334">
        <v>326947.68890519399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99135.376407817006</v>
      </c>
      <c r="E47" s="334">
        <v>10</v>
      </c>
      <c r="F47" s="334">
        <v>85874.439583347194</v>
      </c>
    </row>
    <row r="48" spans="1:6">
      <c r="A48" s="348" t="s">
        <v>32</v>
      </c>
      <c r="B48" s="348" t="s">
        <v>29</v>
      </c>
      <c r="C48" s="334">
        <v>28</v>
      </c>
      <c r="D48" s="334">
        <v>21594089.2616289</v>
      </c>
      <c r="E48" s="334">
        <v>31</v>
      </c>
      <c r="F48" s="334">
        <v>967197.60079460498</v>
      </c>
    </row>
    <row r="49" spans="1:6">
      <c r="A49" s="348" t="s">
        <v>32</v>
      </c>
      <c r="B49" s="348" t="s">
        <v>40</v>
      </c>
      <c r="C49" s="334">
        <v>0</v>
      </c>
      <c r="D49" s="334">
        <v>0</v>
      </c>
      <c r="E49" s="334">
        <v>0</v>
      </c>
      <c r="F49" s="334">
        <v>0</v>
      </c>
    </row>
    <row r="50" spans="1:6">
      <c r="A50" s="348" t="s">
        <v>32</v>
      </c>
      <c r="B50" s="348" t="s">
        <v>41</v>
      </c>
      <c r="C50" s="334">
        <v>12</v>
      </c>
      <c r="D50" s="334">
        <v>6427163.7114713797</v>
      </c>
      <c r="E50" s="334">
        <v>20</v>
      </c>
      <c r="F50" s="334">
        <v>3319911.86322005</v>
      </c>
    </row>
    <row r="51" spans="1:6">
      <c r="A51" s="348" t="s">
        <v>42</v>
      </c>
      <c r="B51" s="348" t="s">
        <v>43</v>
      </c>
      <c r="C51" s="334">
        <v>98</v>
      </c>
      <c r="D51" s="334">
        <v>67061998.375952199</v>
      </c>
      <c r="E51" s="334">
        <v>392</v>
      </c>
      <c r="F51" s="334">
        <v>12018527.0671928</v>
      </c>
    </row>
    <row r="52" spans="1:6">
      <c r="A52" s="348" t="s">
        <v>42</v>
      </c>
      <c r="B52" s="348" t="s">
        <v>29</v>
      </c>
      <c r="C52" s="334">
        <v>9</v>
      </c>
      <c r="D52" s="334">
        <v>192560.67628752199</v>
      </c>
      <c r="E52" s="334">
        <v>7</v>
      </c>
      <c r="F52" s="334">
        <v>80539.434255330198</v>
      </c>
    </row>
    <row r="53" spans="1:6">
      <c r="A53" s="348" t="s">
        <v>44</v>
      </c>
      <c r="B53" s="348" t="s">
        <v>45</v>
      </c>
      <c r="C53" s="334">
        <v>121</v>
      </c>
      <c r="D53" s="334">
        <v>1982002.3378355</v>
      </c>
      <c r="E53" s="334">
        <v>323</v>
      </c>
      <c r="F53" s="334">
        <v>1396190.69947151</v>
      </c>
    </row>
    <row r="54" spans="1:6">
      <c r="A54" s="348" t="s">
        <v>46</v>
      </c>
      <c r="B54" s="348" t="s">
        <v>47</v>
      </c>
      <c r="C54" s="334">
        <v>0</v>
      </c>
      <c r="D54" s="334">
        <v>0</v>
      </c>
      <c r="E54" s="334">
        <v>4</v>
      </c>
      <c r="F54" s="334">
        <v>1706700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6348242.4899156196</v>
      </c>
      <c r="E57" s="334">
        <v>168</v>
      </c>
      <c r="F57" s="334">
        <v>2850074.90884561</v>
      </c>
    </row>
    <row r="58" spans="1:6">
      <c r="A58" s="348" t="s">
        <v>49</v>
      </c>
      <c r="B58" s="348" t="s">
        <v>51</v>
      </c>
      <c r="C58" s="334">
        <v>35</v>
      </c>
      <c r="D58" s="334">
        <v>1009339.77099259</v>
      </c>
      <c r="E58" s="334">
        <v>54</v>
      </c>
      <c r="F58" s="334">
        <v>1493178.69942144</v>
      </c>
    </row>
    <row r="59" spans="1:6">
      <c r="A59" s="348" t="s">
        <v>49</v>
      </c>
      <c r="B59" s="348" t="s">
        <v>52</v>
      </c>
      <c r="C59" s="334">
        <v>153</v>
      </c>
      <c r="D59" s="334">
        <v>9121966.9241017699</v>
      </c>
      <c r="E59" s="334">
        <v>305</v>
      </c>
      <c r="F59" s="334">
        <v>12596330.4142766</v>
      </c>
    </row>
    <row r="60" spans="1:6">
      <c r="A60" s="348" t="s">
        <v>49</v>
      </c>
      <c r="B60" s="348" t="s">
        <v>53</v>
      </c>
      <c r="C60" s="334">
        <v>76</v>
      </c>
      <c r="D60" s="334">
        <v>4851873.37508123</v>
      </c>
      <c r="E60" s="334">
        <v>103</v>
      </c>
      <c r="F60" s="334">
        <v>2983121.1916127698</v>
      </c>
    </row>
    <row r="61" spans="1:6">
      <c r="A61" s="348" t="s">
        <v>49</v>
      </c>
      <c r="B61" s="348" t="s">
        <v>54</v>
      </c>
      <c r="C61" s="334">
        <v>200</v>
      </c>
      <c r="D61" s="334">
        <v>6927495.3249549698</v>
      </c>
      <c r="E61" s="334">
        <v>367</v>
      </c>
      <c r="F61" s="334">
        <v>6936371.1034317901</v>
      </c>
    </row>
    <row r="62" spans="1:6">
      <c r="A62" s="348" t="s">
        <v>49</v>
      </c>
      <c r="B62" s="348" t="s">
        <v>55</v>
      </c>
      <c r="C62" s="334">
        <v>6</v>
      </c>
      <c r="D62" s="334">
        <v>430534.82688815298</v>
      </c>
      <c r="E62" s="334">
        <v>10</v>
      </c>
      <c r="F62" s="334">
        <v>105890.67048481799</v>
      </c>
    </row>
    <row r="63" spans="1:6">
      <c r="A63" s="348" t="s">
        <v>49</v>
      </c>
      <c r="B63" s="348" t="s">
        <v>29</v>
      </c>
      <c r="C63" s="334">
        <v>96</v>
      </c>
      <c r="D63" s="334">
        <v>6597143.1553956904</v>
      </c>
      <c r="E63" s="334">
        <v>84</v>
      </c>
      <c r="F63" s="334">
        <v>1624342.20487889</v>
      </c>
    </row>
    <row r="64" spans="1:6">
      <c r="A64" s="348" t="s">
        <v>56</v>
      </c>
      <c r="B64" s="348" t="s">
        <v>57</v>
      </c>
      <c r="C64" s="334">
        <v>0</v>
      </c>
      <c r="D64" s="334">
        <v>0</v>
      </c>
      <c r="E64" s="334">
        <v>0</v>
      </c>
      <c r="F64" s="334">
        <v>0</v>
      </c>
    </row>
    <row r="65" spans="1:6">
      <c r="A65" s="348" t="s">
        <v>56</v>
      </c>
      <c r="B65" s="348" t="s">
        <v>29</v>
      </c>
      <c r="C65" s="334">
        <v>4</v>
      </c>
      <c r="D65" s="334">
        <v>120405.49875904201</v>
      </c>
      <c r="E65" s="334">
        <v>5</v>
      </c>
      <c r="F65" s="334">
        <v>11833.0600494072</v>
      </c>
    </row>
    <row r="66" spans="1:6">
      <c r="A66" s="348" t="s">
        <v>56</v>
      </c>
      <c r="B66" s="348" t="s">
        <v>58</v>
      </c>
      <c r="C66" s="334">
        <v>0</v>
      </c>
      <c r="D66" s="334">
        <v>0</v>
      </c>
      <c r="E66" s="334">
        <v>11</v>
      </c>
      <c r="F66" s="334">
        <v>421357.76034010103</v>
      </c>
    </row>
    <row r="67" spans="1:6">
      <c r="A67" s="355" t="s">
        <v>56</v>
      </c>
      <c r="B67" s="355" t="s">
        <v>59</v>
      </c>
      <c r="C67" s="334">
        <v>0</v>
      </c>
      <c r="D67" s="334">
        <v>0</v>
      </c>
      <c r="E67" s="334">
        <v>0</v>
      </c>
      <c r="F67" s="334">
        <v>0</v>
      </c>
    </row>
    <row r="68" spans="1:6">
      <c r="A68" s="341" t="s">
        <v>56</v>
      </c>
      <c r="B68" s="341" t="s">
        <v>60</v>
      </c>
      <c r="C68" s="334">
        <v>9</v>
      </c>
      <c r="D68" s="334">
        <v>276434.712875403</v>
      </c>
      <c r="E68" s="334">
        <v>25</v>
      </c>
      <c r="F68" s="334">
        <v>219095.00728181301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66384647</v>
      </c>
      <c r="E73" s="475">
        <v>61549278.108402386</v>
      </c>
    </row>
    <row r="74" spans="1:6">
      <c r="A74" s="348" t="s">
        <v>64</v>
      </c>
      <c r="B74" s="348" t="s">
        <v>657</v>
      </c>
      <c r="C74" s="1295" t="s">
        <v>659</v>
      </c>
      <c r="D74" s="475">
        <v>8117632.5</v>
      </c>
      <c r="E74" s="475">
        <v>7335910.1746740835</v>
      </c>
    </row>
    <row r="75" spans="1:6">
      <c r="A75" s="348" t="s">
        <v>65</v>
      </c>
      <c r="B75" s="348" t="s">
        <v>656</v>
      </c>
      <c r="C75" s="1295" t="s">
        <v>660</v>
      </c>
      <c r="D75" s="475">
        <v>30794973</v>
      </c>
      <c r="E75" s="475">
        <v>29232857.155358408</v>
      </c>
    </row>
    <row r="76" spans="1:6">
      <c r="A76" s="348" t="s">
        <v>65</v>
      </c>
      <c r="B76" s="348" t="s">
        <v>657</v>
      </c>
      <c r="C76" s="1295" t="s">
        <v>661</v>
      </c>
      <c r="D76" s="475">
        <v>1490239.5</v>
      </c>
      <c r="E76" s="475">
        <v>1314107.016414911</v>
      </c>
    </row>
    <row r="77" spans="1:6">
      <c r="A77" s="348" t="s">
        <v>66</v>
      </c>
      <c r="B77" s="348" t="s">
        <v>656</v>
      </c>
      <c r="C77" s="1295" t="s">
        <v>662</v>
      </c>
      <c r="D77" s="475">
        <v>151970177</v>
      </c>
      <c r="E77" s="475">
        <v>156578407.94098526</v>
      </c>
    </row>
    <row r="78" spans="1:6">
      <c r="A78" s="341" t="s">
        <v>66</v>
      </c>
      <c r="B78" s="341" t="s">
        <v>657</v>
      </c>
      <c r="C78" s="341" t="s">
        <v>663</v>
      </c>
      <c r="D78" s="1296">
        <v>36558240</v>
      </c>
      <c r="E78" s="1296">
        <v>37213875.125712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628589</v>
      </c>
      <c r="C83" s="475">
        <v>626175.71583268361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7062.0373135439922</v>
      </c>
    </row>
    <row r="91" spans="1:6">
      <c r="A91" s="348" t="s">
        <v>68</v>
      </c>
      <c r="B91" s="334">
        <v>6294.2466738014409</v>
      </c>
    </row>
    <row r="92" spans="1:6">
      <c r="A92" s="341" t="s">
        <v>69</v>
      </c>
      <c r="B92" s="342">
        <v>632.20645819209813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81</v>
      </c>
      <c r="C123" s="334">
        <v>76</v>
      </c>
    </row>
    <row r="124" spans="1:6">
      <c r="A124" s="341" t="s">
        <v>89</v>
      </c>
      <c r="B124" s="334">
        <v>6</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248</v>
      </c>
    </row>
    <row r="130" spans="1:6">
      <c r="A130" s="348" t="s">
        <v>295</v>
      </c>
      <c r="B130" s="334">
        <v>1</v>
      </c>
    </row>
    <row r="131" spans="1:6">
      <c r="A131" s="348" t="s">
        <v>296</v>
      </c>
      <c r="B131" s="334">
        <v>1</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93295.737089842369</v>
      </c>
      <c r="C3" s="43" t="s">
        <v>170</v>
      </c>
      <c r="D3" s="43"/>
      <c r="E3" s="154"/>
      <c r="F3" s="43"/>
      <c r="G3" s="43"/>
      <c r="H3" s="43"/>
      <c r="I3" s="43"/>
      <c r="J3" s="43"/>
      <c r="K3" s="96"/>
    </row>
    <row r="4" spans="1:11">
      <c r="A4" s="383" t="s">
        <v>171</v>
      </c>
      <c r="B4" s="49">
        <f>IF(ISERROR('SEAP template'!B78+'SEAP template'!C78),0,'SEAP template'!B78+'SEAP template'!C78)</f>
        <v>23226.76544553753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2185.0755882352946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0.18940113313655924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3121.5365546218491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13197.535714285714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0.23652419832006455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1706.7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1706.7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0.18940113313655924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323.25091392416567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35089.878387079298</v>
      </c>
      <c r="C5" s="17">
        <f>IF(ISERROR('Eigen informatie GS &amp; warmtenet'!B57),0,'Eigen informatie GS &amp; warmtenet'!B57)</f>
        <v>0</v>
      </c>
      <c r="D5" s="30">
        <f>(SUM(HH_hh_gas_kWh,HH_rest_gas_kWh)/1000)*0.902</f>
        <v>76127.336311317325</v>
      </c>
      <c r="E5" s="17">
        <f>B46*B57</f>
        <v>4821.2763248925667</v>
      </c>
      <c r="F5" s="17">
        <f>B51*B62</f>
        <v>15517.439012911351</v>
      </c>
      <c r="G5" s="18"/>
      <c r="H5" s="17"/>
      <c r="I5" s="17"/>
      <c r="J5" s="17">
        <f>B50*B61+C50*C61</f>
        <v>0</v>
      </c>
      <c r="K5" s="17"/>
      <c r="L5" s="17"/>
      <c r="M5" s="17"/>
      <c r="N5" s="17">
        <f>B48*B59+C48*C59</f>
        <v>19418.038527075001</v>
      </c>
      <c r="O5" s="17">
        <f>B69*B70*B71</f>
        <v>509.6466666666667</v>
      </c>
      <c r="P5" s="17">
        <f>B77*B78*B79/1000-B77*B78*B79/1000/B80</f>
        <v>2421.4666666666667</v>
      </c>
    </row>
    <row r="6" spans="1:16">
      <c r="A6" s="16" t="s">
        <v>621</v>
      </c>
      <c r="B6" s="788">
        <f>kWh_PV_kleiner_dan_10kW</f>
        <v>6294.2466738014409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41384.125060880739</v>
      </c>
      <c r="C8" s="21">
        <f>C5</f>
        <v>0</v>
      </c>
      <c r="D8" s="21">
        <f>D5</f>
        <v>76127.336311317325</v>
      </c>
      <c r="E8" s="21">
        <f>E5</f>
        <v>4821.2763248925667</v>
      </c>
      <c r="F8" s="21">
        <f>F5</f>
        <v>15517.439012911351</v>
      </c>
      <c r="G8" s="21"/>
      <c r="H8" s="21"/>
      <c r="I8" s="21"/>
      <c r="J8" s="21">
        <f>J5</f>
        <v>0</v>
      </c>
      <c r="K8" s="21"/>
      <c r="L8" s="21">
        <f>L5</f>
        <v>0</v>
      </c>
      <c r="M8" s="21">
        <f>M5</f>
        <v>0</v>
      </c>
      <c r="N8" s="21">
        <f>N5</f>
        <v>19418.038527075001</v>
      </c>
      <c r="O8" s="21">
        <f>O5</f>
        <v>509.6466666666667</v>
      </c>
      <c r="P8" s="21">
        <f>P5</f>
        <v>2421.4666666666667</v>
      </c>
    </row>
    <row r="9" spans="1:16">
      <c r="B9" s="19"/>
      <c r="C9" s="19"/>
      <c r="D9" s="258"/>
      <c r="E9" s="19"/>
      <c r="F9" s="19"/>
      <c r="G9" s="19"/>
      <c r="H9" s="19"/>
      <c r="I9" s="19"/>
      <c r="J9" s="19"/>
      <c r="K9" s="19"/>
      <c r="L9" s="19"/>
      <c r="M9" s="19"/>
      <c r="N9" s="19"/>
      <c r="O9" s="19"/>
      <c r="P9" s="19"/>
    </row>
    <row r="10" spans="1:16">
      <c r="A10" s="24" t="s">
        <v>214</v>
      </c>
      <c r="B10" s="25">
        <f ca="1">'EF ele_warmte'!B12</f>
        <v>0.18940113313655924</v>
      </c>
      <c r="C10" s="25">
        <f ca="1">'EF ele_warmte'!B22</f>
        <v>0.23652419832006455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7838.2001803958901</v>
      </c>
      <c r="C12" s="23">
        <f ca="1">C10*C8</f>
        <v>0</v>
      </c>
      <c r="D12" s="23">
        <f>D8*D10</f>
        <v>15377.7219348861</v>
      </c>
      <c r="E12" s="23">
        <f>E10*E8</f>
        <v>1094.4297257506128</v>
      </c>
      <c r="F12" s="23">
        <f>F10*F8</f>
        <v>4143.1562164473307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793</v>
      </c>
      <c r="B28" s="37">
        <f>aantalHuishoudens2011</f>
        <v>8735</v>
      </c>
      <c r="C28" s="36"/>
      <c r="D28" s="228"/>
    </row>
    <row r="29" spans="1:7" s="15" customFormat="1">
      <c r="A29" s="230" t="s">
        <v>794</v>
      </c>
      <c r="B29" s="37">
        <f>SUM(HH_hh_gas_aantal,HH_rest_gas_aantal)</f>
        <v>5183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5183</v>
      </c>
      <c r="C32" s="167">
        <f>IF(ISERROR(B32/SUM($B$32,$B$34,$B$35,$B$36,$B$38,$B$39)*100),0,B32/SUM($B$32,$B$34,$B$35,$B$36,$B$38,$B$39)*100)</f>
        <v>60.211431226765797</v>
      </c>
      <c r="D32" s="233"/>
      <c r="G32" s="15"/>
    </row>
    <row r="33" spans="1:7">
      <c r="A33" s="171" t="s">
        <v>72</v>
      </c>
      <c r="B33" s="34" t="s">
        <v>111</v>
      </c>
      <c r="C33" s="167"/>
      <c r="D33" s="233"/>
      <c r="G33" s="15"/>
    </row>
    <row r="34" spans="1:7">
      <c r="A34" s="171" t="s">
        <v>73</v>
      </c>
      <c r="B34" s="33">
        <f>IF((($B$28-$B$32-$B$39-$B$77-$B$38)*C20/100)&lt;0,0,($B$28-$B$32-$B$39-$B$77-$B$38)*C20/100)</f>
        <v>227.70402930402929</v>
      </c>
      <c r="C34" s="167">
        <f>IF(ISERROR(B34/SUM($B$32,$B$34,$B$35,$B$36,$B$38,$B$39)*100),0,B34/SUM($B$32,$B$34,$B$35,$B$36,$B$38,$B$39)*100)</f>
        <v>2.6452605634761768</v>
      </c>
      <c r="D34" s="233"/>
      <c r="G34" s="15"/>
    </row>
    <row r="35" spans="1:7">
      <c r="A35" s="171" t="s">
        <v>74</v>
      </c>
      <c r="B35" s="33">
        <f>IF((($B$28-$B$32-$B$39-$B$77-$B$38)*C21/100)&lt;0,0,($B$28-$B$32-$B$39-$B$77-$B$38)*C21/100)</f>
        <v>2328.7912087912082</v>
      </c>
      <c r="C35" s="167">
        <f>IF(ISERROR(B35/SUM($B$32,$B$34,$B$35,$B$36,$B$38,$B$39)*100),0,B35/SUM($B$32,$B$34,$B$35,$B$36,$B$38,$B$39)*100)</f>
        <v>27.053801217369983</v>
      </c>
      <c r="D35" s="233"/>
      <c r="G35" s="15"/>
    </row>
    <row r="36" spans="1:7">
      <c r="A36" s="171" t="s">
        <v>75</v>
      </c>
      <c r="B36" s="33">
        <f>IF((($B$28-$B$32-$B$39-$B$77-$B$38)*C22/100)&lt;0,0,($B$28-$B$32-$B$39-$B$77-$B$38)*C22/100)</f>
        <v>269.10476190476192</v>
      </c>
      <c r="C36" s="167">
        <f>IF(ISERROR(B36/SUM($B$32,$B$34,$B$35,$B$36,$B$38,$B$39)*100),0,B36/SUM($B$32,$B$34,$B$35,$B$36,$B$38,$B$39)*100)</f>
        <v>3.1262170295627549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599.40000000000009</v>
      </c>
      <c r="C39" s="167">
        <f>IF(ISERROR(B39/SUM($B$32,$B$34,$B$35,$B$36,$B$38,$B$39)*100),0,B39/SUM($B$32,$B$34,$B$35,$B$36,$B$38,$B$39)*100)</f>
        <v>6.9632899628252796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5183</v>
      </c>
      <c r="C44" s="34" t="s">
        <v>111</v>
      </c>
      <c r="D44" s="174"/>
    </row>
    <row r="45" spans="1:7">
      <c r="A45" s="171" t="s">
        <v>72</v>
      </c>
      <c r="B45" s="33" t="str">
        <f t="shared" si="0"/>
        <v>-</v>
      </c>
      <c r="C45" s="34" t="s">
        <v>111</v>
      </c>
      <c r="D45" s="174"/>
    </row>
    <row r="46" spans="1:7">
      <c r="A46" s="171" t="s">
        <v>73</v>
      </c>
      <c r="B46" s="33">
        <f t="shared" si="0"/>
        <v>227.70402930402929</v>
      </c>
      <c r="C46" s="34" t="s">
        <v>111</v>
      </c>
      <c r="D46" s="174"/>
    </row>
    <row r="47" spans="1:7">
      <c r="A47" s="171" t="s">
        <v>74</v>
      </c>
      <c r="B47" s="33">
        <f t="shared" si="0"/>
        <v>2328.7912087912082</v>
      </c>
      <c r="C47" s="34" t="s">
        <v>111</v>
      </c>
      <c r="D47" s="174"/>
    </row>
    <row r="48" spans="1:7">
      <c r="A48" s="171" t="s">
        <v>75</v>
      </c>
      <c r="B48" s="33">
        <f t="shared" si="0"/>
        <v>269.10476190476192</v>
      </c>
      <c r="C48" s="33">
        <f>B48*10</f>
        <v>2691.0476190476193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599.40000000000009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28589.309192951921</v>
      </c>
      <c r="C5" s="17">
        <f>IF(ISERROR('Eigen informatie GS &amp; warmtenet'!B58),0,'Eigen informatie GS &amp; warmtenet'!B58)</f>
        <v>0</v>
      </c>
      <c r="D5" s="30">
        <f>SUM(D6:D12)</f>
        <v>31828.50947233168</v>
      </c>
      <c r="E5" s="17">
        <f>SUM(E6:E12)</f>
        <v>524.88807194618096</v>
      </c>
      <c r="F5" s="17">
        <f>SUM(F6:F12)</f>
        <v>5113.2502336889447</v>
      </c>
      <c r="G5" s="18"/>
      <c r="H5" s="17"/>
      <c r="I5" s="17"/>
      <c r="J5" s="17">
        <f>SUM(J6:J12)</f>
        <v>6.5797339927731679E-2</v>
      </c>
      <c r="K5" s="17"/>
      <c r="L5" s="17"/>
      <c r="M5" s="17"/>
      <c r="N5" s="17">
        <f>SUM(N6:N12)</f>
        <v>2625.8346158467757</v>
      </c>
      <c r="O5" s="17">
        <f>B38*B39*B40</f>
        <v>1.5633333333333335</v>
      </c>
      <c r="P5" s="17">
        <f>B46*B47*B48/1000-B46*B47*B48/1000/B49</f>
        <v>19.066666666666666</v>
      </c>
      <c r="R5" s="32"/>
    </row>
    <row r="6" spans="1:18">
      <c r="A6" s="32" t="s">
        <v>54</v>
      </c>
      <c r="B6" s="37">
        <f>B26</f>
        <v>6936.3711034317903</v>
      </c>
      <c r="C6" s="33"/>
      <c r="D6" s="37">
        <f>IF(ISERROR(TER_kantoor_gas_kWh/1000),0,TER_kantoor_gas_kWh/1000)*0.902</f>
        <v>6248.600783109383</v>
      </c>
      <c r="E6" s="33">
        <f>$C$26*'E Balans VL '!I12/100/3.6*1000000</f>
        <v>4.3474867075423876E-2</v>
      </c>
      <c r="F6" s="33">
        <f>$C$26*('E Balans VL '!L12+'E Balans VL '!N12)/100/3.6*1000000</f>
        <v>1042.3427561517592</v>
      </c>
      <c r="G6" s="34"/>
      <c r="H6" s="33"/>
      <c r="I6" s="33"/>
      <c r="J6" s="33">
        <f>$C$26*('E Balans VL '!D12+'E Balans VL '!E12)/100/3.6*1000000</f>
        <v>0</v>
      </c>
      <c r="K6" s="33"/>
      <c r="L6" s="33"/>
      <c r="M6" s="33"/>
      <c r="N6" s="33">
        <f>$C$26*'E Balans VL '!Y12/100/3.6*1000000</f>
        <v>6.6336105305522439</v>
      </c>
      <c r="O6" s="33"/>
      <c r="P6" s="33"/>
      <c r="R6" s="32"/>
    </row>
    <row r="7" spans="1:18">
      <c r="A7" s="32" t="s">
        <v>53</v>
      </c>
      <c r="B7" s="37">
        <f t="shared" ref="B7:B12" si="0">B27</f>
        <v>2983.12119161277</v>
      </c>
      <c r="C7" s="33"/>
      <c r="D7" s="37">
        <f>IF(ISERROR(TER_horeca_gas_kWh/1000),0,TER_horeca_gas_kWh/1000)*0.902</f>
        <v>4376.3897843232699</v>
      </c>
      <c r="E7" s="33">
        <f>$C$27*'E Balans VL '!I9/100/3.6*1000000</f>
        <v>42.717798570760309</v>
      </c>
      <c r="F7" s="33">
        <f>$C$27*('E Balans VL '!L9+'E Balans VL '!N9)/100/3.6*1000000</f>
        <v>377.76152998552533</v>
      </c>
      <c r="G7" s="34"/>
      <c r="H7" s="33"/>
      <c r="I7" s="33"/>
      <c r="J7" s="33">
        <f>$C$27*('E Balans VL '!D9+'E Balans VL '!E9)/100/3.6*1000000</f>
        <v>0</v>
      </c>
      <c r="K7" s="33"/>
      <c r="L7" s="33"/>
      <c r="M7" s="33"/>
      <c r="N7" s="33">
        <f>$C$27*'E Balans VL '!Y9/100/3.6*1000000</f>
        <v>0.85758157041225802</v>
      </c>
      <c r="O7" s="33"/>
      <c r="P7" s="33"/>
      <c r="R7" s="32"/>
    </row>
    <row r="8" spans="1:18">
      <c r="A8" s="6" t="s">
        <v>52</v>
      </c>
      <c r="B8" s="37">
        <f t="shared" si="0"/>
        <v>12596.330414276599</v>
      </c>
      <c r="C8" s="33"/>
      <c r="D8" s="37">
        <f>IF(ISERROR(TER_handel_gas_kWh/1000),0,TER_handel_gas_kWh/1000)*0.902</f>
        <v>8228.0141655397965</v>
      </c>
      <c r="E8" s="33">
        <f>$C$28*'E Balans VL '!I13/100/3.6*1000000</f>
        <v>456.86735081593622</v>
      </c>
      <c r="F8" s="33">
        <f>$C$28*('E Balans VL '!L13+'E Balans VL '!N13)/100/3.6*1000000</f>
        <v>2426.1807837442361</v>
      </c>
      <c r="G8" s="34"/>
      <c r="H8" s="33"/>
      <c r="I8" s="33"/>
      <c r="J8" s="33">
        <f>$C$28*('E Balans VL '!D13+'E Balans VL '!E13)/100/3.6*1000000</f>
        <v>0</v>
      </c>
      <c r="K8" s="33"/>
      <c r="L8" s="33"/>
      <c r="M8" s="33"/>
      <c r="N8" s="33">
        <f>$C$28*'E Balans VL '!Y13/100/3.6*1000000</f>
        <v>17.448815910141715</v>
      </c>
      <c r="O8" s="33"/>
      <c r="P8" s="33"/>
      <c r="R8" s="32"/>
    </row>
    <row r="9" spans="1:18">
      <c r="A9" s="32" t="s">
        <v>51</v>
      </c>
      <c r="B9" s="37">
        <f t="shared" si="0"/>
        <v>1493.1786994214401</v>
      </c>
      <c r="C9" s="33"/>
      <c r="D9" s="37">
        <f>IF(ISERROR(TER_gezond_gas_kWh/1000),0,TER_gezond_gas_kWh/1000)*0.902</f>
        <v>910.42447343531626</v>
      </c>
      <c r="E9" s="33">
        <f>$C$29*'E Balans VL '!I10/100/3.6*1000000</f>
        <v>9.348772906005659E-2</v>
      </c>
      <c r="F9" s="33">
        <f>$C$29*('E Balans VL '!L10+'E Balans VL '!N10)/100/3.6*1000000</f>
        <v>221.81624209522832</v>
      </c>
      <c r="G9" s="34"/>
      <c r="H9" s="33"/>
      <c r="I9" s="33"/>
      <c r="J9" s="33">
        <f>$C$29*('E Balans VL '!D10+'E Balans VL '!E10)/100/3.6*1000000</f>
        <v>0</v>
      </c>
      <c r="K9" s="33"/>
      <c r="L9" s="33"/>
      <c r="M9" s="33"/>
      <c r="N9" s="33">
        <f>$C$29*'E Balans VL '!Y10/100/3.6*1000000</f>
        <v>23.096632202079391</v>
      </c>
      <c r="O9" s="33"/>
      <c r="P9" s="33"/>
      <c r="R9" s="32"/>
    </row>
    <row r="10" spans="1:18">
      <c r="A10" s="32" t="s">
        <v>50</v>
      </c>
      <c r="B10" s="37">
        <f t="shared" si="0"/>
        <v>2850.07490884561</v>
      </c>
      <c r="C10" s="33"/>
      <c r="D10" s="37">
        <f>IF(ISERROR(TER_ander_gas_kWh/1000),0,TER_ander_gas_kWh/1000)*0.902</f>
        <v>5726.1147259038889</v>
      </c>
      <c r="E10" s="33">
        <f>$C$30*'E Balans VL '!I14/100/3.6*1000000</f>
        <v>3.3971874468754164</v>
      </c>
      <c r="F10" s="33">
        <f>$C$30*('E Balans VL '!L14+'E Balans VL '!N14)/100/3.6*1000000</f>
        <v>745.70630053269895</v>
      </c>
      <c r="G10" s="34"/>
      <c r="H10" s="33"/>
      <c r="I10" s="33"/>
      <c r="J10" s="33">
        <f>$C$30*('E Balans VL '!D14+'E Balans VL '!E14)/100/3.6*1000000</f>
        <v>6.1863954285875933E-2</v>
      </c>
      <c r="K10" s="33"/>
      <c r="L10" s="33"/>
      <c r="M10" s="33"/>
      <c r="N10" s="33">
        <f>$C$30*'E Balans VL '!Y14/100/3.6*1000000</f>
        <v>2420.2138722403383</v>
      </c>
      <c r="O10" s="33"/>
      <c r="P10" s="33"/>
      <c r="R10" s="32"/>
    </row>
    <row r="11" spans="1:18">
      <c r="A11" s="32" t="s">
        <v>55</v>
      </c>
      <c r="B11" s="37">
        <f t="shared" si="0"/>
        <v>105.89067048481799</v>
      </c>
      <c r="C11" s="33"/>
      <c r="D11" s="37">
        <f>IF(ISERROR(TER_onderwijs_gas_kWh/1000),0,TER_onderwijs_gas_kWh/1000)*0.902</f>
        <v>388.34241385311401</v>
      </c>
      <c r="E11" s="33">
        <f>$C$31*'E Balans VL '!I11/100/3.6*1000000</f>
        <v>1.5977196644732417</v>
      </c>
      <c r="F11" s="33">
        <f>$C$31*('E Balans VL '!L11+'E Balans VL '!N11)/100/3.6*1000000</f>
        <v>18.553737122727242</v>
      </c>
      <c r="G11" s="34"/>
      <c r="H11" s="33"/>
      <c r="I11" s="33"/>
      <c r="J11" s="33">
        <f>$C$31*('E Balans VL '!D11+'E Balans VL '!E11)/100/3.6*1000000</f>
        <v>0</v>
      </c>
      <c r="K11" s="33"/>
      <c r="L11" s="33"/>
      <c r="M11" s="33"/>
      <c r="N11" s="33">
        <f>$C$31*'E Balans VL '!Y11/100/3.6*1000000</f>
        <v>0.29798439685961153</v>
      </c>
      <c r="O11" s="33"/>
      <c r="P11" s="33"/>
      <c r="R11" s="32"/>
    </row>
    <row r="12" spans="1:18">
      <c r="A12" s="32" t="s">
        <v>260</v>
      </c>
      <c r="B12" s="37">
        <f t="shared" si="0"/>
        <v>1624.34220487889</v>
      </c>
      <c r="C12" s="33"/>
      <c r="D12" s="37">
        <f>IF(ISERROR(TER_rest_gas_kWh/1000),0,TER_rest_gas_kWh/1000)*0.902</f>
        <v>5950.6231261669127</v>
      </c>
      <c r="E12" s="33">
        <f>$C$32*'E Balans VL '!I8/100/3.6*1000000</f>
        <v>20.171052852000361</v>
      </c>
      <c r="F12" s="33">
        <f>$C$32*('E Balans VL '!L8+'E Balans VL '!N8)/100/3.6*1000000</f>
        <v>280.88888405676903</v>
      </c>
      <c r="G12" s="34"/>
      <c r="H12" s="33"/>
      <c r="I12" s="33"/>
      <c r="J12" s="33">
        <f>$C$32*('E Balans VL '!D8+'E Balans VL '!E8)/100/3.6*1000000</f>
        <v>3.9333856418557415E-3</v>
      </c>
      <c r="K12" s="33"/>
      <c r="L12" s="33"/>
      <c r="M12" s="33"/>
      <c r="N12" s="33">
        <f>$C$32*'E Balans VL '!Y8/100/3.6*1000000</f>
        <v>157.28611899639193</v>
      </c>
      <c r="O12" s="33"/>
      <c r="P12" s="33"/>
      <c r="R12" s="32"/>
    </row>
    <row r="13" spans="1:18">
      <c r="A13" s="16" t="s">
        <v>488</v>
      </c>
      <c r="B13" s="247">
        <f ca="1">'lokale energieproductie'!N91+'lokale energieproductie'!N60</f>
        <v>135</v>
      </c>
      <c r="C13" s="247">
        <f ca="1">'lokale energieproductie'!O91+'lokale energieproductie'!O60</f>
        <v>192.85714285714286</v>
      </c>
      <c r="D13" s="310">
        <f ca="1">('lokale energieproductie'!P60+'lokale energieproductie'!P91)*(-1)</f>
        <v>-385.71428571428572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28724.309192951921</v>
      </c>
      <c r="C16" s="21">
        <f t="shared" ca="1" si="1"/>
        <v>192.85714285714286</v>
      </c>
      <c r="D16" s="21">
        <f t="shared" ca="1" si="1"/>
        <v>31442.795186617393</v>
      </c>
      <c r="E16" s="21">
        <f t="shared" si="1"/>
        <v>524.88807194618096</v>
      </c>
      <c r="F16" s="21">
        <f t="shared" ca="1" si="1"/>
        <v>5113.2502336889447</v>
      </c>
      <c r="G16" s="21">
        <f t="shared" si="1"/>
        <v>0</v>
      </c>
      <c r="H16" s="21">
        <f t="shared" si="1"/>
        <v>0</v>
      </c>
      <c r="I16" s="21">
        <f t="shared" si="1"/>
        <v>0</v>
      </c>
      <c r="J16" s="21">
        <f t="shared" si="1"/>
        <v>6.5797339927731679E-2</v>
      </c>
      <c r="K16" s="21">
        <f t="shared" si="1"/>
        <v>0</v>
      </c>
      <c r="L16" s="21">
        <f t="shared" ca="1" si="1"/>
        <v>0</v>
      </c>
      <c r="M16" s="21">
        <f t="shared" si="1"/>
        <v>0</v>
      </c>
      <c r="N16" s="21">
        <f t="shared" ca="1" si="1"/>
        <v>2625.8346158467757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0.18940113313655924</v>
      </c>
      <c r="C18" s="25">
        <f ca="1">'EF ele_warmte'!B22</f>
        <v>0.23652419832006455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5440.4167097099789</v>
      </c>
      <c r="C20" s="23">
        <f t="shared" ref="C20:P20" ca="1" si="2">C16*C18</f>
        <v>45.615381104583875</v>
      </c>
      <c r="D20" s="23">
        <f t="shared" ca="1" si="2"/>
        <v>6351.4446276967137</v>
      </c>
      <c r="E20" s="23">
        <f t="shared" si="2"/>
        <v>119.14959233178308</v>
      </c>
      <c r="F20" s="23">
        <f t="shared" ca="1" si="2"/>
        <v>1365.2378123949484</v>
      </c>
      <c r="G20" s="23">
        <f t="shared" si="2"/>
        <v>0</v>
      </c>
      <c r="H20" s="23">
        <f t="shared" si="2"/>
        <v>0</v>
      </c>
      <c r="I20" s="23">
        <f t="shared" si="2"/>
        <v>0</v>
      </c>
      <c r="J20" s="23">
        <f t="shared" si="2"/>
        <v>2.3292258334417015E-2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6936.3711034317903</v>
      </c>
      <c r="C26" s="39">
        <f>IF(ISERROR(B26*3.6/1000000/'E Balans VL '!Z12*100),0,B26*3.6/1000000/'E Balans VL '!Z12*100)</f>
        <v>0.1466238970271557</v>
      </c>
      <c r="D26" s="237" t="s">
        <v>754</v>
      </c>
      <c r="F26" s="6"/>
    </row>
    <row r="27" spans="1:18">
      <c r="A27" s="231" t="s">
        <v>53</v>
      </c>
      <c r="B27" s="33">
        <f>IF(ISERROR(TER_horeca_ele_kWh/1000),0,TER_horeca_ele_kWh/1000)</f>
        <v>2983.12119161277</v>
      </c>
      <c r="C27" s="39">
        <f>IF(ISERROR(B27*3.6/1000000/'E Balans VL '!Z9*100),0,B27*3.6/1000000/'E Balans VL '!Z9*100)</f>
        <v>0.23515833166880379</v>
      </c>
      <c r="D27" s="237" t="s">
        <v>754</v>
      </c>
      <c r="F27" s="6"/>
    </row>
    <row r="28" spans="1:18">
      <c r="A28" s="171" t="s">
        <v>52</v>
      </c>
      <c r="B28" s="33">
        <f>IF(ISERROR(TER_handel_ele_kWh/1000),0,TER_handel_ele_kWh/1000)</f>
        <v>12596.330414276599</v>
      </c>
      <c r="C28" s="39">
        <f>IF(ISERROR(B28*3.6/1000000/'E Balans VL '!Z13*100),0,B28*3.6/1000000/'E Balans VL '!Z13*100)</f>
        <v>0.36559640350026235</v>
      </c>
      <c r="D28" s="237" t="s">
        <v>754</v>
      </c>
      <c r="F28" s="6"/>
    </row>
    <row r="29" spans="1:18">
      <c r="A29" s="231" t="s">
        <v>51</v>
      </c>
      <c r="B29" s="33">
        <f>IF(ISERROR(TER_gezond_ele_kWh/1000),0,TER_gezond_ele_kWh/1000)</f>
        <v>1493.1786994214401</v>
      </c>
      <c r="C29" s="39">
        <f>IF(ISERROR(B29*3.6/1000000/'E Balans VL '!Z10*100),0,B29*3.6/1000000/'E Balans VL '!Z10*100)</f>
        <v>0.1572562356905195</v>
      </c>
      <c r="D29" s="237" t="s">
        <v>754</v>
      </c>
      <c r="F29" s="6"/>
    </row>
    <row r="30" spans="1:18">
      <c r="A30" s="231" t="s">
        <v>50</v>
      </c>
      <c r="B30" s="33">
        <f>IF(ISERROR(TER_ander_ele_kWh/1000),0,TER_ander_ele_kWh/1000)</f>
        <v>2850.07490884561</v>
      </c>
      <c r="C30" s="39">
        <f>IF(ISERROR(B30*3.6/1000000/'E Balans VL '!Z14*100),0,B30*3.6/1000000/'E Balans VL '!Z14*100)</f>
        <v>0.21022214430964312</v>
      </c>
      <c r="D30" s="237" t="s">
        <v>754</v>
      </c>
      <c r="F30" s="6"/>
    </row>
    <row r="31" spans="1:18">
      <c r="A31" s="231" t="s">
        <v>55</v>
      </c>
      <c r="B31" s="33">
        <f>IF(ISERROR(TER_onderwijs_ele_kWh/1000),0,TER_onderwijs_ele_kWh/1000)</f>
        <v>105.89067048481799</v>
      </c>
      <c r="C31" s="39">
        <f>IF(ISERROR(B31*3.6/1000000/'E Balans VL '!Z11*100),0,B31*3.6/1000000/'E Balans VL '!Z11*100)</f>
        <v>2.6297613692502865E-2</v>
      </c>
      <c r="D31" s="237" t="s">
        <v>754</v>
      </c>
    </row>
    <row r="32" spans="1:18">
      <c r="A32" s="231" t="s">
        <v>260</v>
      </c>
      <c r="B32" s="33">
        <f>IF(ISERROR(TER_rest_ele_kWh/1000),0,TER_rest_ele_kWh/1000)</f>
        <v>1624.34220487889</v>
      </c>
      <c r="C32" s="39">
        <f>IF(ISERROR(B32*3.6/1000000/'E Balans VL '!Z8*100),0,B32*3.6/1000000/'E Balans VL '!Z8*100)</f>
        <v>1.3366180251049046E-2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7887.3292793997061</v>
      </c>
      <c r="C5" s="17">
        <f>IF(ISERROR('Eigen informatie GS &amp; warmtenet'!B59),0,'Eigen informatie GS &amp; warmtenet'!B59)</f>
        <v>0</v>
      </c>
      <c r="D5" s="30">
        <f>SUM(D6:D15)</f>
        <v>27429.214496855573</v>
      </c>
      <c r="E5" s="17">
        <f>SUM(E6:E15)</f>
        <v>995.29425055315085</v>
      </c>
      <c r="F5" s="17">
        <f>SUM(F6:F15)</f>
        <v>2996.7249147182411</v>
      </c>
      <c r="G5" s="18"/>
      <c r="H5" s="17"/>
      <c r="I5" s="17"/>
      <c r="J5" s="17">
        <f>SUM(J6:J15)</f>
        <v>3.4758303072950674</v>
      </c>
      <c r="K5" s="17"/>
      <c r="L5" s="17"/>
      <c r="M5" s="17"/>
      <c r="N5" s="17">
        <f>SUM(N6:N15)</f>
        <v>1753.511029680762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326.94768890519401</v>
      </c>
      <c r="C8" s="33"/>
      <c r="D8" s="37">
        <f>IF( ISERROR(IND_metaal_Gas_kWH/1000),0,IND_metaal_Gas_kWH/1000)*0.902</f>
        <v>98.825627179721309</v>
      </c>
      <c r="E8" s="33">
        <f>C30*'E Balans VL '!I18/100/3.6*1000000</f>
        <v>3.0059682304023405</v>
      </c>
      <c r="F8" s="33">
        <f>C30*'E Balans VL '!L18/100/3.6*1000000+C30*'E Balans VL '!N18/100/3.6*1000000</f>
        <v>30.656808028894662</v>
      </c>
      <c r="G8" s="34"/>
      <c r="H8" s="33"/>
      <c r="I8" s="33"/>
      <c r="J8" s="40">
        <f>C30*'E Balans VL '!D18/100/3.6*1000000+C30*'E Balans VL '!E18/100/3.6*1000000</f>
        <v>0</v>
      </c>
      <c r="K8" s="33"/>
      <c r="L8" s="33"/>
      <c r="M8" s="33"/>
      <c r="N8" s="33">
        <f>C30*'E Balans VL '!Y18/100/3.6*1000000</f>
        <v>4.6644490860412677</v>
      </c>
      <c r="O8" s="33"/>
      <c r="P8" s="33"/>
      <c r="R8" s="32"/>
    </row>
    <row r="9" spans="1:18">
      <c r="A9" s="6" t="s">
        <v>33</v>
      </c>
      <c r="B9" s="37">
        <f t="shared" si="0"/>
        <v>3187.3976868965101</v>
      </c>
      <c r="C9" s="33"/>
      <c r="D9" s="37">
        <f>IF( ISERROR(IND_andere_gas_kWh/1000),0,IND_andere_gas_kWh/1000)*0.902</f>
        <v>1965.7985784195528</v>
      </c>
      <c r="E9" s="33">
        <f>C31*'E Balans VL '!I19/100/3.6*1000000</f>
        <v>931.73839519390333</v>
      </c>
      <c r="F9" s="33">
        <f>C31*'E Balans VL '!L19/100/3.6*1000000+C31*'E Balans VL '!N19/100/3.6*1000000</f>
        <v>2561.3153052574935</v>
      </c>
      <c r="G9" s="34"/>
      <c r="H9" s="33"/>
      <c r="I9" s="33"/>
      <c r="J9" s="40">
        <f>C31*'E Balans VL '!D19/100/3.6*1000000+C31*'E Balans VL '!E19/100/3.6*1000000</f>
        <v>0</v>
      </c>
      <c r="K9" s="33"/>
      <c r="L9" s="33"/>
      <c r="M9" s="33"/>
      <c r="N9" s="33">
        <f>C31*'E Balans VL '!Y19/100/3.6*1000000</f>
        <v>1053.1656287839255</v>
      </c>
      <c r="O9" s="33"/>
      <c r="P9" s="33"/>
      <c r="R9" s="32"/>
    </row>
    <row r="10" spans="1:18">
      <c r="A10" s="6" t="s">
        <v>41</v>
      </c>
      <c r="B10" s="37">
        <f t="shared" si="0"/>
        <v>3319.9118632200498</v>
      </c>
      <c r="C10" s="33"/>
      <c r="D10" s="37">
        <f>IF( ISERROR(IND_voed_gas_kWh/1000),0,IND_voed_gas_kWh/1000)*0.902</f>
        <v>5797.3016677471842</v>
      </c>
      <c r="E10" s="33">
        <f>C32*'E Balans VL '!I20/100/3.6*1000000</f>
        <v>7.0233250224851274</v>
      </c>
      <c r="F10" s="33">
        <f>C32*'E Balans VL '!L20/100/3.6*1000000+C32*'E Balans VL '!N20/100/3.6*1000000</f>
        <v>211.08338745405388</v>
      </c>
      <c r="G10" s="34"/>
      <c r="H10" s="33"/>
      <c r="I10" s="33"/>
      <c r="J10" s="40">
        <f>C32*'E Balans VL '!D20/100/3.6*1000000+C32*'E Balans VL '!E20/100/3.6*1000000</f>
        <v>0</v>
      </c>
      <c r="K10" s="33"/>
      <c r="L10" s="33"/>
      <c r="M10" s="33"/>
      <c r="N10" s="33">
        <f>C32*'E Balans VL '!Y20/100/3.6*1000000</f>
        <v>229.10668025296792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85.874439583347197</v>
      </c>
      <c r="C13" s="33"/>
      <c r="D13" s="37">
        <f>IF( ISERROR(IND_papier_gas_kWh/1000),0,IND_papier_gas_kWh/1000)*0.902</f>
        <v>89.420109519850939</v>
      </c>
      <c r="E13" s="33">
        <f>C35*'E Balans VL '!I23/100/3.6*1000000</f>
        <v>0.12183619043689671</v>
      </c>
      <c r="F13" s="33">
        <f>C35*'E Balans VL '!L23/100/3.6*1000000+C35*'E Balans VL '!N23/100/3.6*1000000</f>
        <v>2.0965179789416872</v>
      </c>
      <c r="G13" s="34"/>
      <c r="H13" s="33"/>
      <c r="I13" s="33"/>
      <c r="J13" s="40">
        <f>C35*'E Balans VL '!D23/100/3.6*1000000+C35*'E Balans VL '!E23/100/3.6*1000000</f>
        <v>1.3281288319933566E-2</v>
      </c>
      <c r="K13" s="33"/>
      <c r="L13" s="33"/>
      <c r="M13" s="33"/>
      <c r="N13" s="33">
        <f>C35*'E Balans VL '!Y23/100/3.6*1000000</f>
        <v>249.61666799268909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967.19760079460502</v>
      </c>
      <c r="C15" s="33"/>
      <c r="D15" s="37">
        <f>IF( ISERROR(IND_rest_gas_kWh/1000),0,IND_rest_gas_kWh/1000)*0.902</f>
        <v>19477.868513989266</v>
      </c>
      <c r="E15" s="33">
        <f>C37*'E Balans VL '!I15/100/3.6*1000000</f>
        <v>53.404725915923208</v>
      </c>
      <c r="F15" s="33">
        <f>C37*'E Balans VL '!L15/100/3.6*1000000+C37*'E Balans VL '!N15/100/3.6*1000000</f>
        <v>191.57289599885689</v>
      </c>
      <c r="G15" s="34"/>
      <c r="H15" s="33"/>
      <c r="I15" s="33"/>
      <c r="J15" s="40">
        <f>C37*'E Balans VL '!D15/100/3.6*1000000+C37*'E Balans VL '!E15/100/3.6*1000000</f>
        <v>3.462549018975134</v>
      </c>
      <c r="K15" s="33"/>
      <c r="L15" s="33"/>
      <c r="M15" s="33"/>
      <c r="N15" s="33">
        <f>C37*'E Balans VL '!Y15/100/3.6*1000000</f>
        <v>216.95760356513813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7887.3292793997061</v>
      </c>
      <c r="C18" s="21">
        <f>C5+C16</f>
        <v>0</v>
      </c>
      <c r="D18" s="21">
        <f>MAX((D5+D16),0)</f>
        <v>27429.214496855573</v>
      </c>
      <c r="E18" s="21">
        <f>MAX((E5+E16),0)</f>
        <v>995.29425055315085</v>
      </c>
      <c r="F18" s="21">
        <f>MAX((F5+F16),0)</f>
        <v>2996.7249147182411</v>
      </c>
      <c r="G18" s="21"/>
      <c r="H18" s="21"/>
      <c r="I18" s="21"/>
      <c r="J18" s="21">
        <f>MAX((J5+J16),0)</f>
        <v>3.4758303072950674</v>
      </c>
      <c r="K18" s="21"/>
      <c r="L18" s="21">
        <f>MAX((L5+L16),0)</f>
        <v>0</v>
      </c>
      <c r="M18" s="21"/>
      <c r="N18" s="21">
        <f>MAX((N5+N16),0)</f>
        <v>1753.511029680762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0.18940113313655924</v>
      </c>
      <c r="C20" s="25">
        <f ca="1">'EF ele_warmte'!B22</f>
        <v>0.23652419832006455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1493.8691029394656</v>
      </c>
      <c r="C22" s="23">
        <f ca="1">C18*C20</f>
        <v>0</v>
      </c>
      <c r="D22" s="23">
        <f>D18*D20</f>
        <v>5540.7013283648257</v>
      </c>
      <c r="E22" s="23">
        <f>E18*E20</f>
        <v>225.93179487556526</v>
      </c>
      <c r="F22" s="23">
        <f>F18*F20</f>
        <v>800.12555222977039</v>
      </c>
      <c r="G22" s="23"/>
      <c r="H22" s="23"/>
      <c r="I22" s="23"/>
      <c r="J22" s="23">
        <f>J18*J20</f>
        <v>1.2304439287824538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326.94768890519401</v>
      </c>
      <c r="C30" s="39">
        <f>IF(ISERROR(B30*3.6/1000000/'E Balans VL '!Z18*100),0,B30*3.6/1000000/'E Balans VL '!Z18*100)</f>
        <v>1.8528963878963758E-2</v>
      </c>
      <c r="D30" s="237" t="s">
        <v>754</v>
      </c>
    </row>
    <row r="31" spans="1:18">
      <c r="A31" s="6" t="s">
        <v>33</v>
      </c>
      <c r="B31" s="37">
        <f>IF( ISERROR(IND_ander_ele_kWh/1000),0,IND_ander_ele_kWh/1000)</f>
        <v>3187.3976868965101</v>
      </c>
      <c r="C31" s="39">
        <f>IF(ISERROR(B31*3.6/1000000/'E Balans VL '!Z19*100),0,B31*3.6/1000000/'E Balans VL '!Z19*100)</f>
        <v>0.14456708698465415</v>
      </c>
      <c r="D31" s="237" t="s">
        <v>754</v>
      </c>
    </row>
    <row r="32" spans="1:18">
      <c r="A32" s="171" t="s">
        <v>41</v>
      </c>
      <c r="B32" s="37">
        <f>IF( ISERROR(IND_voed_ele_kWh/1000),0,IND_voed_ele_kWh/1000)</f>
        <v>3319.9118632200498</v>
      </c>
      <c r="C32" s="39">
        <f>IF(ISERROR(B32*3.6/1000000/'E Balans VL '!Z20*100),0,B32*3.6/1000000/'E Balans VL '!Z20*100)</f>
        <v>0.10269994505671708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85.874439583347197</v>
      </c>
      <c r="C35" s="39">
        <f>IF(ISERROR(B35*3.6/1000000/'E Balans VL '!Z22*100),0,B35*3.6/1000000/'E Balans VL '!Z22*100)</f>
        <v>1.5446132429385877E-2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967.19760079460502</v>
      </c>
      <c r="C37" s="39">
        <f>IF(ISERROR(B37*3.6/1000000/'E Balans VL '!Z15*100),0,B37*3.6/1000000/'E Balans VL '!Z15*100)</f>
        <v>7.6662288179195261E-3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12099.066501448131</v>
      </c>
      <c r="C5" s="17">
        <f>'Eigen informatie GS &amp; warmtenet'!B60</f>
        <v>0</v>
      </c>
      <c r="D5" s="30">
        <f>IF(ISERROR(SUM(LB_lb_gas_kWh,LB_rest_gas_kWh)/1000),0,SUM(LB_lb_gas_kWh,LB_rest_gas_kWh)/1000)*0.902</f>
        <v>60663.612265120224</v>
      </c>
      <c r="E5" s="17">
        <f>B17*'E Balans VL '!I25/3.6*1000000/100</f>
        <v>355.628519292036</v>
      </c>
      <c r="F5" s="17">
        <f>B17*('E Balans VL '!L25/3.6*1000000+'E Balans VL '!N25/3.6*1000000)/100</f>
        <v>50404.057245795571</v>
      </c>
      <c r="G5" s="18"/>
      <c r="H5" s="17"/>
      <c r="I5" s="17"/>
      <c r="J5" s="17">
        <f>('E Balans VL '!D25+'E Balans VL '!E25)/3.6*1000000*landbouw!B17/100</f>
        <v>1752.8949056324657</v>
      </c>
      <c r="K5" s="17"/>
      <c r="L5" s="17">
        <f>L6*(-1)</f>
        <v>0</v>
      </c>
      <c r="M5" s="17"/>
      <c r="N5" s="17">
        <f>N6*(-1)</f>
        <v>124.71428571428569</v>
      </c>
      <c r="O5" s="17"/>
      <c r="P5" s="17"/>
      <c r="R5" s="32"/>
    </row>
    <row r="6" spans="1:18">
      <c r="A6" s="16" t="s">
        <v>488</v>
      </c>
      <c r="B6" s="17" t="s">
        <v>211</v>
      </c>
      <c r="C6" s="17">
        <f>'lokale energieproductie'!O92+'lokale energieproductie'!O61</f>
        <v>13004.678571428571</v>
      </c>
      <c r="D6" s="310">
        <f>('lokale energieproductie'!P61+'lokale energieproductie'!P92)*(-1)</f>
        <v>-25884.642857142859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12099.066501448131</v>
      </c>
      <c r="C8" s="21">
        <f>C5+C6</f>
        <v>13004.678571428571</v>
      </c>
      <c r="D8" s="21">
        <f>MAX((D5+D6),0)</f>
        <v>34778.969407977362</v>
      </c>
      <c r="E8" s="21">
        <f>MAX((E5+E6),0)</f>
        <v>355.628519292036</v>
      </c>
      <c r="F8" s="21">
        <f>MAX((F5+F6),0)</f>
        <v>50404.057245795571</v>
      </c>
      <c r="G8" s="21"/>
      <c r="H8" s="21"/>
      <c r="I8" s="21"/>
      <c r="J8" s="21">
        <f>MAX((J5+J6),0)</f>
        <v>1752.8949056324657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0.18940113313655924</v>
      </c>
      <c r="C10" s="31">
        <f ca="1">'EF ele_warmte'!B22</f>
        <v>0.23652419832006455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2291.5769052688615</v>
      </c>
      <c r="C12" s="23">
        <f ca="1">C8*C10</f>
        <v>3075.9211735172648</v>
      </c>
      <c r="D12" s="23">
        <f>D8*D10</f>
        <v>7025.3518204114271</v>
      </c>
      <c r="E12" s="23">
        <f>E8*E10</f>
        <v>80.727673879292169</v>
      </c>
      <c r="F12" s="23">
        <f>F8*F10</f>
        <v>13457.883284627418</v>
      </c>
      <c r="G12" s="23"/>
      <c r="H12" s="23"/>
      <c r="I12" s="23"/>
      <c r="J12" s="23">
        <f>J8*J10</f>
        <v>620.5247965938928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1.7168954962189862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830.34139749924429</v>
      </c>
      <c r="C26" s="247">
        <f>B26*'GWP N2O_CH4'!B5</f>
        <v>17437.16934748413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228.60751214665518</v>
      </c>
      <c r="C27" s="247">
        <f>B27*'GWP N2O_CH4'!B5</f>
        <v>4800.7577550797587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10.900726362866376</v>
      </c>
      <c r="C28" s="247">
        <f>B28*'GWP N2O_CH4'!B4</f>
        <v>3379.2251724885764</v>
      </c>
      <c r="D28" s="50"/>
    </row>
    <row r="29" spans="1:4">
      <c r="A29" s="41" t="s">
        <v>277</v>
      </c>
      <c r="B29" s="247">
        <f>B34*'ha_N2O bodem landbouw'!B4</f>
        <v>22.869174703727268</v>
      </c>
      <c r="C29" s="247">
        <f>B29*'GWP N2O_CH4'!B4</f>
        <v>7089.4441581554529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5.2186668567084761E-3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3.528588804852915E-4</v>
      </c>
      <c r="C5" s="463" t="s">
        <v>211</v>
      </c>
      <c r="D5" s="448">
        <f>SUM(D6:D11)</f>
        <v>1.1898733465994585E-3</v>
      </c>
      <c r="E5" s="448">
        <f>SUM(E6:E11)</f>
        <v>1.8284295603799357E-3</v>
      </c>
      <c r="F5" s="461" t="s">
        <v>211</v>
      </c>
      <c r="G5" s="448">
        <f>SUM(G6:G11)</f>
        <v>0.8564000805205999</v>
      </c>
      <c r="H5" s="448">
        <f>SUM(H6:H11)</f>
        <v>0.13792592713886903</v>
      </c>
      <c r="I5" s="463" t="s">
        <v>211</v>
      </c>
      <c r="J5" s="463" t="s">
        <v>211</v>
      </c>
      <c r="K5" s="463" t="s">
        <v>211</v>
      </c>
      <c r="L5" s="463" t="s">
        <v>211</v>
      </c>
      <c r="M5" s="448">
        <f>SUM(M6:M11)</f>
        <v>5.4104883308957977E-2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9.4017384336184167E-5</v>
      </c>
      <c r="C6" s="449"/>
      <c r="D6" s="892">
        <f>vkm_2011_GW_PW*SUMIFS(TableVerdeelsleutelVkm[CNG],TableVerdeelsleutelVkm[Voertuigtype],"Lichte voertuigen")*SUMIFS(TableECFTransport[EnergieConsumptieFactor (PJ per km)],TableECFTransport[Index],CONCATENATE($A6,"_CNG_CNG"))</f>
        <v>2.8199819193829576E-4</v>
      </c>
      <c r="E6" s="892">
        <f>vkm_2011_GW_PW*SUMIFS(TableVerdeelsleutelVkm[LPG],TableVerdeelsleutelVkm[Voertuigtype],"Lichte voertuigen")*SUMIFS(TableECFTransport[EnergieConsumptieFactor (PJ per km)],TableECFTransport[Index],CONCATENATE($A6,"_LPG_LPG"))</f>
        <v>3.8525003723170542E-4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9.9607999491926377E-2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3.207404951068836E-2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6.7657270515844165E-3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7.6176261854971838E-2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2.3216976703889325E-5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4.4514837386850029E-3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4.3613439899189562E-5</v>
      </c>
      <c r="C8" s="449"/>
      <c r="D8" s="451">
        <f>vkm_2011_NGW_PW*SUMIFS(TableVerdeelsleutelVkm[CNG],TableVerdeelsleutelVkm[Voertuigtype],"Lichte voertuigen")*SUMIFS(TableECFTransport[EnergieConsumptieFactor (PJ per km)],TableECFTransport[Index],CONCATENATE($A8,"_CNG_CNG"))</f>
        <v>2.3259104725493424E-4</v>
      </c>
      <c r="E8" s="451">
        <f>vkm_2011_NGW_PW*SUMIFS(TableVerdeelsleutelVkm[LPG],TableVerdeelsleutelVkm[Voertuigtype],"Lichte voertuigen")*SUMIFS(TableECFTransport[EnergieConsumptieFactor (PJ per km)],TableECFTransport[Index],CONCATENATE($A8,"_LPG_LPG"))</f>
        <v>2.9427513146730968E-4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7.0904156629224932E-2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2.5708033458922055E-2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4.9008948621654565E-3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1.7931512154848752E-2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5.1449762618074749E-6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1.0478476305753853E-3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2.1522805624991776E-4</v>
      </c>
      <c r="C10" s="449"/>
      <c r="D10" s="451">
        <f>vkm_2011_SW_PW*SUMIFS(TableVerdeelsleutelVkm[CNG],TableVerdeelsleutelVkm[Voertuigtype],"Lichte voertuigen")*SUMIFS(TableECFTransport[EnergieConsumptieFactor (PJ per km)],TableECFTransport[Index],CONCATENATE($A10,"_CNG_CNG"))</f>
        <v>6.752841074062285E-4</v>
      </c>
      <c r="E10" s="451">
        <f>vkm_2011_SW_PW*SUMIFS(TableVerdeelsleutelVkm[LPG],TableVerdeelsleutelVkm[Voertuigtype],"Lichte voertuigen")*SUMIFS(TableECFTransport[EnergieConsumptieFactor (PJ per km)],TableECFTransport[Index],CONCATENATE($A10,"_LPG_LPG"))</f>
        <v>1.1489043916809206E-3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0.2648250653523605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8.0007871968402741E-2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1.783254317007478E-2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0.32695508503726745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1.0761024789019013E-4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1.9106386855872931E-2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98.016355690358751</v>
      </c>
      <c r="C14" s="21"/>
      <c r="D14" s="21">
        <f t="shared" ref="D14:M14" si="0">((D5)*10^9/3600)+D12</f>
        <v>330.52037405540511</v>
      </c>
      <c r="E14" s="21">
        <f t="shared" si="0"/>
        <v>507.89710010553767</v>
      </c>
      <c r="F14" s="21"/>
      <c r="G14" s="21">
        <f t="shared" si="0"/>
        <v>237888.91125572223</v>
      </c>
      <c r="H14" s="21">
        <f t="shared" si="0"/>
        <v>38312.757538574726</v>
      </c>
      <c r="I14" s="21"/>
      <c r="J14" s="21"/>
      <c r="K14" s="21"/>
      <c r="L14" s="21"/>
      <c r="M14" s="21">
        <f t="shared" si="0"/>
        <v>15029.134252488328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0.18940113313655924</v>
      </c>
      <c r="C16" s="56">
        <f ca="1">'EF ele_warmte'!B22</f>
        <v>0.23652419832006455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18.564408833669983</v>
      </c>
      <c r="C18" s="23"/>
      <c r="D18" s="23">
        <f t="shared" ref="D18:M18" si="1">D14*D16</f>
        <v>66.765115559191841</v>
      </c>
      <c r="E18" s="23">
        <f t="shared" si="1"/>
        <v>115.29264172395706</v>
      </c>
      <c r="F18" s="23"/>
      <c r="G18" s="23">
        <f t="shared" si="1"/>
        <v>63516.339305277841</v>
      </c>
      <c r="H18" s="23">
        <f t="shared" si="1"/>
        <v>9539.8766271051063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7.8951764273969827E-3</v>
      </c>
      <c r="H50" s="321">
        <f t="shared" si="2"/>
        <v>0</v>
      </c>
      <c r="I50" s="321">
        <f t="shared" si="2"/>
        <v>0</v>
      </c>
      <c r="J50" s="321">
        <f t="shared" si="2"/>
        <v>0</v>
      </c>
      <c r="K50" s="321">
        <f t="shared" si="2"/>
        <v>0</v>
      </c>
      <c r="L50" s="321">
        <f t="shared" si="2"/>
        <v>0</v>
      </c>
      <c r="M50" s="321">
        <f t="shared" si="2"/>
        <v>4.4841116721674025E-4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7.8951764273969827E-3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4.4841116721674025E-4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2193.1045631658285</v>
      </c>
      <c r="H54" s="21">
        <f t="shared" si="3"/>
        <v>0</v>
      </c>
      <c r="I54" s="21">
        <f t="shared" si="3"/>
        <v>0</v>
      </c>
      <c r="J54" s="21">
        <f t="shared" si="3"/>
        <v>0</v>
      </c>
      <c r="K54" s="21">
        <f t="shared" si="3"/>
        <v>0</v>
      </c>
      <c r="L54" s="21">
        <f t="shared" si="3"/>
        <v>0</v>
      </c>
      <c r="M54" s="21">
        <f t="shared" si="3"/>
        <v>124.55865756020563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0.18940113313655924</v>
      </c>
      <c r="C56" s="56">
        <f ca="1">'EF ele_warmte'!B22</f>
        <v>0.23652419832006455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585.55891836527621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30431.009192951922</v>
      </c>
      <c r="D10" s="1013">
        <f ca="1">tertiair!C16</f>
        <v>192.85714285714286</v>
      </c>
      <c r="E10" s="1013">
        <f ca="1">tertiair!D16</f>
        <v>31442.795186617393</v>
      </c>
      <c r="F10" s="1013">
        <f>tertiair!E16</f>
        <v>524.88807194618096</v>
      </c>
      <c r="G10" s="1013">
        <f ca="1">tertiair!F16</f>
        <v>5113.2502336889447</v>
      </c>
      <c r="H10" s="1013">
        <f>tertiair!G16</f>
        <v>0</v>
      </c>
      <c r="I10" s="1013">
        <f>tertiair!H16</f>
        <v>0</v>
      </c>
      <c r="J10" s="1013">
        <f>tertiair!I16</f>
        <v>0</v>
      </c>
      <c r="K10" s="1013">
        <f>tertiair!J16</f>
        <v>6.5797339927731679E-2</v>
      </c>
      <c r="L10" s="1013">
        <f>tertiair!K16</f>
        <v>0</v>
      </c>
      <c r="M10" s="1013">
        <f ca="1">tertiair!L16</f>
        <v>0</v>
      </c>
      <c r="N10" s="1013">
        <f>tertiair!M16</f>
        <v>0</v>
      </c>
      <c r="O10" s="1013">
        <f ca="1">tertiair!N16</f>
        <v>2625.8346158467757</v>
      </c>
      <c r="P10" s="1013">
        <f>tertiair!O16</f>
        <v>1.5633333333333335</v>
      </c>
      <c r="Q10" s="1014">
        <f>tertiair!P16</f>
        <v>19.066666666666666</v>
      </c>
      <c r="R10" s="700">
        <f ca="1">SUM(C10:Q10)</f>
        <v>70351.330241248274</v>
      </c>
      <c r="S10" s="67"/>
    </row>
    <row r="11" spans="1:19" s="473" customFormat="1">
      <c r="A11" s="809" t="s">
        <v>225</v>
      </c>
      <c r="B11" s="814"/>
      <c r="C11" s="1013">
        <f>huishoudens!B8</f>
        <v>41384.125060880739</v>
      </c>
      <c r="D11" s="1013">
        <f>huishoudens!C8</f>
        <v>0</v>
      </c>
      <c r="E11" s="1013">
        <f>huishoudens!D8</f>
        <v>76127.336311317325</v>
      </c>
      <c r="F11" s="1013">
        <f>huishoudens!E8</f>
        <v>4821.2763248925667</v>
      </c>
      <c r="G11" s="1013">
        <f>huishoudens!F8</f>
        <v>15517.439012911351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19418.038527075001</v>
      </c>
      <c r="P11" s="1013">
        <f>huishoudens!O8</f>
        <v>509.6466666666667</v>
      </c>
      <c r="Q11" s="1014">
        <f>huishoudens!P8</f>
        <v>2421.4666666666667</v>
      </c>
      <c r="R11" s="700">
        <f>SUM(C11:Q11)</f>
        <v>160199.32857041032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7887.3292793997061</v>
      </c>
      <c r="D13" s="1013">
        <f>industrie!C18</f>
        <v>0</v>
      </c>
      <c r="E13" s="1013">
        <f>industrie!D18</f>
        <v>27429.214496855573</v>
      </c>
      <c r="F13" s="1013">
        <f>industrie!E18</f>
        <v>995.29425055315085</v>
      </c>
      <c r="G13" s="1013">
        <f>industrie!F18</f>
        <v>2996.7249147182411</v>
      </c>
      <c r="H13" s="1013">
        <f>industrie!G18</f>
        <v>0</v>
      </c>
      <c r="I13" s="1013">
        <f>industrie!H18</f>
        <v>0</v>
      </c>
      <c r="J13" s="1013">
        <f>industrie!I18</f>
        <v>0</v>
      </c>
      <c r="K13" s="1013">
        <f>industrie!J18</f>
        <v>3.4758303072950674</v>
      </c>
      <c r="L13" s="1013">
        <f>industrie!K18</f>
        <v>0</v>
      </c>
      <c r="M13" s="1013">
        <f>industrie!L18</f>
        <v>0</v>
      </c>
      <c r="N13" s="1013">
        <f>industrie!M18</f>
        <v>0</v>
      </c>
      <c r="O13" s="1013">
        <f>industrie!N18</f>
        <v>1753.511029680762</v>
      </c>
      <c r="P13" s="1013">
        <f>industrie!O18</f>
        <v>0</v>
      </c>
      <c r="Q13" s="1014">
        <f>industrie!P18</f>
        <v>0</v>
      </c>
      <c r="R13" s="700">
        <f>SUM(C13:Q13)</f>
        <v>41065.549801514731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79702.463533232367</v>
      </c>
      <c r="D16" s="732">
        <f t="shared" ref="D16:R16" ca="1" si="0">SUM(D9:D15)</f>
        <v>192.85714285714286</v>
      </c>
      <c r="E16" s="732">
        <f t="shared" ca="1" si="0"/>
        <v>134999.34599479029</v>
      </c>
      <c r="F16" s="732">
        <f t="shared" si="0"/>
        <v>6341.4586473918989</v>
      </c>
      <c r="G16" s="732">
        <f t="shared" ca="1" si="0"/>
        <v>23627.414161318538</v>
      </c>
      <c r="H16" s="732">
        <f t="shared" si="0"/>
        <v>0</v>
      </c>
      <c r="I16" s="732">
        <f t="shared" si="0"/>
        <v>0</v>
      </c>
      <c r="J16" s="732">
        <f t="shared" si="0"/>
        <v>0</v>
      </c>
      <c r="K16" s="732">
        <f t="shared" si="0"/>
        <v>3.541627647222799</v>
      </c>
      <c r="L16" s="732">
        <f t="shared" si="0"/>
        <v>0</v>
      </c>
      <c r="M16" s="732">
        <f t="shared" ca="1" si="0"/>
        <v>0</v>
      </c>
      <c r="N16" s="732">
        <f t="shared" si="0"/>
        <v>0</v>
      </c>
      <c r="O16" s="732">
        <f t="shared" ca="1" si="0"/>
        <v>23797.384172602538</v>
      </c>
      <c r="P16" s="732">
        <f t="shared" si="0"/>
        <v>511.21000000000004</v>
      </c>
      <c r="Q16" s="732">
        <f t="shared" si="0"/>
        <v>2440.5333333333333</v>
      </c>
      <c r="R16" s="732">
        <f t="shared" ca="1" si="0"/>
        <v>271616.20861317334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2193.1045631658285</v>
      </c>
      <c r="I19" s="1013">
        <f>transport!H54</f>
        <v>0</v>
      </c>
      <c r="J19" s="1013">
        <f>transport!I54</f>
        <v>0</v>
      </c>
      <c r="K19" s="1013">
        <f>transport!J54</f>
        <v>0</v>
      </c>
      <c r="L19" s="1013">
        <f>transport!K54</f>
        <v>0</v>
      </c>
      <c r="M19" s="1013">
        <f>transport!L54</f>
        <v>0</v>
      </c>
      <c r="N19" s="1013">
        <f>transport!M54</f>
        <v>124.55865756020563</v>
      </c>
      <c r="O19" s="1013">
        <f>transport!N54</f>
        <v>0</v>
      </c>
      <c r="P19" s="1013">
        <f>transport!O54</f>
        <v>0</v>
      </c>
      <c r="Q19" s="1014">
        <f>transport!P54</f>
        <v>0</v>
      </c>
      <c r="R19" s="700">
        <f>SUM(C19:Q19)</f>
        <v>2317.6632207260341</v>
      </c>
      <c r="S19" s="67"/>
    </row>
    <row r="20" spans="1:19" s="473" customFormat="1">
      <c r="A20" s="809" t="s">
        <v>307</v>
      </c>
      <c r="B20" s="814"/>
      <c r="C20" s="1013">
        <f>transport!B14</f>
        <v>98.016355690358751</v>
      </c>
      <c r="D20" s="1013">
        <f>transport!C14</f>
        <v>0</v>
      </c>
      <c r="E20" s="1013">
        <f>transport!D14</f>
        <v>330.52037405540511</v>
      </c>
      <c r="F20" s="1013">
        <f>transport!E14</f>
        <v>507.89710010553767</v>
      </c>
      <c r="G20" s="1013">
        <f>transport!F14</f>
        <v>0</v>
      </c>
      <c r="H20" s="1013">
        <f>transport!G14</f>
        <v>237888.91125572223</v>
      </c>
      <c r="I20" s="1013">
        <f>transport!H14</f>
        <v>38312.757538574726</v>
      </c>
      <c r="J20" s="1013">
        <f>transport!I14</f>
        <v>0</v>
      </c>
      <c r="K20" s="1013">
        <f>transport!J14</f>
        <v>0</v>
      </c>
      <c r="L20" s="1013">
        <f>transport!K14</f>
        <v>0</v>
      </c>
      <c r="M20" s="1013">
        <f>transport!L14</f>
        <v>0</v>
      </c>
      <c r="N20" s="1013">
        <f>transport!M14</f>
        <v>15029.134252488328</v>
      </c>
      <c r="O20" s="1013">
        <f>transport!N14</f>
        <v>0</v>
      </c>
      <c r="P20" s="1013">
        <f>transport!O14</f>
        <v>0</v>
      </c>
      <c r="Q20" s="1014">
        <f>transport!P14</f>
        <v>0</v>
      </c>
      <c r="R20" s="700">
        <f>SUM(C20:Q20)</f>
        <v>292167.23687663657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98.016355690358751</v>
      </c>
      <c r="D22" s="812">
        <f t="shared" ref="D22:R22" si="1">SUM(D18:D21)</f>
        <v>0</v>
      </c>
      <c r="E22" s="812">
        <f t="shared" si="1"/>
        <v>330.52037405540511</v>
      </c>
      <c r="F22" s="812">
        <f t="shared" si="1"/>
        <v>507.89710010553767</v>
      </c>
      <c r="G22" s="812">
        <f t="shared" si="1"/>
        <v>0</v>
      </c>
      <c r="H22" s="812">
        <f t="shared" si="1"/>
        <v>240082.01581888806</v>
      </c>
      <c r="I22" s="812">
        <f t="shared" si="1"/>
        <v>38312.757538574726</v>
      </c>
      <c r="J22" s="812">
        <f t="shared" si="1"/>
        <v>0</v>
      </c>
      <c r="K22" s="812">
        <f t="shared" si="1"/>
        <v>0</v>
      </c>
      <c r="L22" s="812">
        <f t="shared" si="1"/>
        <v>0</v>
      </c>
      <c r="M22" s="812">
        <f t="shared" si="1"/>
        <v>0</v>
      </c>
      <c r="N22" s="812">
        <f t="shared" si="1"/>
        <v>15153.692910048534</v>
      </c>
      <c r="O22" s="812">
        <f t="shared" si="1"/>
        <v>0</v>
      </c>
      <c r="P22" s="812">
        <f t="shared" si="1"/>
        <v>0</v>
      </c>
      <c r="Q22" s="812">
        <f t="shared" si="1"/>
        <v>0</v>
      </c>
      <c r="R22" s="812">
        <f t="shared" si="1"/>
        <v>294484.90009736258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12099.066501448131</v>
      </c>
      <c r="D24" s="1013">
        <f>+landbouw!C8</f>
        <v>13004.678571428571</v>
      </c>
      <c r="E24" s="1013">
        <f>+landbouw!D8</f>
        <v>34778.969407977362</v>
      </c>
      <c r="F24" s="1013">
        <f>+landbouw!E8</f>
        <v>355.628519292036</v>
      </c>
      <c r="G24" s="1013">
        <f>+landbouw!F8</f>
        <v>50404.057245795571</v>
      </c>
      <c r="H24" s="1013">
        <f>+landbouw!G8</f>
        <v>0</v>
      </c>
      <c r="I24" s="1013">
        <f>+landbouw!H8</f>
        <v>0</v>
      </c>
      <c r="J24" s="1013">
        <f>+landbouw!I8</f>
        <v>0</v>
      </c>
      <c r="K24" s="1013">
        <f>+landbouw!J8</f>
        <v>1752.8949056324657</v>
      </c>
      <c r="L24" s="1013">
        <f>+landbouw!K8</f>
        <v>0</v>
      </c>
      <c r="M24" s="1013">
        <f>+landbouw!L8</f>
        <v>0</v>
      </c>
      <c r="N24" s="1013">
        <f>+landbouw!M8</f>
        <v>0</v>
      </c>
      <c r="O24" s="1013">
        <f>+landbouw!N8</f>
        <v>0</v>
      </c>
      <c r="P24" s="1013">
        <f>+landbouw!O8</f>
        <v>0</v>
      </c>
      <c r="Q24" s="1014">
        <f>+landbouw!P8</f>
        <v>0</v>
      </c>
      <c r="R24" s="700">
        <f>SUM(C24:Q24)</f>
        <v>112395.29515157413</v>
      </c>
      <c r="S24" s="67"/>
    </row>
    <row r="25" spans="1:19" s="473" customFormat="1" ht="15" thickBot="1">
      <c r="A25" s="831" t="s">
        <v>836</v>
      </c>
      <c r="B25" s="1016"/>
      <c r="C25" s="1017">
        <f>IF(Onbekend_ele_kWh="---",0,Onbekend_ele_kWh)/1000+IF(REST_rest_ele_kWh="---",0,REST_rest_ele_kWh)/1000</f>
        <v>1396.19069947151</v>
      </c>
      <c r="D25" s="1017"/>
      <c r="E25" s="1017">
        <f>IF(onbekend_gas_kWh="---",0,onbekend_gas_kWh)/1000+IF(REST_rest_gas_kWh="---",0,REST_rest_gas_kWh)/1000</f>
        <v>1982.0023378354999</v>
      </c>
      <c r="F25" s="1017"/>
      <c r="G25" s="1017"/>
      <c r="H25" s="1017"/>
      <c r="I25" s="1017"/>
      <c r="J25" s="1017"/>
      <c r="K25" s="1017"/>
      <c r="L25" s="1017"/>
      <c r="M25" s="1017"/>
      <c r="N25" s="1017"/>
      <c r="O25" s="1017"/>
      <c r="P25" s="1017"/>
      <c r="Q25" s="1018"/>
      <c r="R25" s="700">
        <f>SUM(C25:Q25)</f>
        <v>3378.1930373070099</v>
      </c>
      <c r="S25" s="67"/>
    </row>
    <row r="26" spans="1:19" s="473" customFormat="1" ht="15.75" thickBot="1">
      <c r="A26" s="705" t="s">
        <v>837</v>
      </c>
      <c r="B26" s="817"/>
      <c r="C26" s="812">
        <f>SUM(C24:C25)</f>
        <v>13495.257200919641</v>
      </c>
      <c r="D26" s="812">
        <f t="shared" ref="D26:R26" si="2">SUM(D24:D25)</f>
        <v>13004.678571428571</v>
      </c>
      <c r="E26" s="812">
        <f t="shared" si="2"/>
        <v>36760.971745812858</v>
      </c>
      <c r="F26" s="812">
        <f t="shared" si="2"/>
        <v>355.628519292036</v>
      </c>
      <c r="G26" s="812">
        <f t="shared" si="2"/>
        <v>50404.057245795571</v>
      </c>
      <c r="H26" s="812">
        <f t="shared" si="2"/>
        <v>0</v>
      </c>
      <c r="I26" s="812">
        <f t="shared" si="2"/>
        <v>0</v>
      </c>
      <c r="J26" s="812">
        <f t="shared" si="2"/>
        <v>0</v>
      </c>
      <c r="K26" s="812">
        <f t="shared" si="2"/>
        <v>1752.8949056324657</v>
      </c>
      <c r="L26" s="812">
        <f t="shared" si="2"/>
        <v>0</v>
      </c>
      <c r="M26" s="812">
        <f t="shared" si="2"/>
        <v>0</v>
      </c>
      <c r="N26" s="812">
        <f t="shared" si="2"/>
        <v>0</v>
      </c>
      <c r="O26" s="812">
        <f t="shared" si="2"/>
        <v>0</v>
      </c>
      <c r="P26" s="812">
        <f t="shared" si="2"/>
        <v>0</v>
      </c>
      <c r="Q26" s="812">
        <f t="shared" si="2"/>
        <v>0</v>
      </c>
      <c r="R26" s="812">
        <f t="shared" si="2"/>
        <v>115773.48818888114</v>
      </c>
      <c r="S26" s="67"/>
    </row>
    <row r="27" spans="1:19" s="473" customFormat="1" ht="17.25" thickTop="1" thickBot="1">
      <c r="A27" s="706" t="s">
        <v>116</v>
      </c>
      <c r="B27" s="805"/>
      <c r="C27" s="707">
        <f ca="1">C22+C16+C26</f>
        <v>93295.737089842369</v>
      </c>
      <c r="D27" s="707">
        <f t="shared" ref="D27:R27" ca="1" si="3">D22+D16+D26</f>
        <v>13197.535714285714</v>
      </c>
      <c r="E27" s="707">
        <f t="shared" ca="1" si="3"/>
        <v>172090.83811465855</v>
      </c>
      <c r="F27" s="707">
        <f t="shared" si="3"/>
        <v>7204.9842667894727</v>
      </c>
      <c r="G27" s="707">
        <f t="shared" ca="1" si="3"/>
        <v>74031.471407114106</v>
      </c>
      <c r="H27" s="707">
        <f t="shared" si="3"/>
        <v>240082.01581888806</v>
      </c>
      <c r="I27" s="707">
        <f t="shared" si="3"/>
        <v>38312.757538574726</v>
      </c>
      <c r="J27" s="707">
        <f t="shared" si="3"/>
        <v>0</v>
      </c>
      <c r="K27" s="707">
        <f t="shared" si="3"/>
        <v>1756.4365332796885</v>
      </c>
      <c r="L27" s="707">
        <f t="shared" si="3"/>
        <v>0</v>
      </c>
      <c r="M27" s="707">
        <f t="shared" ca="1" si="3"/>
        <v>0</v>
      </c>
      <c r="N27" s="707">
        <f t="shared" si="3"/>
        <v>15153.692910048534</v>
      </c>
      <c r="O27" s="707">
        <f t="shared" ca="1" si="3"/>
        <v>23797.384172602538</v>
      </c>
      <c r="P27" s="707">
        <f t="shared" si="3"/>
        <v>511.21000000000004</v>
      </c>
      <c r="Q27" s="707">
        <f t="shared" si="3"/>
        <v>2440.5333333333333</v>
      </c>
      <c r="R27" s="707">
        <f t="shared" ca="1" si="3"/>
        <v>681874.596899417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5763.6676236341445</v>
      </c>
      <c r="D40" s="1013">
        <f ca="1">tertiair!C20</f>
        <v>45.615381104583875</v>
      </c>
      <c r="E40" s="1013">
        <f ca="1">tertiair!D20</f>
        <v>6351.4446276967137</v>
      </c>
      <c r="F40" s="1013">
        <f>tertiair!E20</f>
        <v>119.14959233178308</v>
      </c>
      <c r="G40" s="1013">
        <f ca="1">tertiair!F20</f>
        <v>1365.2378123949484</v>
      </c>
      <c r="H40" s="1013">
        <f>tertiair!G20</f>
        <v>0</v>
      </c>
      <c r="I40" s="1013">
        <f>tertiair!H20</f>
        <v>0</v>
      </c>
      <c r="J40" s="1013">
        <f>tertiair!I20</f>
        <v>0</v>
      </c>
      <c r="K40" s="1013">
        <f>tertiair!J20</f>
        <v>2.3292258334417015E-2</v>
      </c>
      <c r="L40" s="1013">
        <f>tertiair!K20</f>
        <v>0</v>
      </c>
      <c r="M40" s="1013">
        <f ca="1">tertiair!L20</f>
        <v>0</v>
      </c>
      <c r="N40" s="1013">
        <f>tertiair!M20</f>
        <v>0</v>
      </c>
      <c r="O40" s="1013">
        <f ca="1">tertiair!N20</f>
        <v>0</v>
      </c>
      <c r="P40" s="1013">
        <f>tertiair!O20</f>
        <v>0</v>
      </c>
      <c r="Q40" s="774">
        <f>tertiair!P20</f>
        <v>0</v>
      </c>
      <c r="R40" s="850">
        <f t="shared" ca="1" si="4"/>
        <v>13645.138329420508</v>
      </c>
    </row>
    <row r="41" spans="1:18">
      <c r="A41" s="822" t="s">
        <v>225</v>
      </c>
      <c r="B41" s="829"/>
      <c r="C41" s="1013">
        <f ca="1">huishoudens!B12</f>
        <v>7838.2001803958901</v>
      </c>
      <c r="D41" s="1013">
        <f ca="1">huishoudens!C12</f>
        <v>0</v>
      </c>
      <c r="E41" s="1013">
        <f>huishoudens!D12</f>
        <v>15377.7219348861</v>
      </c>
      <c r="F41" s="1013">
        <f>huishoudens!E12</f>
        <v>1094.4297257506128</v>
      </c>
      <c r="G41" s="1013">
        <f>huishoudens!F12</f>
        <v>4143.1562164473307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28453.508057479929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1493.8691029394656</v>
      </c>
      <c r="D43" s="1013">
        <f ca="1">industrie!C22</f>
        <v>0</v>
      </c>
      <c r="E43" s="1013">
        <f>industrie!D22</f>
        <v>5540.7013283648257</v>
      </c>
      <c r="F43" s="1013">
        <f>industrie!E22</f>
        <v>225.93179487556526</v>
      </c>
      <c r="G43" s="1013">
        <f>industrie!F22</f>
        <v>800.12555222977039</v>
      </c>
      <c r="H43" s="1013">
        <f>industrie!G22</f>
        <v>0</v>
      </c>
      <c r="I43" s="1013">
        <f>industrie!H22</f>
        <v>0</v>
      </c>
      <c r="J43" s="1013">
        <f>industrie!I22</f>
        <v>0</v>
      </c>
      <c r="K43" s="1013">
        <f>industrie!J22</f>
        <v>1.2304439287824538</v>
      </c>
      <c r="L43" s="1013">
        <f>industrie!K22</f>
        <v>0</v>
      </c>
      <c r="M43" s="1013">
        <f>industrie!L22</f>
        <v>0</v>
      </c>
      <c r="N43" s="1013">
        <f>industrie!M22</f>
        <v>0</v>
      </c>
      <c r="O43" s="1013">
        <f>industrie!N22</f>
        <v>0</v>
      </c>
      <c r="P43" s="1013">
        <f>industrie!O22</f>
        <v>0</v>
      </c>
      <c r="Q43" s="774">
        <f>industrie!P22</f>
        <v>0</v>
      </c>
      <c r="R43" s="849">
        <f t="shared" ca="1" si="4"/>
        <v>8061.8582223384101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15095.7369069695</v>
      </c>
      <c r="D46" s="732">
        <f t="shared" ref="D46:Q46" ca="1" si="5">SUM(D39:D45)</f>
        <v>45.615381104583875</v>
      </c>
      <c r="E46" s="732">
        <f t="shared" ca="1" si="5"/>
        <v>27269.86789094764</v>
      </c>
      <c r="F46" s="732">
        <f t="shared" si="5"/>
        <v>1439.5111129579609</v>
      </c>
      <c r="G46" s="732">
        <f t="shared" ca="1" si="5"/>
        <v>6308.5195810720497</v>
      </c>
      <c r="H46" s="732">
        <f t="shared" si="5"/>
        <v>0</v>
      </c>
      <c r="I46" s="732">
        <f t="shared" si="5"/>
        <v>0</v>
      </c>
      <c r="J46" s="732">
        <f t="shared" si="5"/>
        <v>0</v>
      </c>
      <c r="K46" s="732">
        <f t="shared" si="5"/>
        <v>1.2537361871168708</v>
      </c>
      <c r="L46" s="732">
        <f t="shared" si="5"/>
        <v>0</v>
      </c>
      <c r="M46" s="732">
        <f t="shared" ca="1" si="5"/>
        <v>0</v>
      </c>
      <c r="N46" s="732">
        <f t="shared" si="5"/>
        <v>0</v>
      </c>
      <c r="O46" s="732">
        <f t="shared" ca="1" si="5"/>
        <v>0</v>
      </c>
      <c r="P46" s="732">
        <f t="shared" si="5"/>
        <v>0</v>
      </c>
      <c r="Q46" s="732">
        <f t="shared" si="5"/>
        <v>0</v>
      </c>
      <c r="R46" s="732">
        <f ca="1">SUM(R39:R45)</f>
        <v>50160.504609238844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585.55891836527621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585.55891836527621</v>
      </c>
    </row>
    <row r="50" spans="1:18">
      <c r="A50" s="825" t="s">
        <v>307</v>
      </c>
      <c r="B50" s="835"/>
      <c r="C50" s="703">
        <f ca="1">transport!B18</f>
        <v>18.564408833669983</v>
      </c>
      <c r="D50" s="703">
        <f>transport!C18</f>
        <v>0</v>
      </c>
      <c r="E50" s="703">
        <f>transport!D18</f>
        <v>66.765115559191841</v>
      </c>
      <c r="F50" s="703">
        <f>transport!E18</f>
        <v>115.29264172395706</v>
      </c>
      <c r="G50" s="703">
        <f>transport!F18</f>
        <v>0</v>
      </c>
      <c r="H50" s="703">
        <f>transport!G18</f>
        <v>63516.339305277841</v>
      </c>
      <c r="I50" s="703">
        <f>transport!H18</f>
        <v>9539.8766271051063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73256.838098499764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18.564408833669983</v>
      </c>
      <c r="D52" s="732">
        <f t="shared" ref="D52:Q52" ca="1" si="6">SUM(D48:D51)</f>
        <v>0</v>
      </c>
      <c r="E52" s="732">
        <f t="shared" si="6"/>
        <v>66.765115559191841</v>
      </c>
      <c r="F52" s="732">
        <f t="shared" si="6"/>
        <v>115.29264172395706</v>
      </c>
      <c r="G52" s="732">
        <f t="shared" si="6"/>
        <v>0</v>
      </c>
      <c r="H52" s="732">
        <f t="shared" si="6"/>
        <v>64101.898223643118</v>
      </c>
      <c r="I52" s="732">
        <f t="shared" si="6"/>
        <v>9539.8766271051063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73842.397016865041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2291.5769052688615</v>
      </c>
      <c r="D54" s="703">
        <f ca="1">+landbouw!C12</f>
        <v>3075.9211735172648</v>
      </c>
      <c r="E54" s="703">
        <f>+landbouw!D12</f>
        <v>7025.3518204114271</v>
      </c>
      <c r="F54" s="703">
        <f>+landbouw!E12</f>
        <v>80.727673879292169</v>
      </c>
      <c r="G54" s="703">
        <f>+landbouw!F12</f>
        <v>13457.883284627418</v>
      </c>
      <c r="H54" s="703">
        <f>+landbouw!G12</f>
        <v>0</v>
      </c>
      <c r="I54" s="703">
        <f>+landbouw!H12</f>
        <v>0</v>
      </c>
      <c r="J54" s="703">
        <f>+landbouw!I12</f>
        <v>0</v>
      </c>
      <c r="K54" s="703">
        <f>+landbouw!J12</f>
        <v>620.5247965938928</v>
      </c>
      <c r="L54" s="703">
        <f>+landbouw!K12</f>
        <v>0</v>
      </c>
      <c r="M54" s="703">
        <f>+landbouw!L12</f>
        <v>0</v>
      </c>
      <c r="N54" s="703">
        <f>+landbouw!M12</f>
        <v>0</v>
      </c>
      <c r="O54" s="703">
        <f>+landbouw!N12</f>
        <v>0</v>
      </c>
      <c r="P54" s="703">
        <f>+landbouw!O12</f>
        <v>0</v>
      </c>
      <c r="Q54" s="704">
        <f>+landbouw!P12</f>
        <v>0</v>
      </c>
      <c r="R54" s="731">
        <f ca="1">SUM(C54:Q54)</f>
        <v>26551.985654298158</v>
      </c>
    </row>
    <row r="55" spans="1:18" ht="15" thickBot="1">
      <c r="A55" s="825" t="s">
        <v>836</v>
      </c>
      <c r="B55" s="835"/>
      <c r="C55" s="703">
        <f ca="1">C25*'EF ele_warmte'!B12</f>
        <v>264.44010055462923</v>
      </c>
      <c r="D55" s="703"/>
      <c r="E55" s="703">
        <f>E25*EF_CO2_aardgas</f>
        <v>400.364472242771</v>
      </c>
      <c r="F55" s="703"/>
      <c r="G55" s="703"/>
      <c r="H55" s="703"/>
      <c r="I55" s="703"/>
      <c r="J55" s="703"/>
      <c r="K55" s="703"/>
      <c r="L55" s="703"/>
      <c r="M55" s="703"/>
      <c r="N55" s="703"/>
      <c r="O55" s="703"/>
      <c r="P55" s="703"/>
      <c r="Q55" s="704"/>
      <c r="R55" s="731">
        <f ca="1">SUM(C55:Q55)</f>
        <v>664.80457279740017</v>
      </c>
    </row>
    <row r="56" spans="1:18" ht="15.75" thickBot="1">
      <c r="A56" s="823" t="s">
        <v>837</v>
      </c>
      <c r="B56" s="836"/>
      <c r="C56" s="732">
        <f ca="1">SUM(C54:C55)</f>
        <v>2556.0170058234908</v>
      </c>
      <c r="D56" s="732">
        <f t="shared" ref="D56:Q56" ca="1" si="7">SUM(D54:D55)</f>
        <v>3075.9211735172648</v>
      </c>
      <c r="E56" s="732">
        <f t="shared" si="7"/>
        <v>7425.7162926541978</v>
      </c>
      <c r="F56" s="732">
        <f t="shared" si="7"/>
        <v>80.727673879292169</v>
      </c>
      <c r="G56" s="732">
        <f t="shared" si="7"/>
        <v>13457.883284627418</v>
      </c>
      <c r="H56" s="732">
        <f t="shared" si="7"/>
        <v>0</v>
      </c>
      <c r="I56" s="732">
        <f t="shared" si="7"/>
        <v>0</v>
      </c>
      <c r="J56" s="732">
        <f t="shared" si="7"/>
        <v>0</v>
      </c>
      <c r="K56" s="732">
        <f t="shared" si="7"/>
        <v>620.5247965938928</v>
      </c>
      <c r="L56" s="732">
        <f t="shared" si="7"/>
        <v>0</v>
      </c>
      <c r="M56" s="732">
        <f t="shared" si="7"/>
        <v>0</v>
      </c>
      <c r="N56" s="732">
        <f t="shared" si="7"/>
        <v>0</v>
      </c>
      <c r="O56" s="732">
        <f t="shared" si="7"/>
        <v>0</v>
      </c>
      <c r="P56" s="732">
        <f t="shared" si="7"/>
        <v>0</v>
      </c>
      <c r="Q56" s="733">
        <f t="shared" si="7"/>
        <v>0</v>
      </c>
      <c r="R56" s="734">
        <f ca="1">SUM(R54:R55)</f>
        <v>27216.790227095556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17670.318321626663</v>
      </c>
      <c r="D61" s="740">
        <f t="shared" ref="D61:Q61" ca="1" si="8">D46+D52+D56</f>
        <v>3121.5365546218486</v>
      </c>
      <c r="E61" s="740">
        <f t="shared" ca="1" si="8"/>
        <v>34762.349299161033</v>
      </c>
      <c r="F61" s="740">
        <f t="shared" si="8"/>
        <v>1635.5314285612101</v>
      </c>
      <c r="G61" s="740">
        <f t="shared" ca="1" si="8"/>
        <v>19766.402865699467</v>
      </c>
      <c r="H61" s="740">
        <f t="shared" si="8"/>
        <v>64101.898223643118</v>
      </c>
      <c r="I61" s="740">
        <f t="shared" si="8"/>
        <v>9539.8766271051063</v>
      </c>
      <c r="J61" s="740">
        <f t="shared" si="8"/>
        <v>0</v>
      </c>
      <c r="K61" s="740">
        <f t="shared" si="8"/>
        <v>621.77853278100963</v>
      </c>
      <c r="L61" s="740">
        <f t="shared" si="8"/>
        <v>0</v>
      </c>
      <c r="M61" s="740">
        <f t="shared" ca="1" si="8"/>
        <v>0</v>
      </c>
      <c r="N61" s="740">
        <f t="shared" si="8"/>
        <v>0</v>
      </c>
      <c r="O61" s="740">
        <f t="shared" ca="1" si="8"/>
        <v>0</v>
      </c>
      <c r="P61" s="740">
        <f t="shared" si="8"/>
        <v>0</v>
      </c>
      <c r="Q61" s="740">
        <f t="shared" si="8"/>
        <v>0</v>
      </c>
      <c r="R61" s="740">
        <f ca="1">R46+R52+R56</f>
        <v>151219.69185319945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0.18940113313655924</v>
      </c>
      <c r="D63" s="781">
        <f t="shared" ca="1" si="9"/>
        <v>0.23652419832006452</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7062.0373135439922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6926.4531319935395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43.649999999999984</v>
      </c>
      <c r="C76" s="750">
        <f>'lokale energieproductie'!B8*IFERROR(SUM(D76:H76)/SUM(D76:O76),0)</f>
        <v>9194.625</v>
      </c>
      <c r="D76" s="1034">
        <f>'lokale energieproductie'!C8</f>
        <v>10817.205882352942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2185.0755882352946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14032.140445537532</v>
      </c>
      <c r="C78" s="755">
        <f>SUM(C72:C77)</f>
        <v>9194.625</v>
      </c>
      <c r="D78" s="756">
        <f t="shared" ref="D78:H78" si="10">SUM(D76:D77)</f>
        <v>10817.205882352942</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2185.0755882352946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13135.178571428572</v>
      </c>
      <c r="D87" s="777">
        <f>'lokale energieproductie'!C17</f>
        <v>15453.151260504203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3121.5365546218491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13135.178571428572</v>
      </c>
      <c r="D90" s="755">
        <f t="shared" ref="D90:H90" si="12">SUM(D87:D89)</f>
        <v>15453.151260504203</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3121.5365546218491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7062.0373135439922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6926.4531319935395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9238.2749999999996</v>
      </c>
      <c r="C8" s="570">
        <f>B101</f>
        <v>10817.205882352942</v>
      </c>
      <c r="D8" s="1044"/>
      <c r="E8" s="1044">
        <f>E101</f>
        <v>0</v>
      </c>
      <c r="F8" s="1045"/>
      <c r="G8" s="571"/>
      <c r="H8" s="1044">
        <f>I101</f>
        <v>0</v>
      </c>
      <c r="I8" s="1044">
        <f>G101+F101</f>
        <v>0</v>
      </c>
      <c r="J8" s="1044">
        <f>H101+D101+C101</f>
        <v>51.35294117647058</v>
      </c>
      <c r="K8" s="1044"/>
      <c r="L8" s="1044"/>
      <c r="M8" s="1044"/>
      <c r="N8" s="572"/>
      <c r="O8" s="573">
        <f>C8*$C$12+D8*$D$12+E8*$E$12+F8*$F$12+G8*$G$12+H8*$H$12+I8*$I$12+J8*$J$12</f>
        <v>2185.0755882352946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23226.76544553753</v>
      </c>
      <c r="C10" s="583">
        <f t="shared" ref="C10:L10" si="0">SUM(C8:C9)</f>
        <v>10817.205882352942</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2185.0755882352946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13197.535714285716</v>
      </c>
      <c r="C17" s="595">
        <f>B102</f>
        <v>15453.151260504203</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3121.5365546218491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13197.535714285716</v>
      </c>
      <c r="C20" s="582">
        <f>SUM(C17:C19)</f>
        <v>15453.151260504203</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3121.5365546218491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44034</v>
      </c>
      <c r="C28" s="796">
        <v>9080</v>
      </c>
      <c r="D28" s="653" t="s">
        <v>881</v>
      </c>
      <c r="E28" s="652" t="s">
        <v>882</v>
      </c>
      <c r="F28" s="652" t="s">
        <v>883</v>
      </c>
      <c r="G28" s="652" t="s">
        <v>884</v>
      </c>
      <c r="H28" s="652" t="s">
        <v>885</v>
      </c>
      <c r="I28" s="652" t="s">
        <v>886</v>
      </c>
      <c r="J28" s="795">
        <v>40473</v>
      </c>
      <c r="K28" s="795">
        <v>40513</v>
      </c>
      <c r="L28" s="652" t="s">
        <v>887</v>
      </c>
      <c r="M28" s="652">
        <v>1006</v>
      </c>
      <c r="N28" s="652">
        <v>4527</v>
      </c>
      <c r="O28" s="652">
        <v>6467.1428571428569</v>
      </c>
      <c r="P28" s="652">
        <v>12934.285714285716</v>
      </c>
      <c r="Q28" s="652">
        <v>0</v>
      </c>
      <c r="R28" s="652">
        <v>0</v>
      </c>
      <c r="S28" s="652">
        <v>0</v>
      </c>
      <c r="T28" s="652">
        <v>0</v>
      </c>
      <c r="U28" s="652">
        <v>0</v>
      </c>
      <c r="V28" s="652">
        <v>0</v>
      </c>
      <c r="W28" s="652">
        <v>0</v>
      </c>
      <c r="X28" s="652">
        <v>10</v>
      </c>
      <c r="Y28" s="652" t="s">
        <v>112</v>
      </c>
      <c r="Z28" s="654" t="s">
        <v>112</v>
      </c>
    </row>
    <row r="29" spans="1:26" s="606" customFormat="1" ht="63.75">
      <c r="A29" s="605"/>
      <c r="B29" s="796">
        <v>44034</v>
      </c>
      <c r="C29" s="796">
        <v>9080</v>
      </c>
      <c r="D29" s="653" t="s">
        <v>888</v>
      </c>
      <c r="E29" s="652" t="s">
        <v>889</v>
      </c>
      <c r="F29" s="652" t="s">
        <v>890</v>
      </c>
      <c r="G29" s="652" t="s">
        <v>884</v>
      </c>
      <c r="H29" s="652" t="s">
        <v>885</v>
      </c>
      <c r="I29" s="652" t="s">
        <v>889</v>
      </c>
      <c r="J29" s="795">
        <v>40598</v>
      </c>
      <c r="K29" s="795">
        <v>40664</v>
      </c>
      <c r="L29" s="652" t="s">
        <v>887</v>
      </c>
      <c r="M29" s="652">
        <v>30</v>
      </c>
      <c r="N29" s="652">
        <v>135</v>
      </c>
      <c r="O29" s="652">
        <v>192.85714285714286</v>
      </c>
      <c r="P29" s="652">
        <v>385.71428571428572</v>
      </c>
      <c r="Q29" s="652">
        <v>0</v>
      </c>
      <c r="R29" s="652">
        <v>0</v>
      </c>
      <c r="S29" s="652">
        <v>0</v>
      </c>
      <c r="T29" s="652">
        <v>0</v>
      </c>
      <c r="U29" s="652">
        <v>0</v>
      </c>
      <c r="V29" s="652">
        <v>0</v>
      </c>
      <c r="W29" s="652">
        <v>0</v>
      </c>
      <c r="X29" s="652">
        <v>1600</v>
      </c>
      <c r="Y29" s="652" t="s">
        <v>50</v>
      </c>
      <c r="Z29" s="654" t="s">
        <v>156</v>
      </c>
    </row>
    <row r="30" spans="1:26" s="606" customFormat="1" ht="25.5">
      <c r="A30" s="605"/>
      <c r="B30" s="796">
        <v>44034</v>
      </c>
      <c r="C30" s="796">
        <v>9080</v>
      </c>
      <c r="D30" s="653" t="s">
        <v>891</v>
      </c>
      <c r="E30" s="652" t="s">
        <v>892</v>
      </c>
      <c r="F30" s="652" t="s">
        <v>893</v>
      </c>
      <c r="G30" s="652" t="s">
        <v>884</v>
      </c>
      <c r="H30" s="652" t="s">
        <v>885</v>
      </c>
      <c r="I30" s="652" t="s">
        <v>892</v>
      </c>
      <c r="J30" s="795">
        <v>41244</v>
      </c>
      <c r="K30" s="795">
        <v>41255</v>
      </c>
      <c r="L30" s="652" t="s">
        <v>887</v>
      </c>
      <c r="M30" s="652">
        <v>526</v>
      </c>
      <c r="N30" s="652">
        <v>2367</v>
      </c>
      <c r="O30" s="652">
        <v>3381.4285714285716</v>
      </c>
      <c r="P30" s="652">
        <v>6762.8571428571431</v>
      </c>
      <c r="Q30" s="652">
        <v>0</v>
      </c>
      <c r="R30" s="652">
        <v>0</v>
      </c>
      <c r="S30" s="652">
        <v>0</v>
      </c>
      <c r="T30" s="652">
        <v>0</v>
      </c>
      <c r="U30" s="652">
        <v>0</v>
      </c>
      <c r="V30" s="652">
        <v>0</v>
      </c>
      <c r="W30" s="652">
        <v>0</v>
      </c>
      <c r="X30" s="652">
        <v>10</v>
      </c>
      <c r="Y30" s="652" t="s">
        <v>112</v>
      </c>
      <c r="Z30" s="654" t="s">
        <v>112</v>
      </c>
    </row>
    <row r="31" spans="1:26" s="606" customFormat="1" ht="25.5">
      <c r="A31" s="605"/>
      <c r="B31" s="796">
        <v>44034</v>
      </c>
      <c r="C31" s="796">
        <v>9080</v>
      </c>
      <c r="D31" s="653" t="s">
        <v>894</v>
      </c>
      <c r="E31" s="652" t="s">
        <v>895</v>
      </c>
      <c r="F31" s="652" t="s">
        <v>896</v>
      </c>
      <c r="G31" s="652" t="s">
        <v>884</v>
      </c>
      <c r="H31" s="652" t="s">
        <v>885</v>
      </c>
      <c r="I31" s="652" t="s">
        <v>897</v>
      </c>
      <c r="J31" s="795">
        <v>41242</v>
      </c>
      <c r="K31" s="795">
        <v>41275</v>
      </c>
      <c r="L31" s="652" t="s">
        <v>887</v>
      </c>
      <c r="M31" s="652">
        <v>9.6999999999999993</v>
      </c>
      <c r="N31" s="652">
        <v>43.649999999999991</v>
      </c>
      <c r="O31" s="652">
        <v>62.357142857142847</v>
      </c>
      <c r="P31" s="652">
        <v>0</v>
      </c>
      <c r="Q31" s="652">
        <v>124.71428571428569</v>
      </c>
      <c r="R31" s="652">
        <v>0</v>
      </c>
      <c r="S31" s="652">
        <v>0</v>
      </c>
      <c r="T31" s="652">
        <v>0</v>
      </c>
      <c r="U31" s="652">
        <v>0</v>
      </c>
      <c r="V31" s="652">
        <v>0</v>
      </c>
      <c r="W31" s="652">
        <v>0</v>
      </c>
      <c r="X31" s="652">
        <v>10</v>
      </c>
      <c r="Y31" s="652" t="s">
        <v>112</v>
      </c>
      <c r="Z31" s="654" t="s">
        <v>112</v>
      </c>
    </row>
    <row r="32" spans="1:26" s="606" customFormat="1" ht="25.5">
      <c r="A32" s="605"/>
      <c r="B32" s="796">
        <v>44034</v>
      </c>
      <c r="C32" s="796">
        <v>9080</v>
      </c>
      <c r="D32" s="653" t="s">
        <v>898</v>
      </c>
      <c r="E32" s="652"/>
      <c r="F32" s="652" t="s">
        <v>899</v>
      </c>
      <c r="G32" s="652" t="s">
        <v>884</v>
      </c>
      <c r="H32" s="652" t="s">
        <v>885</v>
      </c>
      <c r="I32" s="652" t="s">
        <v>900</v>
      </c>
      <c r="J32" s="795">
        <v>42331</v>
      </c>
      <c r="K32" s="795">
        <v>42375</v>
      </c>
      <c r="L32" s="652" t="s">
        <v>901</v>
      </c>
      <c r="M32" s="652">
        <v>525</v>
      </c>
      <c r="N32" s="652">
        <v>2165.625</v>
      </c>
      <c r="O32" s="652">
        <v>3093.75</v>
      </c>
      <c r="P32" s="652">
        <v>6187.5</v>
      </c>
      <c r="Q32" s="652">
        <v>0</v>
      </c>
      <c r="R32" s="652">
        <v>0</v>
      </c>
      <c r="S32" s="652">
        <v>0</v>
      </c>
      <c r="T32" s="652">
        <v>0</v>
      </c>
      <c r="U32" s="652">
        <v>0</v>
      </c>
      <c r="V32" s="652">
        <v>0</v>
      </c>
      <c r="W32" s="652">
        <v>0</v>
      </c>
      <c r="X32" s="652">
        <v>10</v>
      </c>
      <c r="Y32" s="652" t="s">
        <v>112</v>
      </c>
      <c r="Z32" s="654" t="s">
        <v>112</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2096.6999999999998</v>
      </c>
      <c r="N58" s="610">
        <f>SUM(N28:N57)</f>
        <v>9238.2749999999996</v>
      </c>
      <c r="O58" s="610">
        <f t="shared" ref="O58:W58" si="2">SUM(O28:O57)</f>
        <v>13197.535714285716</v>
      </c>
      <c r="P58" s="610">
        <f t="shared" si="2"/>
        <v>26270.357142857145</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30</v>
      </c>
      <c r="N60" s="610">
        <f ca="1">SUMIF($Z$28:AD57,"tertiair",N28:N57)</f>
        <v>135</v>
      </c>
      <c r="O60" s="610">
        <f ca="1">SUMIF($Z$28:AE57,"tertiair",O28:O57)</f>
        <v>192.85714285714286</v>
      </c>
      <c r="P60" s="610">
        <f ca="1">SUMIF($Z$28:AF57,"tertiair",P28:P57)</f>
        <v>385.71428571428572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2066.6999999999998</v>
      </c>
      <c r="N61" s="615">
        <f t="shared" si="4"/>
        <v>9103.2749999999996</v>
      </c>
      <c r="O61" s="615">
        <f t="shared" si="4"/>
        <v>13004.678571428571</v>
      </c>
      <c r="P61" s="615">
        <f t="shared" si="4"/>
        <v>25884.642857142859</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10817.205882352942</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15453.151260504203</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41384.125060880739</v>
      </c>
      <c r="C4" s="477">
        <f>huishoudens!C8</f>
        <v>0</v>
      </c>
      <c r="D4" s="477">
        <f>huishoudens!D8</f>
        <v>76127.336311317325</v>
      </c>
      <c r="E4" s="477">
        <f>huishoudens!E8</f>
        <v>4821.2763248925667</v>
      </c>
      <c r="F4" s="477">
        <f>huishoudens!F8</f>
        <v>15517.439012911351</v>
      </c>
      <c r="G4" s="477">
        <f>huishoudens!G8</f>
        <v>0</v>
      </c>
      <c r="H4" s="477">
        <f>huishoudens!H8</f>
        <v>0</v>
      </c>
      <c r="I4" s="477">
        <f>huishoudens!I8</f>
        <v>0</v>
      </c>
      <c r="J4" s="477">
        <f>huishoudens!J8</f>
        <v>0</v>
      </c>
      <c r="K4" s="477">
        <f>huishoudens!K8</f>
        <v>0</v>
      </c>
      <c r="L4" s="477">
        <f>huishoudens!L8</f>
        <v>0</v>
      </c>
      <c r="M4" s="477">
        <f>huishoudens!M8</f>
        <v>0</v>
      </c>
      <c r="N4" s="477">
        <f>huishoudens!N8</f>
        <v>19418.038527075001</v>
      </c>
      <c r="O4" s="477">
        <f>huishoudens!O8</f>
        <v>509.6466666666667</v>
      </c>
      <c r="P4" s="478">
        <f>huishoudens!P8</f>
        <v>2421.4666666666667</v>
      </c>
      <c r="Q4" s="479">
        <f>SUM(B4:P4)</f>
        <v>160199.32857041032</v>
      </c>
    </row>
    <row r="5" spans="1:17">
      <c r="A5" s="476" t="s">
        <v>156</v>
      </c>
      <c r="B5" s="477">
        <f ca="1">tertiair!B16</f>
        <v>28724.309192951921</v>
      </c>
      <c r="C5" s="477">
        <f ca="1">tertiair!C16</f>
        <v>192.85714285714286</v>
      </c>
      <c r="D5" s="477">
        <f ca="1">tertiair!D16</f>
        <v>31442.795186617393</v>
      </c>
      <c r="E5" s="477">
        <f>tertiair!E16</f>
        <v>524.88807194618096</v>
      </c>
      <c r="F5" s="477">
        <f ca="1">tertiair!F16</f>
        <v>5113.2502336889447</v>
      </c>
      <c r="G5" s="477">
        <f>tertiair!G16</f>
        <v>0</v>
      </c>
      <c r="H5" s="477">
        <f>tertiair!H16</f>
        <v>0</v>
      </c>
      <c r="I5" s="477">
        <f>tertiair!I16</f>
        <v>0</v>
      </c>
      <c r="J5" s="477">
        <f>tertiair!J16</f>
        <v>6.5797339927731679E-2</v>
      </c>
      <c r="K5" s="477">
        <f>tertiair!K16</f>
        <v>0</v>
      </c>
      <c r="L5" s="477">
        <f ca="1">tertiair!L16</f>
        <v>0</v>
      </c>
      <c r="M5" s="477">
        <f>tertiair!M16</f>
        <v>0</v>
      </c>
      <c r="N5" s="477">
        <f ca="1">tertiair!N16</f>
        <v>2625.8346158467757</v>
      </c>
      <c r="O5" s="477">
        <f>tertiair!O16</f>
        <v>1.5633333333333335</v>
      </c>
      <c r="P5" s="478">
        <f>tertiair!P16</f>
        <v>19.066666666666666</v>
      </c>
      <c r="Q5" s="476">
        <f t="shared" ref="Q5:Q14" ca="1" si="0">SUM(B5:P5)</f>
        <v>68644.630241248291</v>
      </c>
    </row>
    <row r="6" spans="1:17">
      <c r="A6" s="476" t="s">
        <v>194</v>
      </c>
      <c r="B6" s="477">
        <f>'openbare verlichting'!B8</f>
        <v>1706.7</v>
      </c>
      <c r="C6" s="477"/>
      <c r="D6" s="477"/>
      <c r="E6" s="477"/>
      <c r="F6" s="477"/>
      <c r="G6" s="477"/>
      <c r="H6" s="477"/>
      <c r="I6" s="477"/>
      <c r="J6" s="477"/>
      <c r="K6" s="477"/>
      <c r="L6" s="477"/>
      <c r="M6" s="477"/>
      <c r="N6" s="477"/>
      <c r="O6" s="477"/>
      <c r="P6" s="478"/>
      <c r="Q6" s="476">
        <f t="shared" si="0"/>
        <v>1706.7</v>
      </c>
    </row>
    <row r="7" spans="1:17">
      <c r="A7" s="476" t="s">
        <v>112</v>
      </c>
      <c r="B7" s="477">
        <f>landbouw!B8</f>
        <v>12099.066501448131</v>
      </c>
      <c r="C7" s="477">
        <f>landbouw!C8</f>
        <v>13004.678571428571</v>
      </c>
      <c r="D7" s="477">
        <f>landbouw!D8</f>
        <v>34778.969407977362</v>
      </c>
      <c r="E7" s="477">
        <f>landbouw!E8</f>
        <v>355.628519292036</v>
      </c>
      <c r="F7" s="477">
        <f>landbouw!F8</f>
        <v>50404.057245795571</v>
      </c>
      <c r="G7" s="477">
        <f>landbouw!G8</f>
        <v>0</v>
      </c>
      <c r="H7" s="477">
        <f>landbouw!H8</f>
        <v>0</v>
      </c>
      <c r="I7" s="477">
        <f>landbouw!I8</f>
        <v>0</v>
      </c>
      <c r="J7" s="477">
        <f>landbouw!J8</f>
        <v>1752.8949056324657</v>
      </c>
      <c r="K7" s="477">
        <f>landbouw!K8</f>
        <v>0</v>
      </c>
      <c r="L7" s="477">
        <f>landbouw!L8</f>
        <v>0</v>
      </c>
      <c r="M7" s="477">
        <f>landbouw!M8</f>
        <v>0</v>
      </c>
      <c r="N7" s="477">
        <f>landbouw!N8</f>
        <v>0</v>
      </c>
      <c r="O7" s="477">
        <f>landbouw!O8</f>
        <v>0</v>
      </c>
      <c r="P7" s="478">
        <f>landbouw!P8</f>
        <v>0</v>
      </c>
      <c r="Q7" s="476">
        <f t="shared" si="0"/>
        <v>112395.29515157413</v>
      </c>
    </row>
    <row r="8" spans="1:17">
      <c r="A8" s="476" t="s">
        <v>635</v>
      </c>
      <c r="B8" s="477">
        <f>industrie!B18</f>
        <v>7887.3292793997061</v>
      </c>
      <c r="C8" s="477">
        <f>industrie!C18</f>
        <v>0</v>
      </c>
      <c r="D8" s="477">
        <f>industrie!D18</f>
        <v>27429.214496855573</v>
      </c>
      <c r="E8" s="477">
        <f>industrie!E18</f>
        <v>995.29425055315085</v>
      </c>
      <c r="F8" s="477">
        <f>industrie!F18</f>
        <v>2996.7249147182411</v>
      </c>
      <c r="G8" s="477">
        <f>industrie!G18</f>
        <v>0</v>
      </c>
      <c r="H8" s="477">
        <f>industrie!H18</f>
        <v>0</v>
      </c>
      <c r="I8" s="477">
        <f>industrie!I18</f>
        <v>0</v>
      </c>
      <c r="J8" s="477">
        <f>industrie!J18</f>
        <v>3.4758303072950674</v>
      </c>
      <c r="K8" s="477">
        <f>industrie!K18</f>
        <v>0</v>
      </c>
      <c r="L8" s="477">
        <f>industrie!L18</f>
        <v>0</v>
      </c>
      <c r="M8" s="477">
        <f>industrie!M18</f>
        <v>0</v>
      </c>
      <c r="N8" s="477">
        <f>industrie!N18</f>
        <v>1753.511029680762</v>
      </c>
      <c r="O8" s="477">
        <f>industrie!O18</f>
        <v>0</v>
      </c>
      <c r="P8" s="478">
        <f>industrie!P18</f>
        <v>0</v>
      </c>
      <c r="Q8" s="476">
        <f t="shared" si="0"/>
        <v>41065.549801514731</v>
      </c>
    </row>
    <row r="9" spans="1:17" s="482" customFormat="1">
      <c r="A9" s="480" t="s">
        <v>561</v>
      </c>
      <c r="B9" s="481">
        <f>transport!B14</f>
        <v>98.016355690358751</v>
      </c>
      <c r="C9" s="481">
        <f>transport!C14</f>
        <v>0</v>
      </c>
      <c r="D9" s="481">
        <f>transport!D14</f>
        <v>330.52037405540511</v>
      </c>
      <c r="E9" s="481">
        <f>transport!E14</f>
        <v>507.89710010553767</v>
      </c>
      <c r="F9" s="481">
        <f>transport!F14</f>
        <v>0</v>
      </c>
      <c r="G9" s="481">
        <f>transport!G14</f>
        <v>237888.91125572223</v>
      </c>
      <c r="H9" s="481">
        <f>transport!H14</f>
        <v>38312.757538574726</v>
      </c>
      <c r="I9" s="481">
        <f>transport!I14</f>
        <v>0</v>
      </c>
      <c r="J9" s="481">
        <f>transport!J14</f>
        <v>0</v>
      </c>
      <c r="K9" s="481">
        <f>transport!K14</f>
        <v>0</v>
      </c>
      <c r="L9" s="481">
        <f>transport!L14</f>
        <v>0</v>
      </c>
      <c r="M9" s="481">
        <f>transport!M14</f>
        <v>15029.134252488328</v>
      </c>
      <c r="N9" s="481">
        <f>transport!N14</f>
        <v>0</v>
      </c>
      <c r="O9" s="481">
        <f>transport!O14</f>
        <v>0</v>
      </c>
      <c r="P9" s="481">
        <f>transport!P14</f>
        <v>0</v>
      </c>
      <c r="Q9" s="480">
        <f>SUM(B9:P9)</f>
        <v>292167.23687663657</v>
      </c>
    </row>
    <row r="10" spans="1:17">
      <c r="A10" s="476" t="s">
        <v>551</v>
      </c>
      <c r="B10" s="477">
        <f>transport!B54</f>
        <v>0</v>
      </c>
      <c r="C10" s="477">
        <f>transport!C54</f>
        <v>0</v>
      </c>
      <c r="D10" s="477">
        <f>transport!D54</f>
        <v>0</v>
      </c>
      <c r="E10" s="477">
        <f>transport!E54</f>
        <v>0</v>
      </c>
      <c r="F10" s="477">
        <f>transport!F54</f>
        <v>0</v>
      </c>
      <c r="G10" s="477">
        <f>transport!G54</f>
        <v>2193.1045631658285</v>
      </c>
      <c r="H10" s="477">
        <f>transport!H54</f>
        <v>0</v>
      </c>
      <c r="I10" s="477">
        <f>transport!I54</f>
        <v>0</v>
      </c>
      <c r="J10" s="477">
        <f>transport!J54</f>
        <v>0</v>
      </c>
      <c r="K10" s="477">
        <f>transport!K54</f>
        <v>0</v>
      </c>
      <c r="L10" s="477">
        <f>transport!L54</f>
        <v>0</v>
      </c>
      <c r="M10" s="477">
        <f>transport!M54</f>
        <v>124.55865756020563</v>
      </c>
      <c r="N10" s="477">
        <f>transport!N54</f>
        <v>0</v>
      </c>
      <c r="O10" s="477">
        <f>transport!O54</f>
        <v>0</v>
      </c>
      <c r="P10" s="478">
        <f>transport!P54</f>
        <v>0</v>
      </c>
      <c r="Q10" s="476">
        <f t="shared" si="0"/>
        <v>2317.6632207260341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1396.19069947151</v>
      </c>
      <c r="C14" s="484"/>
      <c r="D14" s="484">
        <f>'SEAP template'!E25</f>
        <v>1982.0023378354999</v>
      </c>
      <c r="E14" s="484"/>
      <c r="F14" s="484"/>
      <c r="G14" s="484"/>
      <c r="H14" s="484"/>
      <c r="I14" s="484"/>
      <c r="J14" s="484"/>
      <c r="K14" s="484"/>
      <c r="L14" s="484"/>
      <c r="M14" s="484"/>
      <c r="N14" s="484"/>
      <c r="O14" s="484"/>
      <c r="P14" s="485"/>
      <c r="Q14" s="476">
        <f t="shared" si="0"/>
        <v>3378.1930373070099</v>
      </c>
    </row>
    <row r="15" spans="1:17" s="486" customFormat="1">
      <c r="A15" s="1039" t="s">
        <v>555</v>
      </c>
      <c r="B15" s="987">
        <f ca="1">SUM(B4:B14)</f>
        <v>93295.737089842369</v>
      </c>
      <c r="C15" s="987">
        <f t="shared" ref="C15:Q15" ca="1" si="1">SUM(C4:C14)</f>
        <v>13197.535714285714</v>
      </c>
      <c r="D15" s="987">
        <f t="shared" ca="1" si="1"/>
        <v>172090.83811465855</v>
      </c>
      <c r="E15" s="987">
        <f t="shared" si="1"/>
        <v>7204.9842667894727</v>
      </c>
      <c r="F15" s="987">
        <f t="shared" ca="1" si="1"/>
        <v>74031.471407114121</v>
      </c>
      <c r="G15" s="987">
        <f t="shared" si="1"/>
        <v>240082.01581888806</v>
      </c>
      <c r="H15" s="987">
        <f t="shared" si="1"/>
        <v>38312.757538574726</v>
      </c>
      <c r="I15" s="987">
        <f t="shared" si="1"/>
        <v>0</v>
      </c>
      <c r="J15" s="987">
        <f t="shared" si="1"/>
        <v>1756.4365332796885</v>
      </c>
      <c r="K15" s="987">
        <f t="shared" si="1"/>
        <v>0</v>
      </c>
      <c r="L15" s="987">
        <f t="shared" ca="1" si="1"/>
        <v>0</v>
      </c>
      <c r="M15" s="987">
        <f t="shared" si="1"/>
        <v>15153.692910048534</v>
      </c>
      <c r="N15" s="987">
        <f t="shared" ca="1" si="1"/>
        <v>23797.384172602538</v>
      </c>
      <c r="O15" s="987">
        <f t="shared" si="1"/>
        <v>511.21000000000004</v>
      </c>
      <c r="P15" s="987">
        <f t="shared" si="1"/>
        <v>2440.5333333333333</v>
      </c>
      <c r="Q15" s="987">
        <f t="shared" ca="1" si="1"/>
        <v>681874.59689941711</v>
      </c>
    </row>
    <row r="17" spans="1:17">
      <c r="A17" s="487" t="s">
        <v>556</v>
      </c>
      <c r="B17" s="786">
        <f ca="1">huishoudens!B10</f>
        <v>0.18940113313655924</v>
      </c>
      <c r="C17" s="786">
        <f ca="1">huishoudens!C10</f>
        <v>0.23652419832006455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7838.2001803958901</v>
      </c>
      <c r="C22" s="477">
        <f t="shared" ref="C22:C32" ca="1" si="3">C4*$C$17</f>
        <v>0</v>
      </c>
      <c r="D22" s="477">
        <f t="shared" ref="D22:D32" si="4">D4*$D$17</f>
        <v>15377.7219348861</v>
      </c>
      <c r="E22" s="477">
        <f t="shared" ref="E22:E32" si="5">E4*$E$17</f>
        <v>1094.4297257506128</v>
      </c>
      <c r="F22" s="477">
        <f t="shared" ref="F22:F32" si="6">F4*$F$17</f>
        <v>4143.1562164473307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28453.508057479929</v>
      </c>
    </row>
    <row r="23" spans="1:17">
      <c r="A23" s="476" t="s">
        <v>156</v>
      </c>
      <c r="B23" s="477">
        <f t="shared" ca="1" si="2"/>
        <v>5440.4167097099789</v>
      </c>
      <c r="C23" s="477">
        <f t="shared" ca="1" si="3"/>
        <v>45.615381104583875</v>
      </c>
      <c r="D23" s="477">
        <f t="shared" ca="1" si="4"/>
        <v>6351.4446276967137</v>
      </c>
      <c r="E23" s="477">
        <f t="shared" si="5"/>
        <v>119.14959233178308</v>
      </c>
      <c r="F23" s="477">
        <f t="shared" ca="1" si="6"/>
        <v>1365.2378123949484</v>
      </c>
      <c r="G23" s="477">
        <f t="shared" si="7"/>
        <v>0</v>
      </c>
      <c r="H23" s="477">
        <f t="shared" si="8"/>
        <v>0</v>
      </c>
      <c r="I23" s="477">
        <f t="shared" si="9"/>
        <v>0</v>
      </c>
      <c r="J23" s="477">
        <f t="shared" si="10"/>
        <v>2.3292258334417015E-2</v>
      </c>
      <c r="K23" s="477">
        <f t="shared" si="11"/>
        <v>0</v>
      </c>
      <c r="L23" s="477">
        <f t="shared" ca="1" si="12"/>
        <v>0</v>
      </c>
      <c r="M23" s="477">
        <f t="shared" si="13"/>
        <v>0</v>
      </c>
      <c r="N23" s="477">
        <f t="shared" ca="1" si="14"/>
        <v>0</v>
      </c>
      <c r="O23" s="477">
        <f t="shared" si="15"/>
        <v>0</v>
      </c>
      <c r="P23" s="478">
        <f t="shared" si="16"/>
        <v>0</v>
      </c>
      <c r="Q23" s="476">
        <f t="shared" ref="Q23:Q32" ca="1" si="17">SUM(B23:P23)</f>
        <v>13321.887415496341</v>
      </c>
    </row>
    <row r="24" spans="1:17">
      <c r="A24" s="476" t="s">
        <v>194</v>
      </c>
      <c r="B24" s="477">
        <f t="shared" ca="1" si="2"/>
        <v>323.25091392416567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323.25091392416567</v>
      </c>
    </row>
    <row r="25" spans="1:17">
      <c r="A25" s="476" t="s">
        <v>112</v>
      </c>
      <c r="B25" s="477">
        <f t="shared" ca="1" si="2"/>
        <v>2291.5769052688615</v>
      </c>
      <c r="C25" s="477">
        <f t="shared" ca="1" si="3"/>
        <v>3075.9211735172648</v>
      </c>
      <c r="D25" s="477">
        <f t="shared" si="4"/>
        <v>7025.3518204114271</v>
      </c>
      <c r="E25" s="477">
        <f t="shared" si="5"/>
        <v>80.727673879292169</v>
      </c>
      <c r="F25" s="477">
        <f t="shared" si="6"/>
        <v>13457.883284627418</v>
      </c>
      <c r="G25" s="477">
        <f t="shared" si="7"/>
        <v>0</v>
      </c>
      <c r="H25" s="477">
        <f t="shared" si="8"/>
        <v>0</v>
      </c>
      <c r="I25" s="477">
        <f t="shared" si="9"/>
        <v>0</v>
      </c>
      <c r="J25" s="477">
        <f t="shared" si="10"/>
        <v>620.5247965938928</v>
      </c>
      <c r="K25" s="477">
        <f t="shared" si="11"/>
        <v>0</v>
      </c>
      <c r="L25" s="477">
        <f t="shared" si="12"/>
        <v>0</v>
      </c>
      <c r="M25" s="477">
        <f t="shared" si="13"/>
        <v>0</v>
      </c>
      <c r="N25" s="477">
        <f t="shared" si="14"/>
        <v>0</v>
      </c>
      <c r="O25" s="477">
        <f t="shared" si="15"/>
        <v>0</v>
      </c>
      <c r="P25" s="478">
        <f t="shared" si="16"/>
        <v>0</v>
      </c>
      <c r="Q25" s="476">
        <f t="shared" ca="1" si="17"/>
        <v>26551.985654298158</v>
      </c>
    </row>
    <row r="26" spans="1:17">
      <c r="A26" s="476" t="s">
        <v>635</v>
      </c>
      <c r="B26" s="477">
        <f t="shared" ca="1" si="2"/>
        <v>1493.8691029394656</v>
      </c>
      <c r="C26" s="477">
        <f t="shared" ca="1" si="3"/>
        <v>0</v>
      </c>
      <c r="D26" s="477">
        <f t="shared" si="4"/>
        <v>5540.7013283648257</v>
      </c>
      <c r="E26" s="477">
        <f t="shared" si="5"/>
        <v>225.93179487556526</v>
      </c>
      <c r="F26" s="477">
        <f t="shared" si="6"/>
        <v>800.12555222977039</v>
      </c>
      <c r="G26" s="477">
        <f t="shared" si="7"/>
        <v>0</v>
      </c>
      <c r="H26" s="477">
        <f t="shared" si="8"/>
        <v>0</v>
      </c>
      <c r="I26" s="477">
        <f t="shared" si="9"/>
        <v>0</v>
      </c>
      <c r="J26" s="477">
        <f t="shared" si="10"/>
        <v>1.2304439287824538</v>
      </c>
      <c r="K26" s="477">
        <f t="shared" si="11"/>
        <v>0</v>
      </c>
      <c r="L26" s="477">
        <f t="shared" si="12"/>
        <v>0</v>
      </c>
      <c r="M26" s="477">
        <f t="shared" si="13"/>
        <v>0</v>
      </c>
      <c r="N26" s="477">
        <f t="shared" si="14"/>
        <v>0</v>
      </c>
      <c r="O26" s="477">
        <f t="shared" si="15"/>
        <v>0</v>
      </c>
      <c r="P26" s="478">
        <f t="shared" si="16"/>
        <v>0</v>
      </c>
      <c r="Q26" s="476">
        <f t="shared" ca="1" si="17"/>
        <v>8061.8582223384101</v>
      </c>
    </row>
    <row r="27" spans="1:17" s="482" customFormat="1">
      <c r="A27" s="480" t="s">
        <v>561</v>
      </c>
      <c r="B27" s="780">
        <f t="shared" ca="1" si="2"/>
        <v>18.564408833669983</v>
      </c>
      <c r="C27" s="481">
        <f t="shared" ca="1" si="3"/>
        <v>0</v>
      </c>
      <c r="D27" s="481">
        <f t="shared" si="4"/>
        <v>66.765115559191841</v>
      </c>
      <c r="E27" s="481">
        <f t="shared" si="5"/>
        <v>115.29264172395706</v>
      </c>
      <c r="F27" s="481">
        <f t="shared" si="6"/>
        <v>0</v>
      </c>
      <c r="G27" s="481">
        <f t="shared" si="7"/>
        <v>63516.339305277841</v>
      </c>
      <c r="H27" s="481">
        <f t="shared" si="8"/>
        <v>9539.8766271051063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73256.838098499764</v>
      </c>
    </row>
    <row r="28" spans="1:17">
      <c r="A28" s="476" t="s">
        <v>551</v>
      </c>
      <c r="B28" s="477">
        <f t="shared" ca="1" si="2"/>
        <v>0</v>
      </c>
      <c r="C28" s="477">
        <f t="shared" ca="1" si="3"/>
        <v>0</v>
      </c>
      <c r="D28" s="477">
        <f t="shared" si="4"/>
        <v>0</v>
      </c>
      <c r="E28" s="477">
        <f t="shared" si="5"/>
        <v>0</v>
      </c>
      <c r="F28" s="477">
        <f t="shared" si="6"/>
        <v>0</v>
      </c>
      <c r="G28" s="477">
        <f t="shared" si="7"/>
        <v>585.55891836527621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585.55891836527621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264.44010055462923</v>
      </c>
      <c r="C32" s="477">
        <f t="shared" ca="1" si="3"/>
        <v>0</v>
      </c>
      <c r="D32" s="477">
        <f t="shared" si="4"/>
        <v>400.364472242771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664.80457279740017</v>
      </c>
    </row>
    <row r="33" spans="1:17" s="486" customFormat="1">
      <c r="A33" s="1039" t="s">
        <v>555</v>
      </c>
      <c r="B33" s="987">
        <f ca="1">SUM(B22:B32)</f>
        <v>17670.318321626663</v>
      </c>
      <c r="C33" s="987">
        <f t="shared" ref="C33:Q33" ca="1" si="18">SUM(C22:C32)</f>
        <v>3121.5365546218486</v>
      </c>
      <c r="D33" s="987">
        <f t="shared" ca="1" si="18"/>
        <v>34762.349299161026</v>
      </c>
      <c r="E33" s="987">
        <f t="shared" si="18"/>
        <v>1635.5314285612101</v>
      </c>
      <c r="F33" s="987">
        <f t="shared" ca="1" si="18"/>
        <v>19766.402865699467</v>
      </c>
      <c r="G33" s="987">
        <f t="shared" si="18"/>
        <v>64101.898223643118</v>
      </c>
      <c r="H33" s="987">
        <f t="shared" si="18"/>
        <v>9539.8766271051063</v>
      </c>
      <c r="I33" s="987">
        <f t="shared" si="18"/>
        <v>0</v>
      </c>
      <c r="J33" s="987">
        <f t="shared" si="18"/>
        <v>621.77853278100974</v>
      </c>
      <c r="K33" s="987">
        <f t="shared" si="18"/>
        <v>0</v>
      </c>
      <c r="L33" s="987">
        <f t="shared" ca="1" si="18"/>
        <v>0</v>
      </c>
      <c r="M33" s="987">
        <f t="shared" si="18"/>
        <v>0</v>
      </c>
      <c r="N33" s="987">
        <f t="shared" ca="1" si="18"/>
        <v>0</v>
      </c>
      <c r="O33" s="987">
        <f t="shared" si="18"/>
        <v>0</v>
      </c>
      <c r="P33" s="987">
        <f t="shared" si="18"/>
        <v>0</v>
      </c>
      <c r="Q33" s="987">
        <f t="shared" ca="1" si="18"/>
        <v>151219.69185319947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7062.0373135439922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6926.4531319935395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43.649999999999984</v>
      </c>
      <c r="C8" s="1056">
        <f>'SEAP template'!C76</f>
        <v>9194.625</v>
      </c>
      <c r="D8" s="1056">
        <f>'SEAP template'!D76</f>
        <v>10817.205882352942</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2185.0755882352946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14032.140445537532</v>
      </c>
      <c r="C10" s="1060">
        <f>SUM(C4:C9)</f>
        <v>9194.625</v>
      </c>
      <c r="D10" s="1060">
        <f t="shared" ref="D10:H10" si="0">SUM(D8:D9)</f>
        <v>10817.205882352942</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2185.0755882352946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0.18940113313655924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13135.178571428572</v>
      </c>
      <c r="D17" s="1057">
        <f>'SEAP template'!D87</f>
        <v>15453.151260504203</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3121.5365546218491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13135.178571428572</v>
      </c>
      <c r="D20" s="1060">
        <f t="shared" ref="D20:H20" si="2">SUM(D17:D19)</f>
        <v>15453.151260504203</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3121.5365546218491</v>
      </c>
    </row>
    <row r="22" spans="1:16">
      <c r="A22" s="487" t="s">
        <v>862</v>
      </c>
      <c r="B22" s="786" t="s">
        <v>856</v>
      </c>
      <c r="C22" s="786">
        <f ca="1">'EF ele_warmte'!B22</f>
        <v>0.23652419832006455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0.18940113313655924</v>
      </c>
      <c r="C17" s="524">
        <f ca="1">'EF ele_warmte'!B22</f>
        <v>0.23652419832006455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2019-08-12T08:34:38Z</dcterms:modified>
</cp:coreProperties>
</file>