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J19"/>
  <c r="I19"/>
  <c r="I89" i="14" s="1"/>
  <c r="I19" i="61" s="1"/>
  <c r="H19" i="18"/>
  <c r="M89" i="14" s="1"/>
  <c r="M19" i="61" s="1"/>
  <c r="G19" i="18"/>
  <c r="H89" i="14" s="1"/>
  <c r="H19" i="61" s="1"/>
  <c r="F19" i="18"/>
  <c r="E19"/>
  <c r="F89" i="14" s="1"/>
  <c r="F19" i="61" s="1"/>
  <c r="D19" i="18"/>
  <c r="D20" s="1"/>
  <c r="C19"/>
  <c r="B19"/>
  <c r="N18"/>
  <c r="L88" i="14" s="1"/>
  <c r="M18" i="18"/>
  <c r="K88" i="14" s="1"/>
  <c r="L18" i="18"/>
  <c r="K18"/>
  <c r="J18"/>
  <c r="I18"/>
  <c r="H18"/>
  <c r="G18"/>
  <c r="F18"/>
  <c r="G88" i="14" s="1"/>
  <c r="G18" i="61" s="1"/>
  <c r="E18" i="18"/>
  <c r="D18"/>
  <c r="E88" i="14" s="1"/>
  <c r="C18" i="18"/>
  <c r="B18"/>
  <c r="L9"/>
  <c r="L10" s="1"/>
  <c r="K9"/>
  <c r="I9"/>
  <c r="G9"/>
  <c r="G10" s="1"/>
  <c r="F9"/>
  <c r="D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N6" i="17" s="1"/>
  <c r="U61" i="18"/>
  <c r="L6" i="17" s="1"/>
  <c r="T61" i="18"/>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H88" i="14"/>
  <c r="H18" i="61" s="1"/>
  <c r="D88" i="14"/>
  <c r="D18" i="61" s="1"/>
  <c r="G12" i="18"/>
  <c r="F12"/>
  <c r="E12"/>
  <c r="D12"/>
  <c r="C12"/>
  <c r="K10"/>
  <c r="F10"/>
  <c r="E77" i="14"/>
  <c r="E9" i="61" s="1"/>
  <c r="B8" i="18"/>
  <c r="B6"/>
  <c r="B5"/>
  <c r="B73" i="14" s="1"/>
  <c r="B5" i="61" s="1"/>
  <c r="B4" i="18"/>
  <c r="B72" i="14" s="1"/>
  <c r="B4" i="61" s="1"/>
  <c r="D6" i="17"/>
  <c r="C6"/>
  <c r="B19" i="6"/>
  <c r="B18"/>
  <c r="B5"/>
  <c r="B6"/>
  <c r="C64" i="14" s="1"/>
  <c r="D14" i="48"/>
  <c r="P7"/>
  <c r="O7"/>
  <c r="O25" s="1"/>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28"/>
  <c r="O89" i="14"/>
  <c r="O19" i="61" s="1"/>
  <c r="N89" i="14"/>
  <c r="N19" i="61" s="1"/>
  <c r="L89" i="14"/>
  <c r="L19" i="61" s="1"/>
  <c r="K89" i="14"/>
  <c r="K19" i="61" s="1"/>
  <c r="J89" i="14"/>
  <c r="J19" i="61" s="1"/>
  <c r="E89" i="14"/>
  <c r="E19" i="61" s="1"/>
  <c r="D89" i="14"/>
  <c r="D19" i="61" s="1"/>
  <c r="M88" i="14"/>
  <c r="M18" i="61" s="1"/>
  <c r="J88" i="14"/>
  <c r="J18" i="61" s="1"/>
  <c r="I88" i="14"/>
  <c r="I18" i="61" s="1"/>
  <c r="F88" i="14"/>
  <c r="F18" i="61" s="1"/>
  <c r="O87" i="14"/>
  <c r="O17" i="61" s="1"/>
  <c r="N87" i="14"/>
  <c r="N17" i="61" s="1"/>
  <c r="L87" i="14"/>
  <c r="L17" i="61" s="1"/>
  <c r="K87" i="14"/>
  <c r="K17" i="61" s="1"/>
  <c r="H87" i="14"/>
  <c r="H17" i="61" s="1"/>
  <c r="G87" i="14"/>
  <c r="G17" i="61" s="1"/>
  <c r="G20" s="1"/>
  <c r="E87" i="14"/>
  <c r="E17" i="61" s="1"/>
  <c r="N77" i="14"/>
  <c r="L77"/>
  <c r="L9" i="61" s="1"/>
  <c r="K77" i="14"/>
  <c r="K9" i="61" s="1"/>
  <c r="G77" i="14"/>
  <c r="G9" i="61" s="1"/>
  <c r="O76" i="14"/>
  <c r="O8" i="61" s="1"/>
  <c r="N76" i="14"/>
  <c r="N8" i="61" s="1"/>
  <c r="L76" i="14"/>
  <c r="K76"/>
  <c r="H76"/>
  <c r="H8" i="61" s="1"/>
  <c r="G76" i="14"/>
  <c r="G8" i="61" s="1"/>
  <c r="G10" s="1"/>
  <c r="E76" i="14"/>
  <c r="E8" i="61" s="1"/>
  <c r="B75" i="14"/>
  <c r="B7" i="61" s="1"/>
  <c r="B74" i="14"/>
  <c r="B6" i="61" s="1"/>
  <c r="C29" i="14"/>
  <c r="Q54"/>
  <c r="Q56" s="1"/>
  <c r="P54"/>
  <c r="P56" s="1"/>
  <c r="L54"/>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I26"/>
  <c r="E25"/>
  <c r="C25"/>
  <c r="B14" i="48" s="1"/>
  <c r="Q14" s="1"/>
  <c r="H26" i="14"/>
  <c r="G22"/>
  <c r="R12"/>
  <c r="D5" i="17"/>
  <c r="K18" i="61" l="1"/>
  <c r="K20" s="1"/>
  <c r="K90" i="14"/>
  <c r="E90"/>
  <c r="E18" i="61"/>
  <c r="E20" s="1"/>
  <c r="L78" i="14"/>
  <c r="L8" i="61"/>
  <c r="L10" s="1"/>
  <c r="Q11" i="48"/>
  <c r="N10" i="61"/>
  <c r="C98" i="18"/>
  <c r="D101" s="1"/>
  <c r="O77" i="14"/>
  <c r="O9" i="61" s="1"/>
  <c r="O10" s="1"/>
  <c r="O30" i="48"/>
  <c r="N20" i="61"/>
  <c r="K78" i="14"/>
  <c r="K8" i="61"/>
  <c r="K10" s="1"/>
  <c r="L90" i="14"/>
  <c r="L18" i="61"/>
  <c r="L20" s="1"/>
  <c r="P27" i="48"/>
  <c r="P31"/>
  <c r="J22" i="14"/>
  <c r="P22"/>
  <c r="E10" i="61"/>
  <c r="B17" i="18"/>
  <c r="B20" s="1"/>
  <c r="N78" i="14"/>
  <c r="N9" i="61"/>
  <c r="B10" i="18"/>
  <c r="H9"/>
  <c r="M77" i="14" s="1"/>
  <c r="M9" i="61" s="1"/>
  <c r="O22" i="14"/>
  <c r="H20" i="61"/>
  <c r="P25" i="48"/>
  <c r="I77" i="14"/>
  <c r="I9" i="61" s="1"/>
  <c r="L13" i="15"/>
  <c r="B13"/>
  <c r="H90" i="14"/>
  <c r="N13" i="15"/>
  <c r="F77" i="14"/>
  <c r="F9" i="61" s="1"/>
  <c r="I101" i="18"/>
  <c r="H8" s="1"/>
  <c r="E101"/>
  <c r="E8" s="1"/>
  <c r="G101"/>
  <c r="I8" s="1"/>
  <c r="F101"/>
  <c r="H101"/>
  <c r="C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G78" i="14"/>
  <c r="R9"/>
  <c r="D22"/>
  <c r="E55"/>
  <c r="R25"/>
  <c r="E78"/>
  <c r="O90" l="1"/>
  <c r="O18" i="61"/>
  <c r="O20" s="1"/>
  <c r="O9" i="18"/>
  <c r="H78" i="14"/>
  <c r="H9" i="61"/>
  <c r="H10" s="1"/>
  <c r="O78" i="14"/>
  <c r="B88"/>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78" i="14" l="1"/>
  <c r="B9" i="6" s="1"/>
  <c r="P8" i="61"/>
  <c r="P10" s="1"/>
  <c r="Q90" i="14"/>
  <c r="B17" i="6" s="1"/>
  <c r="P17" i="61"/>
  <c r="P20" s="1"/>
  <c r="J78" i="14"/>
  <c r="J8" i="61"/>
  <c r="J10" s="1"/>
  <c r="J90" i="14"/>
  <c r="J17" i="61"/>
  <c r="J20" s="1"/>
  <c r="I90" i="14"/>
  <c r="B87"/>
  <c r="C87"/>
  <c r="C76"/>
  <c r="B76"/>
  <c r="B26" i="17"/>
  <c r="C78" i="14" l="1"/>
  <c r="C8" i="61"/>
  <c r="C10" s="1"/>
  <c r="B90" i="14"/>
  <c r="B17" i="61"/>
  <c r="B20" s="1"/>
  <c r="C90" i="14"/>
  <c r="C17" i="61"/>
  <c r="C2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8" i="48" l="1"/>
  <c r="I30"/>
  <c r="I27"/>
  <c r="I22"/>
  <c r="I32"/>
  <c r="I26"/>
  <c r="I25"/>
  <c r="I24"/>
  <c r="I29"/>
  <c r="I31"/>
  <c r="B4"/>
  <c r="C11" i="14"/>
  <c r="F24" i="48"/>
  <c r="F30"/>
  <c r="F32"/>
  <c r="F31"/>
  <c r="F29"/>
  <c r="F27"/>
  <c r="F28"/>
  <c r="N27"/>
  <c r="N31"/>
  <c r="N30"/>
  <c r="N32"/>
  <c r="N24"/>
  <c r="N29"/>
  <c r="N28"/>
  <c r="B10"/>
  <c r="C19" i="14"/>
  <c r="E31" i="48"/>
  <c r="E29"/>
  <c r="E24"/>
  <c r="E32"/>
  <c r="E30"/>
  <c r="E28"/>
  <c r="M29"/>
  <c r="M26"/>
  <c r="M30"/>
  <c r="M25"/>
  <c r="M24"/>
  <c r="M22"/>
  <c r="M32"/>
  <c r="M23"/>
  <c r="B8" i="9"/>
  <c r="B6" i="48" s="1"/>
  <c r="Q6" s="1"/>
  <c r="P11" i="14"/>
  <c r="O4" i="48"/>
  <c r="H29"/>
  <c r="H28"/>
  <c r="H32"/>
  <c r="H30"/>
  <c r="H26"/>
  <c r="H24"/>
  <c r="H22"/>
  <c r="H25"/>
  <c r="H23"/>
  <c r="K5"/>
  <c r="L10" i="14"/>
  <c r="L16" s="1"/>
  <c r="L27" s="1"/>
  <c r="D30" i="48"/>
  <c r="D28"/>
  <c r="D32"/>
  <c r="D29"/>
  <c r="D31"/>
  <c r="D24"/>
  <c r="Q10" i="14"/>
  <c r="P5" i="48"/>
  <c r="P23" s="1"/>
  <c r="C24" i="14"/>
  <c r="C26" s="1"/>
  <c r="B7" i="48"/>
  <c r="J15" i="16"/>
  <c r="D4" i="48"/>
  <c r="D22" s="1"/>
  <c r="E11" i="14"/>
  <c r="C4" i="48"/>
  <c r="D11" i="14"/>
  <c r="G23" i="48"/>
  <c r="G22"/>
  <c r="G30"/>
  <c r="G32"/>
  <c r="G24"/>
  <c r="G26"/>
  <c r="G29"/>
  <c r="G25"/>
  <c r="L29"/>
  <c r="L32"/>
  <c r="L28"/>
  <c r="L24"/>
  <c r="L27"/>
  <c r="L30"/>
  <c r="L22"/>
  <c r="L31"/>
  <c r="K32"/>
  <c r="K24"/>
  <c r="K27"/>
  <c r="K22"/>
  <c r="K29"/>
  <c r="K25"/>
  <c r="K30"/>
  <c r="K28"/>
  <c r="K26"/>
  <c r="K31"/>
  <c r="J32"/>
  <c r="J30"/>
  <c r="J24"/>
  <c r="J31"/>
  <c r="J29"/>
  <c r="J27"/>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H18" i="14"/>
  <c r="G13" i="48"/>
  <c r="G31" s="1"/>
  <c r="I5"/>
  <c r="J10" i="14"/>
  <c r="J16" s="1"/>
  <c r="J27" s="1"/>
  <c r="C22"/>
  <c r="K33" i="48"/>
  <c r="I20" i="15"/>
  <c r="J40" i="14" s="1"/>
  <c r="J46" s="1"/>
  <c r="J61" s="1"/>
  <c r="E9" i="48"/>
  <c r="E27" s="1"/>
  <c r="F20" i="14"/>
  <c r="F22" s="1"/>
  <c r="P22" i="48"/>
  <c r="P33" s="1"/>
  <c r="P15"/>
  <c r="Q13" i="14"/>
  <c r="Q16" s="1"/>
  <c r="Q27" s="1"/>
  <c r="P8" i="48"/>
  <c r="P26" s="1"/>
  <c r="O22"/>
  <c r="D9"/>
  <c r="D27" s="1"/>
  <c r="E20" i="14"/>
  <c r="E22" s="1"/>
  <c r="P10"/>
  <c r="O5" i="48"/>
  <c r="O23" s="1"/>
  <c r="C20" i="14"/>
  <c r="B9" i="48"/>
  <c r="J7"/>
  <c r="J25" s="1"/>
  <c r="K24" i="14"/>
  <c r="K26" s="1"/>
  <c r="K23" i="48"/>
  <c r="K15"/>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4" i="48" l="1"/>
  <c r="F11" i="14"/>
  <c r="J4" i="48"/>
  <c r="K11" i="14"/>
  <c r="O11"/>
  <c r="N4" i="48"/>
  <c r="N22" s="1"/>
  <c r="H19" i="14"/>
  <c r="G10" i="48"/>
  <c r="P13" i="14"/>
  <c r="O8" i="48"/>
  <c r="E7"/>
  <c r="E25" s="1"/>
  <c r="F24" i="14"/>
  <c r="F26" s="1"/>
  <c r="I23" i="48"/>
  <c r="I33" s="1"/>
  <c r="I15"/>
  <c r="Q63" i="14"/>
  <c r="E12" i="17"/>
  <c r="F54" i="14" s="1"/>
  <c r="F56" s="1"/>
  <c r="H14" i="22"/>
  <c r="I20" i="14" s="1"/>
  <c r="I22" s="1"/>
  <c r="I27" s="1"/>
  <c r="J63"/>
  <c r="M10" i="48"/>
  <c r="M28" s="1"/>
  <c r="N19" i="14"/>
  <c r="N22" s="1"/>
  <c r="N27" s="1"/>
  <c r="P16"/>
  <c r="P27" s="1"/>
  <c r="H9" i="48"/>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52" l="1"/>
  <c r="H61" s="1"/>
  <c r="F10"/>
  <c r="E5" i="48"/>
  <c r="E23" s="1"/>
  <c r="G28"/>
  <c r="Q10"/>
  <c r="E22"/>
  <c r="Q4"/>
  <c r="N52" i="14"/>
  <c r="N61" s="1"/>
  <c r="N63" s="1"/>
  <c r="G9" i="48"/>
  <c r="H20" i="14"/>
  <c r="R20" s="1"/>
  <c r="O26" i="48"/>
  <c r="O33" s="1"/>
  <c r="O15"/>
  <c r="J5"/>
  <c r="J23" s="1"/>
  <c r="K10" i="14"/>
  <c r="J22" i="48"/>
  <c r="R11" i="14"/>
  <c r="R19"/>
  <c r="R22" s="1"/>
  <c r="M15" i="48"/>
  <c r="M27"/>
  <c r="M33" s="1"/>
  <c r="Q9"/>
  <c r="H15"/>
  <c r="H27"/>
  <c r="H33" s="1"/>
  <c r="R24" i="14"/>
  <c r="R26" s="1"/>
  <c r="N18" i="16"/>
  <c r="E20" i="15"/>
  <c r="F40" i="14" s="1"/>
  <c r="F18" i="16"/>
  <c r="J18"/>
  <c r="E18"/>
  <c r="G18" i="22"/>
  <c r="H50" i="14" s="1"/>
  <c r="H18" i="22"/>
  <c r="I50" i="14" s="1"/>
  <c r="I52" s="1"/>
  <c r="I61" s="1"/>
  <c r="I63" s="1"/>
  <c r="J8" i="48" l="1"/>
  <c r="K13" i="14"/>
  <c r="G27" i="48"/>
  <c r="G33" s="1"/>
  <c r="G15"/>
  <c r="F13" i="14"/>
  <c r="E8" i="48"/>
  <c r="E26" s="1"/>
  <c r="K16" i="14"/>
  <c r="K27" s="1"/>
  <c r="K63" s="1"/>
  <c r="E33" i="48"/>
  <c r="F16" i="14"/>
  <c r="F27" s="1"/>
  <c r="H22"/>
  <c r="H27" s="1"/>
  <c r="H63" s="1"/>
  <c r="N8" i="48"/>
  <c r="N26" s="1"/>
  <c r="O13" i="14"/>
  <c r="F8" i="48"/>
  <c r="G13" i="14"/>
  <c r="R13" s="1"/>
  <c r="E22" i="16"/>
  <c r="F43" i="14" s="1"/>
  <c r="F46" s="1"/>
  <c r="F61" s="1"/>
  <c r="F22" i="16"/>
  <c r="G43" i="14" s="1"/>
  <c r="N22" i="16"/>
  <c r="O43" i="14" s="1"/>
  <c r="J22" i="16"/>
  <c r="K43" i="14" s="1"/>
  <c r="K46" s="1"/>
  <c r="K61" s="1"/>
  <c r="J26" i="48" l="1"/>
  <c r="J33" s="1"/>
  <c r="J15"/>
  <c r="F63" i="14"/>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<sst xmlns="http://schemas.openxmlformats.org/spreadsheetml/2006/main" count="2383" uniqueCount="881">
  <si>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</si>
  <si>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</si>
  <si>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</si>
  <si>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</si>
  <si>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</si>
  <si>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</si>
  <si>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</si>
  <si>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</si>
  <si>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</si>
  <si>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</si>
  <si>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</si>
  <si>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</si>
  <si>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</si>
  <si>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</si>
  <si>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</si>
  <si>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</si>
  <si>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</si>
  <si>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</si>
  <si>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</si>
  <si>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</si>
  <si>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</si>
  <si>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</si>
  <si>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</si>
  <si>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</si>
  <si>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</si>
  <si>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</si>
  <si>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</si>
  <si>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</si>
  <si>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</si>
  <si>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</si>
  <si>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</si>
  <si>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</si>
  <si>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</si>
  <si>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</si>
  <si>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</si>
  <si>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</si>
  <si>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</si>
  <si>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</si>
  <si>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</si>
  <si>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</si>
  <si>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</si>
  <si>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</si>
  <si>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</si>
  <si>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</si>
  <si>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</si>
  <si>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</si>
  <si>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</si>
  <si>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</si>
  <si>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</si>
  <si>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</si>
  <si>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</si>
  <si>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</si>
  <si>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</si>
  <si>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</si>
  <si>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</si>
  <si>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</si>
  <si>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</si>
  <si>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</si>
  <si>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</si>
  <si>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</si>
  <si>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</si>
  <si>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</si>
  <si>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</si>
  <si>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</si>
  <si>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</si>
  <si>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</si>
  <si>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</si>
  <si>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</si>
  <si>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</si>
  <si>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</si>
  <si>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</si>
  <si>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</si>
  <si>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</si>
  <si>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</si>
  <si>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</si>
  <si>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</si>
  <si>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</si>
  <si>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</si>
  <si>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</si>
  <si>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</si>
  <si>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</si>
  <si>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</si>
  <si>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</si>
  <si>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</si>
  <si>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</si>
  <si>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</si>
  <si>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</si>
  <si>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</si>
  <si>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</si>
  <si>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</si>
  <si>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</si>
  <si>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</si>
  <si>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</si>
  <si>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</si>
  <si>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</si>
  <si>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</si>
  <si>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</si>
  <si>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</si>
  <si>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</si>
  <si>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</si>
  <si>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</si>
  <si>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</si>
  <si>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</si>
  <si>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</si>
  <si>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</si>
  <si>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</si>
  <si>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</si>
  <si>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</si>
  <si>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</si>
  <si>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</si>
  <si>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</si>
  <si>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</si>
  <si>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</si>
  <si>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</si>
  <si>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</si>
  <si>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</si>
  <si>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</si>
  <si>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</si>
  <si>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</si>
  <si>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</si>
  <si>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</si>
  <si>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</si>
  <si>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</si>
  <si>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</si>
  <si>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</si>
  <si>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</si>
  <si>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</si>
  <si>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</si>
  <si>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</si>
  <si>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</si>
  <si>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</si>
  <si>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</si>
  <si>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</si>
  <si>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</si>
  <si>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</si>
  <si>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</si>
  <si>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</si>
  <si>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</si>
  <si>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</si>
  <si>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</si>
  <si>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</si>
  <si>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</si>
  <si>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</si>
  <si>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</si>
  <si>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</si>
  <si>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</si>
  <si>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</si>
  <si>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</si>
  <si>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</si>
  <si>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</si>
  <si>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</si>
  <si>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</si>
  <si>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</si>
  <si>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</si>
  <si>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</si>
  <si>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</si>
  <si>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</si>
  <si>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</si>
  <si>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</si>
  <si>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</si>
  <si>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</si>
  <si>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</si>
  <si>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</si>
  <si>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</si>
  <si>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</si>
  <si>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</si>
  <si>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</si>
  <si>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</si>
  <si>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</si>
  <si>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</si>
  <si>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</si>
  <si>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</si>
  <si>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</si>
  <si>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</si>
  <si>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</si>
  <si>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</si>
  <si>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</si>
  <si>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</si>
  <si>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</si>
  <si>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</si>
  <si>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</si>
  <si>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</si>
  <si>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</si>
  <si>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</si>
  <si>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</si>
  <si>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</si>
  <si>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</si>
  <si>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</si>
  <si>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</si>
  <si>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</si>
  <si>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</si>
  <si>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</si>
  <si>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</si>
  <si>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</si>
  <si>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</si>
  <si>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</si>
  <si>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</si>
  <si>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</si>
  <si>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</si>
  <si>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</si>
  <si>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</si>
  <si>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</si>
  <si>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</si>
  <si>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</si>
  <si>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</si>
  <si>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</si>
  <si>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</si>
  <si>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</si>
  <si>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</si>
  <si>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</si>
  <si>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</si>
  <si>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</si>
  <si>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</si>
  <si>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</si>
  <si>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</si>
  <si>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</si>
  <si>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</si>
  <si>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</si>
  <si>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</si>
  <si>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</si>
  <si>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</si>
  <si>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</si>
  <si>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</si>
  <si>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</si>
  <si>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</si>
  <si>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</si>
  <si>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</si>
  <si>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</si>
  <si>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</si>
  <si>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</si>
  <si>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</si>
  <si>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</si>
  <si>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</si>
  <si>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</si>
  <si>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</si>
  <si>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</si>
  <si>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</si>
  <si>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</si>
  <si>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</si>
  <si>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</si>
  <si>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</si>
  <si>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</si>
  <si>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</si>
  <si>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</si>
  <si>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</si>
  <si>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</si>
  <si>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</si>
  <si>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</si>
  <si>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</si>
  <si>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</si>
  <si>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</si>
  <si>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</si>
  <si>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</si>
  <si>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</si>
  <si>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</si>
  <si>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</si>
  <si>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</si>
  <si>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</si>
  <si>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</si>
  <si>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</si>
  <si>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</si>
  <si>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</si>
  <si>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</si>
  <si>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</si>
  <si>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</si>
  <si>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</si>
  <si>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</si>
  <si>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</si>
  <si>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</si>
  <si>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</si>
  <si>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</si>
  <si>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</si>
  <si>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</si>
  <si>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</si>
  <si>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</si>
  <si>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</si>
  <si>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</si>
  <si>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</si>
  <si>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</si>
  <si>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</si>
  <si>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</si>
  <si>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</si>
  <si>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</si>
  <si>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</si>
  <si>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</si>
  <si>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</si>
  <si>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</si>
  <si>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</si>
  <si>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</si>
  <si>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</si>
  <si>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</si>
  <si>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</si>
  <si>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</si>
  <si>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</si>
  <si>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</si>
  <si>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</si>
  <si>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</si>
  <si>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</si>
  <si>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</si>
  <si>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</si>
  <si>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</si>
  <si>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</si>
  <si>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</si>
  <si>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</si>
  <si>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</si>
  <si>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</si>
  <si>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</si>
  <si>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</si>
  <si>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</si>
  <si>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</si>
  <si>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</si>
  <si>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</si>
  <si>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</si>
  <si>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</si>
  <si>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</si>
  <si>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</si>
  <si>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</si>
  <si>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</si>
  <si>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</si>
  <si>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</si>
  <si>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</si>
  <si>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</si>
  <si>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</si>
  <si>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</si>
  <si>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</si>
  <si>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</si>
  <si>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</si>
  <si>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</si>
  <si>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</si>
  <si>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</si>
  <si>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</si>
  <si>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</si>
  <si>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</si>
  <si>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</si>
  <si>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</si>
  <si>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</si>
  <si>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</si>
  <si>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</si>
  <si>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</si>
  <si>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</si>
  <si>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</si>
  <si>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</si>
  <si>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</si>
  <si>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</si>
  <si>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</si>
  <si>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</si>
  <si>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</si>
  <si>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</si>
  <si>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</si>
  <si>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</si>
  <si>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</si>
  <si>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</si>
  <si>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</si>
  <si>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</si>
  <si>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</si>
  <si>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</si>
  <si>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</si>
  <si>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</si>
  <si>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</si>
  <si>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</si>
  <si>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</si>
  <si>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</si>
  <si>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</si>
  <si>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</si>
  <si>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</si>
  <si>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</si>
  <si>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</si>
  <si>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</si>
  <si>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</si>
  <si>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</si>
  <si>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</si>
  <si>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</si>
  <si>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</si>
  <si>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</si>
  <si>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</si>
  <si>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</si>
  <si>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</si>
  <si>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</si>
  <si>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</si>
  <si>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</si>
  <si>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</si>
  <si>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</si>
  <si>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</si>
  <si>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</si>
  <si>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</si>
  <si>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</si>
  <si>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</si>
  <si>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</si>
  <si>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</si>
  <si>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</si>
  <si>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</si>
  <si>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</si>
  <si>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</si>
  <si>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</si>
  <si>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</si>
  <si>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</si>
  <si>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</si>
  <si>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</si>
  <si>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</si>
  <si>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</si>
  <si>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</si>
  <si>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</si>
  <si>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</si>
  <si>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</si>
  <si>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</si>
  <si>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</si>
  <si>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</si>
  <si>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</si>
  <si>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</si>
  <si>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</si>
  <si>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</si>
  <si>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</si>
  <si>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</si>
  <si>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</si>
  <si>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</si>
  <si>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</si>
  <si>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</si>
  <si>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</si>
  <si>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</si>
  <si>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</si>
  <si>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</si>
  <si>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</si>
  <si>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</si>
  <si>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</si>
  <si>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</si>
  <si>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</si>
  <si>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</si>
  <si>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</si>
  <si>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</si>
  <si>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</si>
  <si>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</si>
  <si>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</si>
  <si>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</si>
  <si>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</si>
  <si>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</si>
  <si>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</si>
  <si>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</si>
  <si>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</si>
  <si>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</si>
  <si>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</si>
  <si>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</si>
  <si>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</si>
  <si>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</si>
  <si>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</si>
  <si>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</si>
  <si>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</si>
  <si>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</si>
  <si>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</si>
  <si>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</si>
  <si>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</si>
  <si>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</si>
  <si>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</si>
  <si>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</si>
  <si>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</si>
  <si>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</si>
  <si>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</si>
  <si>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</si>
  <si>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</si>
  <si>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</si>
  <si>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</si>
  <si>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</si>
  <si>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</si>
  <si>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</si>
  <si>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</si>
  <si>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</si>
  <si>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</si>
  <si>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</si>
  <si>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</si>
  <si>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</si>
  <si>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</si>
  <si>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</si>
  <si>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</si>
  <si>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</si>
  <si>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</si>
  <si>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</si>
  <si>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</si>
  <si>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</si>
  <si>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</si>
  <si>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</si>
  <si>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</si>
  <si>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</si>
  <si>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</si>
  <si>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</si>
  <si>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</si>
  <si>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</si>
  <si>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</si>
  <si>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</si>
  <si>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</si>
  <si>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</si>
  <si>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</si>
  <si>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</si>
  <si>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</si>
  <si>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</si>
  <si>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</si>
  <si>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</si>
  <si>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</si>
  <si>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</si>
  <si>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</si>
  <si>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</si>
  <si>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</si>
  <si>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</si>
  <si>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</si>
  <si>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</si>
  <si>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</si>
  <si>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</si>
  <si>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</si>
  <si>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</si>
  <si>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</si>
  <si>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</si>
  <si>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</si>
  <si>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</si>
  <si>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</si>
  <si>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</si>
  <si>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</si>
  <si>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</si>
  <si>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</si>
  <si>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</si>
  <si>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</si>
  <si>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</si>
  <si>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</si>
  <si>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</si>
  <si>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</si>
  <si>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</si>
  <si>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</si>
  <si>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</si>
  <si>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</si>
  <si>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</si>
  <si>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</si>
  <si>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</si>
  <si>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</si>
  <si>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</si>
  <si>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</si>
  <si>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</si>
  <si>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</si>
  <si>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</si>
  <si>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</si>
  <si>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</si>
  <si>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</si>
  <si>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</si>
  <si>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</si>
  <si>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</si>
  <si>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</si>
  <si>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</si>
  <si>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</si>
  <si>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</si>
  <si>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</si>
  <si>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</si>
  <si>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</si>
  <si>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</si>
  <si>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</si>
  <si>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</si>
  <si>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</si>
  <si>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</si>
  <si>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</si>
  <si>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</si>
  <si>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</si>
  <si>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</si>
  <si>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</si>
  <si>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</si>
  <si>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</si>
  <si>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</si>
  <si>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</si>
  <si>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</si>
  <si>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</si>
  <si>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</si>
  <si>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</si>
  <si>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</si>
  <si>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</si>
  <si>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</si>
  <si>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</si>
  <si>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</si>
  <si>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</si>
  <si>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</si>
  <si>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</si>
  <si>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</si>
  <si>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</si>
  <si>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</si>
  <si>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</si>
  <si>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</si>
  <si>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</si>
  <si>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</si>
  <si>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</si>
  <si>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</si>
  <si>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</si>
  <si>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</si>
  <si>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</si>
  <si>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</si>
  <si>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</si>
  <si>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</si>
  <si>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</si>
  <si>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</si>
  <si>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</si>
  <si>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</si>
  <si>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</si>
  <si>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</si>
  <si>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</si>
  <si>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</si>
  <si>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</si>
  <si>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</si>
  <si>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</si>
  <si>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</si>
  <si>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</si>
  <si>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</si>
  <si>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</si>
  <si>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</si>
  <si>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</si>
  <si>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</si>
  <si>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</si>
  <si>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</si>
  <si>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</si>
  <si>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</si>
  <si>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</si>
  <si>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</si>
  <si>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</si>
  <si>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</si>
  <si>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</si>
  <si>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</si>
  <si>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</si>
  <si>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</si>
  <si>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</si>
  <si>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</si>
  <si>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</si>
  <si>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</si>
  <si>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</si>
  <si>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</si>
  <si>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</si>
  <si>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</si>
  <si>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</si>
  <si>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</si>
  <si>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</si>
  <si>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</si>
  <si>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</si>
  <si>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</si>
  <si>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</si>
  <si>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</si>
  <si>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</si>
  <si>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</si>
  <si>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</si>
  <si>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</si>
  <si>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</si>
  <si>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</si>
  <si>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</si>
  <si>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</si>
  <si>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</si>
  <si>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</si>
  <si>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</si>
  <si>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</si>
  <si>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</si>
  <si>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</si>
  <si>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</si>
  <si>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</si>
  <si>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</si>
  <si>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</si>
  <si>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</si>
  <si>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</si>
  <si>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</si>
  <si>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</si>
  <si>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</si>
  <si>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</si>
  <si>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</si>
  <si>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</si>
  <si>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</si>
  <si>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</si>
  <si>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</si>
  <si>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</si>
  <si>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</si>
  <si>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</si>
  <si>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</si>
  <si>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</si>
  <si>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</si>
  <si>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</si>
  <si>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</si>
  <si>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</si>
  <si>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</si>
  <si>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</si>
  <si>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</si>
  <si>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</si>
  <si>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</si>
  <si>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</si>
  <si>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</si>
  <si>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</si>
  <si>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</si>
  <si>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</si>
  <si>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</si>
  <si>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</si>
  <si>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</si>
  <si>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</si>
  <si>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</si>
  <si>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</si>
  <si>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</si>
  <si>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</si>
  <si>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</si>
  <si>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</si>
  <si>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</si>
  <si>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</si>
  <si>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</si>
  <si>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</si>
  <si>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</si>
  <si>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</si>
  <si>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</si>
  <si>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</si>
  <si>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</si>
  <si>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</si>
  <si>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</si>
  <si>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</si>
  <si>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</si>
  <si>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</si>
  <si>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</si>
  <si>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</si>
  <si>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</si>
  <si>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</si>
  <si>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</si>
  <si>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</si>
  <si>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</si>
  <si>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</si>
  <si>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</si>
  <si>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</si>
  <si>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</si>
  <si>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</si>
  <si>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</si>
  <si>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</si>
  <si>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</si>
  <si>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</si>
  <si>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</si>
  <si>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</si>
  <si>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</si>
  <si>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</si>
  <si>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</si>
  <si>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</si>
  <si>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</si>
  <si>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</si>
  <si>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</si>
  <si>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</si>
  <si>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</si>
  <si>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</si>
  <si>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</si>
  <si>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</si>
  <si>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</si>
  <si>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</si>
  <si>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</si>
  <si>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</si>
  <si>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</si>
  <si>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</si>
  <si>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</si>
  <si>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</si>
  <si>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</si>
  <si>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</si>
  <si>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</si>
  <si>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</si>
  <si>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</si>
  <si>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</si>
  <si>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</si>
  <si>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</si>
  <si>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</si>
  <si>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</si>
  <si>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</si>
  <si>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</si>
  <si>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</si>
  <si>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</si>
  <si>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</si>
  <si>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</si>
  <si>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</si>
  <si>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</si>
  <si>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</si>
  <si>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</si>
  <si>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</si>
  <si>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</si>
  <si>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</si>
  <si>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</si>
  <si>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</si>
  <si>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</si>
  <si>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</si>
  <si>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</si>
  <si>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</si>
  <si>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</si>
  <si>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</si>
  <si>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</si>
  <si>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</si>
  <si>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</si>
  <si>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</si>
  <si>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</si>
  <si>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</si>
  <si>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</si>
  <si>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</si>
  <si>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</si>
  <si>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</si>
  <si>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</si>
  <si>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</si>
  <si>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</si>
  <si>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</si>
  <si>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</si>
  <si>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</si>
  <si>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</si>
  <si>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</si>
  <si>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</si>
  <si>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</si>
  <si>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</si>
  <si>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</si>
  <si>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</si>
  <si>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</si>
  <si>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</si>
  <si>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</si>
  <si>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</si>
  <si>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</si>
  <si>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</si>
  <si>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</si>
  <si>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</si>
  <si>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</si>
  <si>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</si>
  <si>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</si>
  <si>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</si>
  <si>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</si>
  <si>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</si>
  <si>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</si>
  <si>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</si>
  <si>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</si>
  <si>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</si>
  <si>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</si>
  <si>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</si>
  <si>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</si>
  <si>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</si>
  <si>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</si>
  <si>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</si>
  <si>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</si>
  <si>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</si>
  <si>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</si>
  <si>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</si>
  <si>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</si>
  <si>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</si>
  <si>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</si>
  <si>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</si>
  <si>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</si>
  <si>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</si>
  <si>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</si>
  <si>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</si>
  <si>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</si>
  <si>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</si>
  <si>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</si>
  <si>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</si>
  <si>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</si>
  <si>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</si>
  <si>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</si>
  <si>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</si>
  <si>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</si>
  <si>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</si>
  <si>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</si>
  <si>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</si>
  <si>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</si>
  <si>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</si>
  <si>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</si>
  <si>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</si>
  <si>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</si>
  <si>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</si>
  <si>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</si>
  <si>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</si>
  <si>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</si>
  <si>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</si>
  <si>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</si>
  <si>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</si>
  <si>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</si>
  <si>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</si>
  <si>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</si>
  <si>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</si>
  <si>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</si>
  <si>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</si>
  <si>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</si>
  <si>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</si>
  <si>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</si>
  <si>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</si>
  <si>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</si>
  <si>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</si>
  <si>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</si>
  <si>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</si>
  <si>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44020</t>
  </si>
  <si>
    <t>GAVERE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</si>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</sst>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110112.20290651503</c:v>
                </c:pt>
                <c:pt idx="1">
                  <c:v>29446.031720636736</c:v>
                </c:pt>
                <c:pt idx="2">
                  <c:v>972.65899999999999</c:v>
                </c:pt>
                <c:pt idx="3">
                  <c:v>4855.1395635834679</c:v>
                </c:pt>
                <c:pt idx="4">
                  <c:v>12449.641929664327</c:v>
                </c:pt>
                <c:pt idx="5">
                  <c:v>60051.604944633378</c:v>
                </c:pt>
                <c:pt idx="6">
                  <c:v>1164.3677736205991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92768"/>
        <c:axId val="75794304"/>
      </c:barChart>
      <c:catAx>
        <c:axId val="75792768"/>
        <c:scaling>
          <c:orientation val="minMax"/>
        </c:scaling>
        <c:axPos val="b"/>
        <c:numFmt formatCode="General" sourceLinked="0"/>
        <c:tickLblPos val="nextTo"/>
        <c:crossAx val="75794304"/>
        <c:crosses val="autoZero"/>
        <c:auto val="1"/>
        <c:lblAlgn val="ctr"/>
        <c:lblOffset val="100"/>
      </c:catAx>
      <c:valAx>
        <c:axId val="75794304"/>
        <c:scaling>
          <c:orientation val="minMax"/>
        </c:scaling>
        <c:axPos val="l"/>
        <c:majorGridlines>
          <c:spPr>
            <a:ln>
              <a:noFill/>
            </a:ln>
          </c:spPr>
        </c:majorGridlines>
        <c:numFmt formatCode="#,##0" sourceLinked="1"/>
        <c:tickLblPos val="nextTo"/>
        <c:crossAx val="757927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110112.20290651503</c:v>
                </c:pt>
                <c:pt idx="1">
                  <c:v>29446.031720636736</c:v>
                </c:pt>
                <c:pt idx="2">
                  <c:v>972.65899999999999</c:v>
                </c:pt>
                <c:pt idx="3">
                  <c:v>4855.1395635834679</c:v>
                </c:pt>
                <c:pt idx="4">
                  <c:v>12449.641929664327</c:v>
                </c:pt>
                <c:pt idx="5">
                  <c:v>60051.604944633378</c:v>
                </c:pt>
                <c:pt idx="6">
                  <c:v>1164.3677736205991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22306.479873672022</c:v>
                </c:pt>
                <c:pt idx="2">
                  <c:v>5790.9324339686427</c:v>
                </c:pt>
                <c:pt idx="3">
                  <c:v>192.5758294306134</c:v>
                </c:pt>
                <c:pt idx="4">
                  <c:v>1226.0760943874457</c:v>
                </c:pt>
                <c:pt idx="5">
                  <c:v>2316.774103851385</c:v>
                </c:pt>
                <c:pt idx="6">
                  <c:v>15015.556345483463</c:v>
                </c:pt>
                <c:pt idx="7">
                  <c:v>294.17817394844769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9888"/>
        <c:axId val="156471680"/>
      </c:barChart>
      <c:catAx>
        <c:axId val="156469888"/>
        <c:scaling>
          <c:orientation val="minMax"/>
        </c:scaling>
        <c:axPos val="b"/>
        <c:numFmt formatCode="General" sourceLinked="0"/>
        <c:tickLblPos val="nextTo"/>
        <c:crossAx val="156471680"/>
        <c:crosses val="autoZero"/>
        <c:auto val="1"/>
        <c:lblAlgn val="ctr"/>
        <c:lblOffset val="100"/>
      </c:catAx>
      <c:valAx>
        <c:axId val="156471680"/>
        <c:scaling>
          <c:orientation val="minMax"/>
        </c:scaling>
        <c:axPos val="l"/>
        <c:majorGridlines>
          <c:spPr>
            <a:ln>
              <a:noFill/>
            </a:ln>
          </c:spPr>
        </c:majorGridlines>
        <c:numFmt formatCode="#,##0" sourceLinked="1"/>
        <c:tickLblPos val="nextTo"/>
        <c:crossAx val="15646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22306.479873672022</c:v>
                </c:pt>
                <c:pt idx="2">
                  <c:v>5790.9324339686427</c:v>
                </c:pt>
                <c:pt idx="3">
                  <c:v>192.5758294306134</c:v>
                </c:pt>
                <c:pt idx="4">
                  <c:v>1226.0760943874457</c:v>
                </c:pt>
                <c:pt idx="5">
                  <c:v>2316.774103851385</c:v>
                </c:pt>
                <c:pt idx="6">
                  <c:v>15015.556345483463</c:v>
                </c:pt>
                <c:pt idx="7">
                  <c:v>294.17817394844769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44020</v>
      </c>
      <c r="B6" s="415"/>
      <c r="C6" s="416"/>
    </row>
    <row r="7" spans="1:7" s="413" customFormat="1" ht="15.75" customHeight="1">
      <c r="A7" s="417" t="str">
        <f>txtMunicipality</f>
        <v>GAVERE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14070.936508277373</v>
      </c>
      <c r="D10" s="1013">
        <f ca="1">tertiair!C16</f>
        <v>0</v>
      </c>
      <c r="E10" s="1013">
        <f ca="1">tertiair!D16</f>
        <v>12501.867821584317</v>
      </c>
      <c r="F10" s="1013">
        <f>tertiair!E16</f>
        <v>230.70227459503909</v>
      </c>
      <c r="G10" s="1013">
        <f ca="1">tertiair!F16</f>
        <v>2321.5704272902585</v>
      </c>
      <c r="H10" s="1013">
        <f>tertiair!G16</f>
        <v>0</v>
      </c>
      <c r="I10" s="1013">
        <f>tertiair!H16</f>
        <v>0</v>
      </c>
      <c r="J10" s="1013">
        <f>tertiair!I16</f>
        <v>0</v>
      </c>
      <c r="K10" s="1013">
        <f>tertiair!J16</f>
        <v>3.0845743983678155E-2</v>
      </c>
      <c r="L10" s="1013">
        <f>tertiair!K16</f>
        <v>0</v>
      </c>
      <c r="M10" s="1013">
        <f ca="1">tertiair!L16</f>
        <v>0</v>
      </c>
      <c r="N10" s="1013">
        <f>tertiair!M16</f>
        <v>0</v>
      </c>
      <c r="O10" s="1013">
        <f ca="1">tertiair!N16</f>
        <v>1230.1295098124338</v>
      </c>
      <c r="P10" s="1013">
        <f>tertiair!O16</f>
        <v>6.2533333333333339</v>
      </c>
      <c r="Q10" s="1014">
        <f>tertiair!P16</f>
        <v>57.2</v>
      </c>
      <c r="R10" s="700">
        <f ca="1">SUM(C10:Q10)</f>
        <v>30418.690720636736</v>
      </c>
      <c r="S10" s="67"/>
    </row>
    <row r="11" spans="1:19" s="473" customFormat="1">
      <c r="A11" s="809" t="s">
        <v>225</v>
      </c>
      <c r="B11" s="814"/>
      <c r="C11" s="1013">
        <f>huishoudens!B8</f>
        <v>25242.199658500092</v>
      </c>
      <c r="D11" s="1013">
        <f>huishoudens!C8</f>
        <v>0</v>
      </c>
      <c r="E11" s="1013">
        <f>huishoudens!D8</f>
        <v>30816.829167812368</v>
      </c>
      <c r="F11" s="1013">
        <f>huishoudens!E8</f>
        <v>2382.9070551152327</v>
      </c>
      <c r="G11" s="1013">
        <f>huishoudens!F8</f>
        <v>38658.978441742605</v>
      </c>
      <c r="H11" s="1013">
        <f>huishoudens!G8</f>
        <v>0</v>
      </c>
      <c r="I11" s="1013">
        <f>huishoudens!H8</f>
        <v>0</v>
      </c>
      <c r="J11" s="1013">
        <f>huishoudens!I8</f>
        <v>0</v>
      </c>
      <c r="K11" s="1013">
        <f>huishoudens!J8</f>
        <v>624.10778732549909</v>
      </c>
      <c r="L11" s="1013">
        <f>huishoudens!K8</f>
        <v>0</v>
      </c>
      <c r="M11" s="1013">
        <f>huishoudens!L8</f>
        <v>0</v>
      </c>
      <c r="N11" s="1013">
        <f>huishoudens!M8</f>
        <v>0</v>
      </c>
      <c r="O11" s="1013">
        <f>huishoudens!N8</f>
        <v>11185.277462685905</v>
      </c>
      <c r="P11" s="1013">
        <f>huishoudens!O8</f>
        <v>248.57000000000002</v>
      </c>
      <c r="Q11" s="1014">
        <f>huishoudens!P8</f>
        <v>953.33333333333326</v>
      </c>
      <c r="R11" s="700">
        <f>SUM(C11:Q11)</f>
        <v>110112.20290651503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4831.2677458126645</v>
      </c>
      <c r="D13" s="1013">
        <f>industrie!C18</f>
        <v>0</v>
      </c>
      <c r="E13" s="1013">
        <f>industrie!D18</f>
        <v>3366.1345227517368</v>
      </c>
      <c r="F13" s="1013">
        <f>industrie!E18</f>
        <v>664.89566022517056</v>
      </c>
      <c r="G13" s="1013">
        <f>industrie!F18</f>
        <v>1972.1887864966616</v>
      </c>
      <c r="H13" s="1013">
        <f>industrie!G18</f>
        <v>0</v>
      </c>
      <c r="I13" s="1013">
        <f>industrie!H18</f>
        <v>0</v>
      </c>
      <c r="J13" s="1013">
        <f>industrie!I18</f>
        <v>0</v>
      </c>
      <c r="K13" s="1013">
        <f>industrie!J18</f>
        <v>7.8279881443080663</v>
      </c>
      <c r="L13" s="1013">
        <f>industrie!K18</f>
        <v>0</v>
      </c>
      <c r="M13" s="1013">
        <f>industrie!L18</f>
        <v>0</v>
      </c>
      <c r="N13" s="1013">
        <f>industrie!M18</f>
        <v>0</v>
      </c>
      <c r="O13" s="1013">
        <f>industrie!N18</f>
        <v>1607.3272262337848</v>
      </c>
      <c r="P13" s="1013">
        <f>industrie!O18</f>
        <v>0</v>
      </c>
      <c r="Q13" s="1014">
        <f>industrie!P18</f>
        <v>0</v>
      </c>
      <c r="R13" s="700">
        <f>SUM(C13:Q13)</f>
        <v>12449.641929664327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44144.403912590125</v>
      </c>
      <c r="D16" s="732">
        <f t="shared" ref="D16:R16" ca="1" si="0">SUM(D9:D15)</f>
        <v>0</v>
      </c>
      <c r="E16" s="732">
        <f t="shared" ca="1" si="0"/>
        <v>46684.831512148427</v>
      </c>
      <c r="F16" s="732">
        <f t="shared" si="0"/>
        <v>3278.5049899354422</v>
      </c>
      <c r="G16" s="732">
        <f t="shared" ca="1" si="0"/>
        <v>42952.737655529527</v>
      </c>
      <c r="H16" s="732">
        <f t="shared" si="0"/>
        <v>0</v>
      </c>
      <c r="I16" s="732">
        <f t="shared" si="0"/>
        <v>0</v>
      </c>
      <c r="J16" s="732">
        <f t="shared" si="0"/>
        <v>0</v>
      </c>
      <c r="K16" s="732">
        <f t="shared" si="0"/>
        <v>631.96662121379086</v>
      </c>
      <c r="L16" s="732">
        <f t="shared" si="0"/>
        <v>0</v>
      </c>
      <c r="M16" s="732">
        <f t="shared" ca="1" si="0"/>
        <v>0</v>
      </c>
      <c r="N16" s="732">
        <f t="shared" si="0"/>
        <v>0</v>
      </c>
      <c r="O16" s="732">
        <f t="shared" ca="1" si="0"/>
        <v>14022.734198732123</v>
      </c>
      <c r="P16" s="732">
        <f t="shared" si="0"/>
        <v>254.82333333333335</v>
      </c>
      <c r="Q16" s="732">
        <f t="shared" si="0"/>
        <v>1010.5333333333333</v>
      </c>
      <c r="R16" s="732">
        <f t="shared" ca="1" si="0"/>
        <v>152980.53555681609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1101.7909136645981</v>
      </c>
      <c r="I19" s="1013">
        <f>transport!H54</f>
        <v>0</v>
      </c>
      <c r="J19" s="1013">
        <f>transport!I54</f>
        <v>0</v>
      </c>
      <c r="K19" s="1013">
        <f>transport!J54</f>
        <v>0</v>
      </c>
      <c r="L19" s="1013">
        <f>transport!K54</f>
        <v>0</v>
      </c>
      <c r="M19" s="1013">
        <f>transport!L54</f>
        <v>0</v>
      </c>
      <c r="N19" s="1013">
        <f>transport!M54</f>
        <v>62.57685995600098</v>
      </c>
      <c r="O19" s="1013">
        <f>transport!N54</f>
        <v>0</v>
      </c>
      <c r="P19" s="1013">
        <f>transport!O54</f>
        <v>0</v>
      </c>
      <c r="Q19" s="1014">
        <f>transport!P54</f>
        <v>0</v>
      </c>
      <c r="R19" s="700">
        <f>SUM(C19:Q19)</f>
        <v>1164.3677736205991</v>
      </c>
      <c r="S19" s="67"/>
    </row>
    <row r="20" spans="1:19" s="473" customFormat="1">
      <c r="A20" s="809" t="s">
        <v>307</v>
      </c>
      <c r="B20" s="814"/>
      <c r="C20" s="1013">
        <f>transport!B14</f>
        <v>24.448174411295266</v>
      </c>
      <c r="D20" s="1013">
        <f>transport!C14</f>
        <v>0</v>
      </c>
      <c r="E20" s="1013">
        <f>transport!D14</f>
        <v>103.14133888827446</v>
      </c>
      <c r="F20" s="1013">
        <f>transport!E14</f>
        <v>134.02911314463256</v>
      </c>
      <c r="G20" s="1013">
        <f>transport!F14</f>
        <v>0</v>
      </c>
      <c r="H20" s="1013">
        <f>transport!G14</f>
        <v>45288.213730208889</v>
      </c>
      <c r="I20" s="1013">
        <f>transport!H14</f>
        <v>11516.078914062633</v>
      </c>
      <c r="J20" s="1013">
        <f>transport!I14</f>
        <v>0</v>
      </c>
      <c r="K20" s="1013">
        <f>transport!J14</f>
        <v>0</v>
      </c>
      <c r="L20" s="1013">
        <f>transport!K14</f>
        <v>0</v>
      </c>
      <c r="M20" s="1013">
        <f>transport!L14</f>
        <v>0</v>
      </c>
      <c r="N20" s="1013">
        <f>transport!M14</f>
        <v>2985.6936739176581</v>
      </c>
      <c r="O20" s="1013">
        <f>transport!N14</f>
        <v>0</v>
      </c>
      <c r="P20" s="1013">
        <f>transport!O14</f>
        <v>0</v>
      </c>
      <c r="Q20" s="1014">
        <f>transport!P14</f>
        <v>0</v>
      </c>
      <c r="R20" s="700">
        <f>SUM(C20:Q20)</f>
        <v>60051.604944633378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24.448174411295266</v>
      </c>
      <c r="D22" s="812">
        <f t="shared" ref="D22:R22" si="1">SUM(D18:D21)</f>
        <v>0</v>
      </c>
      <c r="E22" s="812">
        <f t="shared" si="1"/>
        <v>103.14133888827446</v>
      </c>
      <c r="F22" s="812">
        <f t="shared" si="1"/>
        <v>134.02911314463256</v>
      </c>
      <c r="G22" s="812">
        <f t="shared" si="1"/>
        <v>0</v>
      </c>
      <c r="H22" s="812">
        <f t="shared" si="1"/>
        <v>46390.004643873486</v>
      </c>
      <c r="I22" s="812">
        <f t="shared" si="1"/>
        <v>11516.078914062633</v>
      </c>
      <c r="J22" s="812">
        <f t="shared" si="1"/>
        <v>0</v>
      </c>
      <c r="K22" s="812">
        <f t="shared" si="1"/>
        <v>0</v>
      </c>
      <c r="L22" s="812">
        <f t="shared" si="1"/>
        <v>0</v>
      </c>
      <c r="M22" s="812">
        <f t="shared" si="1"/>
        <v>0</v>
      </c>
      <c r="N22" s="812">
        <f t="shared" si="1"/>
        <v>3048.2705338736591</v>
      </c>
      <c r="O22" s="812">
        <f t="shared" si="1"/>
        <v>0</v>
      </c>
      <c r="P22" s="812">
        <f t="shared" si="1"/>
        <v>0</v>
      </c>
      <c r="Q22" s="812">
        <f t="shared" si="1"/>
        <v>0</v>
      </c>
      <c r="R22" s="812">
        <f t="shared" si="1"/>
        <v>61215.972718253979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847.36053089341692</v>
      </c>
      <c r="D24" s="1013">
        <f>+landbouw!C8</f>
        <v>0</v>
      </c>
      <c r="E24" s="1013">
        <f>+landbouw!D8</f>
        <v>330.04999215631091</v>
      </c>
      <c r="F24" s="1013">
        <f>+landbouw!E8</f>
        <v>24.906514140745617</v>
      </c>
      <c r="G24" s="1013">
        <f>+landbouw!F8</f>
        <v>3530.0581827422411</v>
      </c>
      <c r="H24" s="1013">
        <f>+landbouw!G8</f>
        <v>0</v>
      </c>
      <c r="I24" s="1013">
        <f>+landbouw!H8</f>
        <v>0</v>
      </c>
      <c r="J24" s="1013">
        <f>+landbouw!I8</f>
        <v>0</v>
      </c>
      <c r="K24" s="1013">
        <f>+landbouw!J8</f>
        <v>122.76434365075302</v>
      </c>
      <c r="L24" s="1013">
        <f>+landbouw!K8</f>
        <v>0</v>
      </c>
      <c r="M24" s="1013">
        <f>+landbouw!L8</f>
        <v>0</v>
      </c>
      <c r="N24" s="1013">
        <f>+landbouw!M8</f>
        <v>0</v>
      </c>
      <c r="O24" s="1013">
        <f>+landbouw!N8</f>
        <v>0</v>
      </c>
      <c r="P24" s="1013">
        <f>+landbouw!O8</f>
        <v>0</v>
      </c>
      <c r="Q24" s="1014">
        <f>+landbouw!P8</f>
        <v>0</v>
      </c>
      <c r="R24" s="700">
        <f>SUM(C24:Q24)</f>
        <v>4855.1395635834679</v>
      </c>
      <c r="S24" s="67"/>
    </row>
    <row r="25" spans="1:19" s="473" customFormat="1" ht="15" thickBot="1">
      <c r="A25" s="831" t="s">
        <v>836</v>
      </c>
      <c r="B25" s="1016"/>
      <c r="C25" s="1017">
        <f>IF(Onbekend_ele_kWh="---",0,Onbekend_ele_kWh)/1000+IF(REST_rest_ele_kWh="---",0,REST_rest_ele_kWh)/1000</f>
        <v>790.870400330199</v>
      </c>
      <c r="D25" s="1017"/>
      <c r="E25" s="1017">
        <f>IF(onbekend_gas_kWh="---",0,onbekend_gas_kWh)/1000+IF(REST_rest_gas_kWh="---",0,REST_rest_gas_kWh)/1000</f>
        <v>1111.87385017265</v>
      </c>
      <c r="F25" s="1017"/>
      <c r="G25" s="1017"/>
      <c r="H25" s="1017"/>
      <c r="I25" s="1017"/>
      <c r="J25" s="1017"/>
      <c r="K25" s="1017"/>
      <c r="L25" s="1017"/>
      <c r="M25" s="1017"/>
      <c r="N25" s="1017"/>
      <c r="O25" s="1017"/>
      <c r="P25" s="1017"/>
      <c r="Q25" s="1018"/>
      <c r="R25" s="700">
        <f>SUM(C25:Q25)</f>
        <v>1902.7442505028489</v>
      </c>
      <c r="S25" s="67"/>
    </row>
    <row r="26" spans="1:19" s="473" customFormat="1" ht="15.75" thickBot="1">
      <c r="A26" s="705" t="s">
        <v>837</v>
      </c>
      <c r="B26" s="817"/>
      <c r="C26" s="812">
        <f>SUM(C24:C25)</f>
        <v>1638.2309312236159</v>
      </c>
      <c r="D26" s="812">
        <f t="shared" ref="D26:R26" si="2">SUM(D24:D25)</f>
        <v>0</v>
      </c>
      <c r="E26" s="812">
        <f t="shared" si="2"/>
        <v>1441.923842328961</v>
      </c>
      <c r="F26" s="812">
        <f t="shared" si="2"/>
        <v>24.906514140745617</v>
      </c>
      <c r="G26" s="812">
        <f t="shared" si="2"/>
        <v>3530.0581827422411</v>
      </c>
      <c r="H26" s="812">
        <f t="shared" si="2"/>
        <v>0</v>
      </c>
      <c r="I26" s="812">
        <f t="shared" si="2"/>
        <v>0</v>
      </c>
      <c r="J26" s="812">
        <f t="shared" si="2"/>
        <v>0</v>
      </c>
      <c r="K26" s="812">
        <f t="shared" si="2"/>
        <v>122.76434365075302</v>
      </c>
      <c r="L26" s="812">
        <f t="shared" si="2"/>
        <v>0</v>
      </c>
      <c r="M26" s="812">
        <f t="shared" si="2"/>
        <v>0</v>
      </c>
      <c r="N26" s="812">
        <f t="shared" si="2"/>
        <v>0</v>
      </c>
      <c r="O26" s="812">
        <f t="shared" si="2"/>
        <v>0</v>
      </c>
      <c r="P26" s="812">
        <f t="shared" si="2"/>
        <v>0</v>
      </c>
      <c r="Q26" s="812">
        <f t="shared" si="2"/>
        <v>0</v>
      </c>
      <c r="R26" s="812">
        <f t="shared" si="2"/>
        <v>6757.8838140863172</v>
      </c>
      <c r="S26" s="67"/>
    </row>
    <row r="27" spans="1:19" s="473" customFormat="1" ht="17.25" thickTop="1" thickBot="1">
      <c r="A27" s="706" t="s">
        <v>116</v>
      </c>
      <c r="B27" s="805"/>
      <c r="C27" s="707">
        <f ca="1">C22+C16+C26</f>
        <v>45807.083018225036</v>
      </c>
      <c r="D27" s="707">
        <f t="shared" ref="D27:R27" ca="1" si="3">D22+D16+D26</f>
        <v>0</v>
      </c>
      <c r="E27" s="707">
        <f t="shared" ca="1" si="3"/>
        <v>48229.896693365663</v>
      </c>
      <c r="F27" s="707">
        <f t="shared" si="3"/>
        <v>3437.4406172208201</v>
      </c>
      <c r="G27" s="707">
        <f t="shared" ca="1" si="3"/>
        <v>46482.79583827177</v>
      </c>
      <c r="H27" s="707">
        <f t="shared" si="3"/>
        <v>46390.004643873486</v>
      </c>
      <c r="I27" s="707">
        <f t="shared" si="3"/>
        <v>11516.078914062633</v>
      </c>
      <c r="J27" s="707">
        <f t="shared" si="3"/>
        <v>0</v>
      </c>
      <c r="K27" s="707">
        <f t="shared" si="3"/>
        <v>754.73096486454392</v>
      </c>
      <c r="L27" s="707">
        <f t="shared" si="3"/>
        <v>0</v>
      </c>
      <c r="M27" s="707">
        <f t="shared" ca="1" si="3"/>
        <v>0</v>
      </c>
      <c r="N27" s="707">
        <f t="shared" si="3"/>
        <v>3048.2705338736591</v>
      </c>
      <c r="O27" s="707">
        <f t="shared" ca="1" si="3"/>
        <v>14022.734198732123</v>
      </c>
      <c r="P27" s="707">
        <f t="shared" si="3"/>
        <v>254.82333333333335</v>
      </c>
      <c r="Q27" s="707">
        <f t="shared" si="3"/>
        <v>1010.5333333333333</v>
      </c>
      <c r="R27" s="707">
        <f t="shared" ca="1" si="3"/>
        <v>220954.39208915638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2785.8913236262806</v>
      </c>
      <c r="D40" s="1013">
        <f ca="1">tertiair!C20</f>
        <v>0</v>
      </c>
      <c r="E40" s="1013">
        <f ca="1">tertiair!D20</f>
        <v>2525.3772999600324</v>
      </c>
      <c r="F40" s="1013">
        <f>tertiair!E20</f>
        <v>52.369416333073872</v>
      </c>
      <c r="G40" s="1013">
        <f ca="1">tertiair!F20</f>
        <v>619.85930408649904</v>
      </c>
      <c r="H40" s="1013">
        <f>tertiair!G20</f>
        <v>0</v>
      </c>
      <c r="I40" s="1013">
        <f>tertiair!H20</f>
        <v>0</v>
      </c>
      <c r="J40" s="1013">
        <f>tertiair!I20</f>
        <v>0</v>
      </c>
      <c r="K40" s="1013">
        <f>tertiair!J20</f>
        <v>1.0919393370222066E-2</v>
      </c>
      <c r="L40" s="1013">
        <f>tertiair!K20</f>
        <v>0</v>
      </c>
      <c r="M40" s="1013">
        <f ca="1">tertiair!L20</f>
        <v>0</v>
      </c>
      <c r="N40" s="1013">
        <f>tertiair!M20</f>
        <v>0</v>
      </c>
      <c r="O40" s="1013">
        <f ca="1">tertiair!N20</f>
        <v>0</v>
      </c>
      <c r="P40" s="1013">
        <f>tertiair!O20</f>
        <v>0</v>
      </c>
      <c r="Q40" s="774">
        <f>tertiair!P20</f>
        <v>0</v>
      </c>
      <c r="R40" s="850">
        <f t="shared" ca="1" si="4"/>
        <v>5983.5082633992561</v>
      </c>
    </row>
    <row r="41" spans="1:18">
      <c r="A41" s="822" t="s">
        <v>225</v>
      </c>
      <c r="B41" s="829"/>
      <c r="C41" s="1013">
        <f ca="1">huishoudens!B12</f>
        <v>4997.6790796042624</v>
      </c>
      <c r="D41" s="1013">
        <f ca="1">huishoudens!C12</f>
        <v>0</v>
      </c>
      <c r="E41" s="1013">
        <f>huishoudens!D12</f>
        <v>6224.9994918980983</v>
      </c>
      <c r="F41" s="1013">
        <f>huishoudens!E12</f>
        <v>540.91990151115783</v>
      </c>
      <c r="G41" s="1013">
        <f>huishoudens!F12</f>
        <v>10321.947243945277</v>
      </c>
      <c r="H41" s="1013">
        <f>huishoudens!G12</f>
        <v>0</v>
      </c>
      <c r="I41" s="1013">
        <f>huishoudens!H12</f>
        <v>0</v>
      </c>
      <c r="J41" s="1013">
        <f>huishoudens!I12</f>
        <v>0</v>
      </c>
      <c r="K41" s="1013">
        <f>huishoudens!J12</f>
        <v>220.93415671322666</v>
      </c>
      <c r="L41" s="1013">
        <f>huishoudens!K12</f>
        <v>0</v>
      </c>
      <c r="M41" s="1013">
        <f>huishoudens!L12</f>
        <v>0</v>
      </c>
      <c r="N41" s="1013">
        <f>huishoudens!M12</f>
        <v>0</v>
      </c>
      <c r="O41" s="1013">
        <f>huishoudens!N12</f>
        <v>0</v>
      </c>
      <c r="P41" s="1013">
        <f>huishoudens!O12</f>
        <v>0</v>
      </c>
      <c r="Q41" s="774">
        <f>huishoudens!P12</f>
        <v>0</v>
      </c>
      <c r="R41" s="850">
        <f t="shared" ca="1" si="4"/>
        <v>22306.479873672022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956.5381015867265</v>
      </c>
      <c r="D43" s="1013">
        <f ca="1">industrie!C22</f>
        <v>0</v>
      </c>
      <c r="E43" s="1013">
        <f>industrie!D22</f>
        <v>679.95917359585087</v>
      </c>
      <c r="F43" s="1013">
        <f>industrie!E22</f>
        <v>150.93131487111373</v>
      </c>
      <c r="G43" s="1013">
        <f>industrie!F22</f>
        <v>526.5744059946087</v>
      </c>
      <c r="H43" s="1013">
        <f>industrie!G22</f>
        <v>0</v>
      </c>
      <c r="I43" s="1013">
        <f>industrie!H22</f>
        <v>0</v>
      </c>
      <c r="J43" s="1013">
        <f>industrie!I22</f>
        <v>0</v>
      </c>
      <c r="K43" s="1013">
        <f>industrie!J22</f>
        <v>2.7711078030850556</v>
      </c>
      <c r="L43" s="1013">
        <f>industrie!K22</f>
        <v>0</v>
      </c>
      <c r="M43" s="1013">
        <f>industrie!L22</f>
        <v>0</v>
      </c>
      <c r="N43" s="1013">
        <f>industrie!M22</f>
        <v>0</v>
      </c>
      <c r="O43" s="1013">
        <f>industrie!N22</f>
        <v>0</v>
      </c>
      <c r="P43" s="1013">
        <f>industrie!O22</f>
        <v>0</v>
      </c>
      <c r="Q43" s="774">
        <f>industrie!P22</f>
        <v>0</v>
      </c>
      <c r="R43" s="849">
        <f t="shared" ca="1" si="4"/>
        <v>2316.774103851385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8740.1085048172699</v>
      </c>
      <c r="D46" s="732">
        <f t="shared" ref="D46:Q46" ca="1" si="5">SUM(D39:D45)</f>
        <v>0</v>
      </c>
      <c r="E46" s="732">
        <f t="shared" ca="1" si="5"/>
        <v>9430.3359654539818</v>
      </c>
      <c r="F46" s="732">
        <f t="shared" si="5"/>
        <v>744.22063271534546</v>
      </c>
      <c r="G46" s="732">
        <f t="shared" ca="1" si="5"/>
        <v>11468.380954026385</v>
      </c>
      <c r="H46" s="732">
        <f t="shared" si="5"/>
        <v>0</v>
      </c>
      <c r="I46" s="732">
        <f t="shared" si="5"/>
        <v>0</v>
      </c>
      <c r="J46" s="732">
        <f t="shared" si="5"/>
        <v>0</v>
      </c>
      <c r="K46" s="732">
        <f t="shared" si="5"/>
        <v>223.71618390968192</v>
      </c>
      <c r="L46" s="732">
        <f t="shared" si="5"/>
        <v>0</v>
      </c>
      <c r="M46" s="732">
        <f t="shared" ca="1" si="5"/>
        <v>0</v>
      </c>
      <c r="N46" s="732">
        <f t="shared" si="5"/>
        <v>0</v>
      </c>
      <c r="O46" s="732">
        <f t="shared" ca="1" si="5"/>
        <v>0</v>
      </c>
      <c r="P46" s="732">
        <f t="shared" si="5"/>
        <v>0</v>
      </c>
      <c r="Q46" s="732">
        <f t="shared" si="5"/>
        <v>0</v>
      </c>
      <c r="R46" s="732">
        <f ca="1">SUM(R39:R45)</f>
        <v>30606.762240922664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294.17817394844769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294.17817394844769</v>
      </c>
    </row>
    <row r="50" spans="1:18">
      <c r="A50" s="825" t="s">
        <v>307</v>
      </c>
      <c r="B50" s="835"/>
      <c r="C50" s="703">
        <f ca="1">transport!B18</f>
        <v>4.8404707768287594</v>
      </c>
      <c r="D50" s="703">
        <f>transport!C18</f>
        <v>0</v>
      </c>
      <c r="E50" s="703">
        <f>transport!D18</f>
        <v>20.834550455431444</v>
      </c>
      <c r="F50" s="703">
        <f>transport!E18</f>
        <v>30.424608683831593</v>
      </c>
      <c r="G50" s="703">
        <f>transport!F18</f>
        <v>0</v>
      </c>
      <c r="H50" s="703">
        <f>transport!G18</f>
        <v>12091.953065965774</v>
      </c>
      <c r="I50" s="703">
        <f>transport!H18</f>
        <v>2867.5036496015955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15015.556345483463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4.8404707768287594</v>
      </c>
      <c r="D52" s="732">
        <f t="shared" ref="D52:Q52" ca="1" si="6">SUM(D48:D51)</f>
        <v>0</v>
      </c>
      <c r="E52" s="732">
        <f t="shared" si="6"/>
        <v>20.834550455431444</v>
      </c>
      <c r="F52" s="732">
        <f t="shared" si="6"/>
        <v>30.424608683831593</v>
      </c>
      <c r="G52" s="732">
        <f t="shared" si="6"/>
        <v>0</v>
      </c>
      <c r="H52" s="732">
        <f t="shared" si="6"/>
        <v>12386.131239914223</v>
      </c>
      <c r="I52" s="732">
        <f t="shared" si="6"/>
        <v>2867.5036496015955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15309.73451943191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167.76810481737658</v>
      </c>
      <c r="D54" s="703">
        <f ca="1">+landbouw!C12</f>
        <v>0</v>
      </c>
      <c r="E54" s="703">
        <f>+landbouw!D12</f>
        <v>66.670098415574813</v>
      </c>
      <c r="F54" s="703">
        <f>+landbouw!E12</f>
        <v>5.6537787099492549</v>
      </c>
      <c r="G54" s="703">
        <f>+landbouw!F12</f>
        <v>942.52553479217841</v>
      </c>
      <c r="H54" s="703">
        <f>+landbouw!G12</f>
        <v>0</v>
      </c>
      <c r="I54" s="703">
        <f>+landbouw!H12</f>
        <v>0</v>
      </c>
      <c r="J54" s="703">
        <f>+landbouw!I12</f>
        <v>0</v>
      </c>
      <c r="K54" s="703">
        <f>+landbouw!J12</f>
        <v>43.458577652366564</v>
      </c>
      <c r="L54" s="703">
        <f>+landbouw!K12</f>
        <v>0</v>
      </c>
      <c r="M54" s="703">
        <f>+landbouw!L12</f>
        <v>0</v>
      </c>
      <c r="N54" s="703">
        <f>+landbouw!M12</f>
        <v>0</v>
      </c>
      <c r="O54" s="703">
        <f>+landbouw!N12</f>
        <v>0</v>
      </c>
      <c r="P54" s="703">
        <f>+landbouw!O12</f>
        <v>0</v>
      </c>
      <c r="Q54" s="704">
        <f>+landbouw!P12</f>
        <v>0</v>
      </c>
      <c r="R54" s="731">
        <f ca="1">SUM(C54:Q54)</f>
        <v>1226.0760943874457</v>
      </c>
    </row>
    <row r="55" spans="1:18" ht="15" thickBot="1">
      <c r="A55" s="825" t="s">
        <v>836</v>
      </c>
      <c r="B55" s="835"/>
      <c r="C55" s="703">
        <f ca="1">C25*'EF ele_warmte'!B12</f>
        <v>156.58367764623506</v>
      </c>
      <c r="D55" s="703"/>
      <c r="E55" s="703">
        <f>E25*EF_CO2_aardgas</f>
        <v>224.59851773487532</v>
      </c>
      <c r="F55" s="703"/>
      <c r="G55" s="703"/>
      <c r="H55" s="703"/>
      <c r="I55" s="703"/>
      <c r="J55" s="703"/>
      <c r="K55" s="703"/>
      <c r="L55" s="703"/>
      <c r="M55" s="703"/>
      <c r="N55" s="703"/>
      <c r="O55" s="703"/>
      <c r="P55" s="703"/>
      <c r="Q55" s="704"/>
      <c r="R55" s="731">
        <f ca="1">SUM(C55:Q55)</f>
        <v>381.18219538111038</v>
      </c>
    </row>
    <row r="56" spans="1:18" ht="15.75" thickBot="1">
      <c r="A56" s="823" t="s">
        <v>837</v>
      </c>
      <c r="B56" s="836"/>
      <c r="C56" s="732">
        <f ca="1">SUM(C54:C55)</f>
        <v>324.35178246361164</v>
      </c>
      <c r="D56" s="732">
        <f t="shared" ref="D56:Q56" ca="1" si="7">SUM(D54:D55)</f>
        <v>0</v>
      </c>
      <c r="E56" s="732">
        <f t="shared" si="7"/>
        <v>291.26861615045016</v>
      </c>
      <c r="F56" s="732">
        <f t="shared" si="7"/>
        <v>5.6537787099492549</v>
      </c>
      <c r="G56" s="732">
        <f t="shared" si="7"/>
        <v>942.52553479217841</v>
      </c>
      <c r="H56" s="732">
        <f t="shared" si="7"/>
        <v>0</v>
      </c>
      <c r="I56" s="732">
        <f t="shared" si="7"/>
        <v>0</v>
      </c>
      <c r="J56" s="732">
        <f t="shared" si="7"/>
        <v>0</v>
      </c>
      <c r="K56" s="732">
        <f t="shared" si="7"/>
        <v>43.458577652366564</v>
      </c>
      <c r="L56" s="732">
        <f t="shared" si="7"/>
        <v>0</v>
      </c>
      <c r="M56" s="732">
        <f t="shared" si="7"/>
        <v>0</v>
      </c>
      <c r="N56" s="732">
        <f t="shared" si="7"/>
        <v>0</v>
      </c>
      <c r="O56" s="732">
        <f t="shared" si="7"/>
        <v>0</v>
      </c>
      <c r="P56" s="732">
        <f t="shared" si="7"/>
        <v>0</v>
      </c>
      <c r="Q56" s="733">
        <f t="shared" si="7"/>
        <v>0</v>
      </c>
      <c r="R56" s="734">
        <f ca="1">SUM(R54:R55)</f>
        <v>1607.2582897685561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9069.3007580577105</v>
      </c>
      <c r="D61" s="740">
        <f t="shared" ref="D61:Q61" ca="1" si="8">D46+D52+D56</f>
        <v>0</v>
      </c>
      <c r="E61" s="740">
        <f t="shared" ca="1" si="8"/>
        <v>9742.4391320598625</v>
      </c>
      <c r="F61" s="740">
        <f t="shared" si="8"/>
        <v>780.29902010912633</v>
      </c>
      <c r="G61" s="740">
        <f t="shared" ca="1" si="8"/>
        <v>12410.906488818564</v>
      </c>
      <c r="H61" s="740">
        <f t="shared" si="8"/>
        <v>12386.131239914223</v>
      </c>
      <c r="I61" s="740">
        <f t="shared" si="8"/>
        <v>2867.5036496015955</v>
      </c>
      <c r="J61" s="740">
        <f t="shared" si="8"/>
        <v>0</v>
      </c>
      <c r="K61" s="740">
        <f t="shared" si="8"/>
        <v>267.1747615620485</v>
      </c>
      <c r="L61" s="740">
        <f t="shared" si="8"/>
        <v>0</v>
      </c>
      <c r="M61" s="740">
        <f t="shared" ca="1" si="8"/>
        <v>0</v>
      </c>
      <c r="N61" s="740">
        <f t="shared" si="8"/>
        <v>0</v>
      </c>
      <c r="O61" s="740">
        <f t="shared" ca="1" si="8"/>
        <v>0</v>
      </c>
      <c r="P61" s="740">
        <f t="shared" si="8"/>
        <v>0</v>
      </c>
      <c r="Q61" s="740">
        <f t="shared" si="8"/>
        <v>0</v>
      </c>
      <c r="R61" s="740">
        <f ca="1">R46+R52+R56</f>
        <v>47523.755050123131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0.19798904799175607</v>
      </c>
      <c r="D63" s="781">
        <f t="shared" ca="1" si="9"/>
        <v>0</v>
      </c>
      <c r="E63" s="1024">
        <f t="shared" ca="1" si="9"/>
        <v>0.20199999999999996</v>
      </c>
      <c r="F63" s="781">
        <f t="shared" si="9"/>
        <v>0.22700000000000006</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4769.5230270136854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4769.5230270136854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25242.199658500092</v>
      </c>
      <c r="C4" s="477">
        <f>huishoudens!C8</f>
        <v>0</v>
      </c>
      <c r="D4" s="477">
        <f>huishoudens!D8</f>
        <v>30816.829167812368</v>
      </c>
      <c r="E4" s="477">
        <f>huishoudens!E8</f>
        <v>2382.9070551152327</v>
      </c>
      <c r="F4" s="477">
        <f>huishoudens!F8</f>
        <v>38658.978441742605</v>
      </c>
      <c r="G4" s="477">
        <f>huishoudens!G8</f>
        <v>0</v>
      </c>
      <c r="H4" s="477">
        <f>huishoudens!H8</f>
        <v>0</v>
      </c>
      <c r="I4" s="477">
        <f>huishoudens!I8</f>
        <v>0</v>
      </c>
      <c r="J4" s="477">
        <f>huishoudens!J8</f>
        <v>624.10778732549909</v>
      </c>
      <c r="K4" s="477">
        <f>huishoudens!K8</f>
        <v>0</v>
      </c>
      <c r="L4" s="477">
        <f>huishoudens!L8</f>
        <v>0</v>
      </c>
      <c r="M4" s="477">
        <f>huishoudens!M8</f>
        <v>0</v>
      </c>
      <c r="N4" s="477">
        <f>huishoudens!N8</f>
        <v>11185.277462685905</v>
      </c>
      <c r="O4" s="477">
        <f>huishoudens!O8</f>
        <v>248.57000000000002</v>
      </c>
      <c r="P4" s="478">
        <f>huishoudens!P8</f>
        <v>953.33333333333326</v>
      </c>
      <c r="Q4" s="479">
        <f>SUM(B4:P4)</f>
        <v>110112.20290651503</v>
      </c>
    </row>
    <row r="5" spans="1:17">
      <c r="A5" s="476" t="s">
        <v>156</v>
      </c>
      <c r="B5" s="477">
        <f ca="1">tertiair!B16</f>
        <v>13098.277508277373</v>
      </c>
      <c r="C5" s="477">
        <f ca="1">tertiair!C16</f>
        <v>0</v>
      </c>
      <c r="D5" s="477">
        <f ca="1">tertiair!D16</f>
        <v>12501.867821584317</v>
      </c>
      <c r="E5" s="477">
        <f>tertiair!E16</f>
        <v>230.70227459503909</v>
      </c>
      <c r="F5" s="477">
        <f ca="1">tertiair!F16</f>
        <v>2321.5704272902585</v>
      </c>
      <c r="G5" s="477">
        <f>tertiair!G16</f>
        <v>0</v>
      </c>
      <c r="H5" s="477">
        <f>tertiair!H16</f>
        <v>0</v>
      </c>
      <c r="I5" s="477">
        <f>tertiair!I16</f>
        <v>0</v>
      </c>
      <c r="J5" s="477">
        <f>tertiair!J16</f>
        <v>3.0845743983678155E-2</v>
      </c>
      <c r="K5" s="477">
        <f>tertiair!K16</f>
        <v>0</v>
      </c>
      <c r="L5" s="477">
        <f ca="1">tertiair!L16</f>
        <v>0</v>
      </c>
      <c r="M5" s="477">
        <f>tertiair!M16</f>
        <v>0</v>
      </c>
      <c r="N5" s="477">
        <f ca="1">tertiair!N16</f>
        <v>1230.1295098124338</v>
      </c>
      <c r="O5" s="477">
        <f>tertiair!O16</f>
        <v>6.2533333333333339</v>
      </c>
      <c r="P5" s="478">
        <f>tertiair!P16</f>
        <v>57.2</v>
      </c>
      <c r="Q5" s="476">
        <f t="shared" ref="Q5:Q14" ca="1" si="0">SUM(B5:P5)</f>
        <v>29446.031720636736</v>
      </c>
    </row>
    <row r="6" spans="1:17">
      <c r="A6" s="476" t="s">
        <v>194</v>
      </c>
      <c r="B6" s="477">
        <f>'openbare verlichting'!B8</f>
        <v>972.65899999999999</v>
      </c>
      <c r="C6" s="477"/>
      <c r="D6" s="477"/>
      <c r="E6" s="477"/>
      <c r="F6" s="477"/>
      <c r="G6" s="477"/>
      <c r="H6" s="477"/>
      <c r="I6" s="477"/>
      <c r="J6" s="477"/>
      <c r="K6" s="477"/>
      <c r="L6" s="477"/>
      <c r="M6" s="477"/>
      <c r="N6" s="477"/>
      <c r="O6" s="477"/>
      <c r="P6" s="478"/>
      <c r="Q6" s="476">
        <f t="shared" si="0"/>
        <v>972.65899999999999</v>
      </c>
    </row>
    <row r="7" spans="1:17">
      <c r="A7" s="476" t="s">
        <v>112</v>
      </c>
      <c r="B7" s="477">
        <f>landbouw!B8</f>
        <v>847.36053089341692</v>
      </c>
      <c r="C7" s="477">
        <f>landbouw!C8</f>
        <v>0</v>
      </c>
      <c r="D7" s="477">
        <f>landbouw!D8</f>
        <v>330.04999215631091</v>
      </c>
      <c r="E7" s="477">
        <f>landbouw!E8</f>
        <v>24.906514140745617</v>
      </c>
      <c r="F7" s="477">
        <f>landbouw!F8</f>
        <v>3530.0581827422411</v>
      </c>
      <c r="G7" s="477">
        <f>landbouw!G8</f>
        <v>0</v>
      </c>
      <c r="H7" s="477">
        <f>landbouw!H8</f>
        <v>0</v>
      </c>
      <c r="I7" s="477">
        <f>landbouw!I8</f>
        <v>0</v>
      </c>
      <c r="J7" s="477">
        <f>landbouw!J8</f>
        <v>122.76434365075302</v>
      </c>
      <c r="K7" s="477">
        <f>landbouw!K8</f>
        <v>0</v>
      </c>
      <c r="L7" s="477">
        <f>landbouw!L8</f>
        <v>0</v>
      </c>
      <c r="M7" s="477">
        <f>landbouw!M8</f>
        <v>0</v>
      </c>
      <c r="N7" s="477">
        <f>landbouw!N8</f>
        <v>0</v>
      </c>
      <c r="O7" s="477">
        <f>landbouw!O8</f>
        <v>0</v>
      </c>
      <c r="P7" s="478">
        <f>landbouw!P8</f>
        <v>0</v>
      </c>
      <c r="Q7" s="476">
        <f t="shared" si="0"/>
        <v>4855.1395635834679</v>
      </c>
    </row>
    <row r="8" spans="1:17">
      <c r="A8" s="476" t="s">
        <v>635</v>
      </c>
      <c r="B8" s="477">
        <f>industrie!B18</f>
        <v>4831.2677458126645</v>
      </c>
      <c r="C8" s="477">
        <f>industrie!C18</f>
        <v>0</v>
      </c>
      <c r="D8" s="477">
        <f>industrie!D18</f>
        <v>3366.1345227517368</v>
      </c>
      <c r="E8" s="477">
        <f>industrie!E18</f>
        <v>664.89566022517056</v>
      </c>
      <c r="F8" s="477">
        <f>industrie!F18</f>
        <v>1972.1887864966616</v>
      </c>
      <c r="G8" s="477">
        <f>industrie!G18</f>
        <v>0</v>
      </c>
      <c r="H8" s="477">
        <f>industrie!H18</f>
        <v>0</v>
      </c>
      <c r="I8" s="477">
        <f>industrie!I18</f>
        <v>0</v>
      </c>
      <c r="J8" s="477">
        <f>industrie!J18</f>
        <v>7.8279881443080663</v>
      </c>
      <c r="K8" s="477">
        <f>industrie!K18</f>
        <v>0</v>
      </c>
      <c r="L8" s="477">
        <f>industrie!L18</f>
        <v>0</v>
      </c>
      <c r="M8" s="477">
        <f>industrie!M18</f>
        <v>0</v>
      </c>
      <c r="N8" s="477">
        <f>industrie!N18</f>
        <v>1607.3272262337848</v>
      </c>
      <c r="O8" s="477">
        <f>industrie!O18</f>
        <v>0</v>
      </c>
      <c r="P8" s="478">
        <f>industrie!P18</f>
        <v>0</v>
      </c>
      <c r="Q8" s="476">
        <f t="shared" si="0"/>
        <v>12449.641929664327</v>
      </c>
    </row>
    <row r="9" spans="1:17" s="482" customFormat="1">
      <c r="A9" s="480" t="s">
        <v>561</v>
      </c>
      <c r="B9" s="481">
        <f>transport!B14</f>
        <v>24.448174411295266</v>
      </c>
      <c r="C9" s="481">
        <f>transport!C14</f>
        <v>0</v>
      </c>
      <c r="D9" s="481">
        <f>transport!D14</f>
        <v>103.14133888827446</v>
      </c>
      <c r="E9" s="481">
        <f>transport!E14</f>
        <v>134.02911314463256</v>
      </c>
      <c r="F9" s="481">
        <f>transport!F14</f>
        <v>0</v>
      </c>
      <c r="G9" s="481">
        <f>transport!G14</f>
        <v>45288.213730208889</v>
      </c>
      <c r="H9" s="481">
        <f>transport!H14</f>
        <v>11516.078914062633</v>
      </c>
      <c r="I9" s="481">
        <f>transport!I14</f>
        <v>0</v>
      </c>
      <c r="J9" s="481">
        <f>transport!J14</f>
        <v>0</v>
      </c>
      <c r="K9" s="481">
        <f>transport!K14</f>
        <v>0</v>
      </c>
      <c r="L9" s="481">
        <f>transport!L14</f>
        <v>0</v>
      </c>
      <c r="M9" s="481">
        <f>transport!M14</f>
        <v>2985.6936739176581</v>
      </c>
      <c r="N9" s="481">
        <f>transport!N14</f>
        <v>0</v>
      </c>
      <c r="O9" s="481">
        <f>transport!O14</f>
        <v>0</v>
      </c>
      <c r="P9" s="481">
        <f>transport!P14</f>
        <v>0</v>
      </c>
      <c r="Q9" s="480">
        <f>SUM(B9:P9)</f>
        <v>60051.604944633378</v>
      </c>
    </row>
    <row r="10" spans="1:17">
      <c r="A10" s="476" t="s">
        <v>551</v>
      </c>
      <c r="B10" s="477">
        <f>transport!B54</f>
        <v>0</v>
      </c>
      <c r="C10" s="477">
        <f>transport!C54</f>
        <v>0</v>
      </c>
      <c r="D10" s="477">
        <f>transport!D54</f>
        <v>0</v>
      </c>
      <c r="E10" s="477">
        <f>transport!E54</f>
        <v>0</v>
      </c>
      <c r="F10" s="477">
        <f>transport!F54</f>
        <v>0</v>
      </c>
      <c r="G10" s="477">
        <f>transport!G54</f>
        <v>1101.7909136645981</v>
      </c>
      <c r="H10" s="477">
        <f>transport!H54</f>
        <v>0</v>
      </c>
      <c r="I10" s="477">
        <f>transport!I54</f>
        <v>0</v>
      </c>
      <c r="J10" s="477">
        <f>transport!J54</f>
        <v>0</v>
      </c>
      <c r="K10" s="477">
        <f>transport!K54</f>
        <v>0</v>
      </c>
      <c r="L10" s="477">
        <f>transport!L54</f>
        <v>0</v>
      </c>
      <c r="M10" s="477">
        <f>transport!M54</f>
        <v>62.57685995600098</v>
      </c>
      <c r="N10" s="477">
        <f>transport!N54</f>
        <v>0</v>
      </c>
      <c r="O10" s="477">
        <f>transport!O54</f>
        <v>0</v>
      </c>
      <c r="P10" s="478">
        <f>transport!P54</f>
        <v>0</v>
      </c>
      <c r="Q10" s="476">
        <f t="shared" si="0"/>
        <v>1164.3677736205991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790.870400330199</v>
      </c>
      <c r="C14" s="484"/>
      <c r="D14" s="484">
        <f>'SEAP template'!E25</f>
        <v>1111.87385017265</v>
      </c>
      <c r="E14" s="484"/>
      <c r="F14" s="484"/>
      <c r="G14" s="484"/>
      <c r="H14" s="484"/>
      <c r="I14" s="484"/>
      <c r="J14" s="484"/>
      <c r="K14" s="484"/>
      <c r="L14" s="484"/>
      <c r="M14" s="484"/>
      <c r="N14" s="484"/>
      <c r="O14" s="484"/>
      <c r="P14" s="485"/>
      <c r="Q14" s="476">
        <f t="shared" si="0"/>
        <v>1902.7442505028489</v>
      </c>
    </row>
    <row r="15" spans="1:17" s="486" customFormat="1">
      <c r="A15" s="1039" t="s">
        <v>555</v>
      </c>
      <c r="B15" s="987">
        <f ca="1">SUM(B4:B14)</f>
        <v>45807.083018225036</v>
      </c>
      <c r="C15" s="987">
        <f t="shared" ref="C15:Q15" ca="1" si="1">SUM(C4:C14)</f>
        <v>0</v>
      </c>
      <c r="D15" s="987">
        <f t="shared" ca="1" si="1"/>
        <v>48229.896693365656</v>
      </c>
      <c r="E15" s="987">
        <f t="shared" si="1"/>
        <v>3437.4406172208201</v>
      </c>
      <c r="F15" s="987">
        <f t="shared" ca="1" si="1"/>
        <v>46482.79583827177</v>
      </c>
      <c r="G15" s="987">
        <f t="shared" si="1"/>
        <v>46390.004643873486</v>
      </c>
      <c r="H15" s="987">
        <f t="shared" si="1"/>
        <v>11516.078914062633</v>
      </c>
      <c r="I15" s="987">
        <f t="shared" si="1"/>
        <v>0</v>
      </c>
      <c r="J15" s="987">
        <f t="shared" si="1"/>
        <v>754.73096486454392</v>
      </c>
      <c r="K15" s="987">
        <f t="shared" si="1"/>
        <v>0</v>
      </c>
      <c r="L15" s="987">
        <f t="shared" ca="1" si="1"/>
        <v>0</v>
      </c>
      <c r="M15" s="987">
        <f t="shared" si="1"/>
        <v>3048.2705338736591</v>
      </c>
      <c r="N15" s="987">
        <f t="shared" ca="1" si="1"/>
        <v>14022.734198732123</v>
      </c>
      <c r="O15" s="987">
        <f t="shared" si="1"/>
        <v>254.82333333333335</v>
      </c>
      <c r="P15" s="987">
        <f t="shared" si="1"/>
        <v>1010.5333333333333</v>
      </c>
      <c r="Q15" s="987">
        <f t="shared" ca="1" si="1"/>
        <v>220954.3920891564</v>
      </c>
    </row>
    <row r="17" spans="1:17">
      <c r="A17" s="487" t="s">
        <v>556</v>
      </c>
      <c r="B17" s="786">
        <f ca="1">huishoudens!B10</f>
        <v>0.19798904799175601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4997.6790796042624</v>
      </c>
      <c r="C22" s="477">
        <f t="shared" ref="C22:C32" ca="1" si="3">C4*$C$17</f>
        <v>0</v>
      </c>
      <c r="D22" s="477">
        <f t="shared" ref="D22:D32" si="4">D4*$D$17</f>
        <v>6224.9994918980983</v>
      </c>
      <c r="E22" s="477">
        <f t="shared" ref="E22:E32" si="5">E4*$E$17</f>
        <v>540.91990151115783</v>
      </c>
      <c r="F22" s="477">
        <f t="shared" ref="F22:F32" si="6">F4*$F$17</f>
        <v>10321.947243945277</v>
      </c>
      <c r="G22" s="477">
        <f t="shared" ref="G22:G32" si="7">G4*$G$17</f>
        <v>0</v>
      </c>
      <c r="H22" s="477">
        <f t="shared" ref="H22:H32" si="8">H4*$H$17</f>
        <v>0</v>
      </c>
      <c r="I22" s="477">
        <f t="shared" ref="I22:I32" si="9">I4*$I$17</f>
        <v>0</v>
      </c>
      <c r="J22" s="477">
        <f t="shared" ref="J22:J32" si="10">J4*$J$17</f>
        <v>220.93415671322666</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22306.479873672022</v>
      </c>
    </row>
    <row r="23" spans="1:17">
      <c r="A23" s="476" t="s">
        <v>156</v>
      </c>
      <c r="B23" s="477">
        <f t="shared" ca="1" si="2"/>
        <v>2593.3154941956673</v>
      </c>
      <c r="C23" s="477">
        <f t="shared" ca="1" si="3"/>
        <v>0</v>
      </c>
      <c r="D23" s="477">
        <f t="shared" ca="1" si="4"/>
        <v>2525.3772999600324</v>
      </c>
      <c r="E23" s="477">
        <f t="shared" si="5"/>
        <v>52.369416333073872</v>
      </c>
      <c r="F23" s="477">
        <f t="shared" ca="1" si="6"/>
        <v>619.85930408649904</v>
      </c>
      <c r="G23" s="477">
        <f t="shared" si="7"/>
        <v>0</v>
      </c>
      <c r="H23" s="477">
        <f t="shared" si="8"/>
        <v>0</v>
      </c>
      <c r="I23" s="477">
        <f t="shared" si="9"/>
        <v>0</v>
      </c>
      <c r="J23" s="477">
        <f t="shared" si="10"/>
        <v>1.0919393370222066E-2</v>
      </c>
      <c r="K23" s="477">
        <f t="shared" si="11"/>
        <v>0</v>
      </c>
      <c r="L23" s="477">
        <f t="shared" ca="1" si="12"/>
        <v>0</v>
      </c>
      <c r="M23" s="477">
        <f t="shared" si="13"/>
        <v>0</v>
      </c>
      <c r="N23" s="477">
        <f t="shared" ca="1" si="14"/>
        <v>0</v>
      </c>
      <c r="O23" s="477">
        <f t="shared" si="15"/>
        <v>0</v>
      </c>
      <c r="P23" s="478">
        <f t="shared" si="16"/>
        <v>0</v>
      </c>
      <c r="Q23" s="476">
        <f t="shared" ref="Q23:Q32" ca="1" si="17">SUM(B23:P23)</f>
        <v>5790.9324339686427</v>
      </c>
    </row>
    <row r="24" spans="1:17">
      <c r="A24" s="476" t="s">
        <v>194</v>
      </c>
      <c r="B24" s="477">
        <f t="shared" ca="1" si="2"/>
        <v>192.5758294306134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192.5758294306134</v>
      </c>
    </row>
    <row r="25" spans="1:17">
      <c r="A25" s="476" t="s">
        <v>112</v>
      </c>
      <c r="B25" s="477">
        <f t="shared" ca="1" si="2"/>
        <v>167.76810481737658</v>
      </c>
      <c r="C25" s="477">
        <f t="shared" ca="1" si="3"/>
        <v>0</v>
      </c>
      <c r="D25" s="477">
        <f t="shared" si="4"/>
        <v>66.670098415574813</v>
      </c>
      <c r="E25" s="477">
        <f t="shared" si="5"/>
        <v>5.6537787099492549</v>
      </c>
      <c r="F25" s="477">
        <f t="shared" si="6"/>
        <v>942.52553479217841</v>
      </c>
      <c r="G25" s="477">
        <f t="shared" si="7"/>
        <v>0</v>
      </c>
      <c r="H25" s="477">
        <f t="shared" si="8"/>
        <v>0</v>
      </c>
      <c r="I25" s="477">
        <f t="shared" si="9"/>
        <v>0</v>
      </c>
      <c r="J25" s="477">
        <f t="shared" si="10"/>
        <v>43.458577652366564</v>
      </c>
      <c r="K25" s="477">
        <f t="shared" si="11"/>
        <v>0</v>
      </c>
      <c r="L25" s="477">
        <f t="shared" si="12"/>
        <v>0</v>
      </c>
      <c r="M25" s="477">
        <f t="shared" si="13"/>
        <v>0</v>
      </c>
      <c r="N25" s="477">
        <f t="shared" si="14"/>
        <v>0</v>
      </c>
      <c r="O25" s="477">
        <f t="shared" si="15"/>
        <v>0</v>
      </c>
      <c r="P25" s="478">
        <f t="shared" si="16"/>
        <v>0</v>
      </c>
      <c r="Q25" s="476">
        <f t="shared" ca="1" si="17"/>
        <v>1226.0760943874457</v>
      </c>
    </row>
    <row r="26" spans="1:17">
      <c r="A26" s="476" t="s">
        <v>635</v>
      </c>
      <c r="B26" s="477">
        <f t="shared" ca="1" si="2"/>
        <v>956.5381015867265</v>
      </c>
      <c r="C26" s="477">
        <f t="shared" ca="1" si="3"/>
        <v>0</v>
      </c>
      <c r="D26" s="477">
        <f t="shared" si="4"/>
        <v>679.95917359585087</v>
      </c>
      <c r="E26" s="477">
        <f t="shared" si="5"/>
        <v>150.93131487111373</v>
      </c>
      <c r="F26" s="477">
        <f t="shared" si="6"/>
        <v>526.5744059946087</v>
      </c>
      <c r="G26" s="477">
        <f t="shared" si="7"/>
        <v>0</v>
      </c>
      <c r="H26" s="477">
        <f t="shared" si="8"/>
        <v>0</v>
      </c>
      <c r="I26" s="477">
        <f t="shared" si="9"/>
        <v>0</v>
      </c>
      <c r="J26" s="477">
        <f t="shared" si="10"/>
        <v>2.7711078030850556</v>
      </c>
      <c r="K26" s="477">
        <f t="shared" si="11"/>
        <v>0</v>
      </c>
      <c r="L26" s="477">
        <f t="shared" si="12"/>
        <v>0</v>
      </c>
      <c r="M26" s="477">
        <f t="shared" si="13"/>
        <v>0</v>
      </c>
      <c r="N26" s="477">
        <f t="shared" si="14"/>
        <v>0</v>
      </c>
      <c r="O26" s="477">
        <f t="shared" si="15"/>
        <v>0</v>
      </c>
      <c r="P26" s="478">
        <f t="shared" si="16"/>
        <v>0</v>
      </c>
      <c r="Q26" s="476">
        <f t="shared" ca="1" si="17"/>
        <v>2316.774103851385</v>
      </c>
    </row>
    <row r="27" spans="1:17" s="482" customFormat="1">
      <c r="A27" s="480" t="s">
        <v>561</v>
      </c>
      <c r="B27" s="780">
        <f t="shared" ca="1" si="2"/>
        <v>4.8404707768287594</v>
      </c>
      <c r="C27" s="481">
        <f t="shared" ca="1" si="3"/>
        <v>0</v>
      </c>
      <c r="D27" s="481">
        <f t="shared" si="4"/>
        <v>20.834550455431444</v>
      </c>
      <c r="E27" s="481">
        <f t="shared" si="5"/>
        <v>30.424608683831593</v>
      </c>
      <c r="F27" s="481">
        <f t="shared" si="6"/>
        <v>0</v>
      </c>
      <c r="G27" s="481">
        <f t="shared" si="7"/>
        <v>12091.953065965774</v>
      </c>
      <c r="H27" s="481">
        <f t="shared" si="8"/>
        <v>2867.5036496015955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15015.556345483463</v>
      </c>
    </row>
    <row r="28" spans="1:17">
      <c r="A28" s="476" t="s">
        <v>551</v>
      </c>
      <c r="B28" s="477">
        <f t="shared" ca="1" si="2"/>
        <v>0</v>
      </c>
      <c r="C28" s="477">
        <f t="shared" ca="1" si="3"/>
        <v>0</v>
      </c>
      <c r="D28" s="477">
        <f t="shared" si="4"/>
        <v>0</v>
      </c>
      <c r="E28" s="477">
        <f t="shared" si="5"/>
        <v>0</v>
      </c>
      <c r="F28" s="477">
        <f t="shared" si="6"/>
        <v>0</v>
      </c>
      <c r="G28" s="477">
        <f t="shared" si="7"/>
        <v>294.17817394844769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294.17817394844769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156.58367764623506</v>
      </c>
      <c r="C32" s="477">
        <f t="shared" ca="1" si="3"/>
        <v>0</v>
      </c>
      <c r="D32" s="477">
        <f t="shared" si="4"/>
        <v>224.59851773487532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381.18219538111038</v>
      </c>
    </row>
    <row r="33" spans="1:17" s="486" customFormat="1">
      <c r="A33" s="1039" t="s">
        <v>555</v>
      </c>
      <c r="B33" s="987">
        <f ca="1">SUM(B22:B32)</f>
        <v>9069.3007580577105</v>
      </c>
      <c r="C33" s="987">
        <f t="shared" ref="C33:Q33" ca="1" si="18">SUM(C22:C32)</f>
        <v>0</v>
      </c>
      <c r="D33" s="987">
        <f t="shared" ca="1" si="18"/>
        <v>9742.4391320598625</v>
      </c>
      <c r="E33" s="987">
        <f t="shared" si="18"/>
        <v>780.29902010912633</v>
      </c>
      <c r="F33" s="987">
        <f t="shared" ca="1" si="18"/>
        <v>12410.906488818564</v>
      </c>
      <c r="G33" s="987">
        <f t="shared" si="18"/>
        <v>12386.131239914223</v>
      </c>
      <c r="H33" s="987">
        <f t="shared" si="18"/>
        <v>2867.5036496015955</v>
      </c>
      <c r="I33" s="987">
        <f t="shared" si="18"/>
        <v>0</v>
      </c>
      <c r="J33" s="987">
        <f t="shared" si="18"/>
        <v>267.1747615620485</v>
      </c>
      <c r="K33" s="987">
        <f t="shared" si="18"/>
        <v>0</v>
      </c>
      <c r="L33" s="987">
        <f t="shared" ca="1" si="18"/>
        <v>0</v>
      </c>
      <c r="M33" s="987">
        <f t="shared" si="18"/>
        <v>0</v>
      </c>
      <c r="N33" s="987">
        <f t="shared" ca="1" si="18"/>
        <v>0</v>
      </c>
      <c r="O33" s="987">
        <f t="shared" si="18"/>
        <v>0</v>
      </c>
      <c r="P33" s="987">
        <f t="shared" si="18"/>
        <v>0</v>
      </c>
      <c r="Q33" s="987">
        <f t="shared" ca="1" si="18"/>
        <v>47523.755050123131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4769.5230270136854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4769.5230270136854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0.19798904799175601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0.19798904799175601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0.19798904799175601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0.19798904799175601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5265</v>
      </c>
      <c r="C9" s="342">
        <v>5492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1778.61</v>
      </c>
    </row>
    <row r="15" spans="1:6">
      <c r="A15" s="348" t="s">
        <v>184</v>
      </c>
      <c r="B15" s="334">
        <v>17</v>
      </c>
    </row>
    <row r="16" spans="1:6">
      <c r="A16" s="348" t="s">
        <v>6</v>
      </c>
      <c r="B16" s="334">
        <v>517</v>
      </c>
    </row>
    <row r="17" spans="1:6">
      <c r="A17" s="348" t="s">
        <v>7</v>
      </c>
      <c r="B17" s="334">
        <v>337</v>
      </c>
    </row>
    <row r="18" spans="1:6">
      <c r="A18" s="348" t="s">
        <v>8</v>
      </c>
      <c r="B18" s="334">
        <v>427</v>
      </c>
    </row>
    <row r="19" spans="1:6">
      <c r="A19" s="348" t="s">
        <v>9</v>
      </c>
      <c r="B19" s="334">
        <v>444</v>
      </c>
    </row>
    <row r="20" spans="1:6">
      <c r="A20" s="348" t="s">
        <v>10</v>
      </c>
      <c r="B20" s="334">
        <v>328</v>
      </c>
    </row>
    <row r="21" spans="1:6">
      <c r="A21" s="348" t="s">
        <v>11</v>
      </c>
      <c r="B21" s="334">
        <v>234</v>
      </c>
    </row>
    <row r="22" spans="1:6">
      <c r="A22" s="348" t="s">
        <v>12</v>
      </c>
      <c r="B22" s="334">
        <v>3558</v>
      </c>
    </row>
    <row r="23" spans="1:6">
      <c r="A23" s="348" t="s">
        <v>13</v>
      </c>
      <c r="B23" s="334">
        <v>8</v>
      </c>
    </row>
    <row r="24" spans="1:6">
      <c r="A24" s="348" t="s">
        <v>14</v>
      </c>
      <c r="B24" s="334">
        <v>1</v>
      </c>
    </row>
    <row r="25" spans="1:6">
      <c r="A25" s="348" t="s">
        <v>15</v>
      </c>
      <c r="B25" s="334">
        <v>76</v>
      </c>
    </row>
    <row r="26" spans="1:6">
      <c r="A26" s="348" t="s">
        <v>16</v>
      </c>
      <c r="B26" s="334">
        <v>216</v>
      </c>
    </row>
    <row r="27" spans="1:6">
      <c r="A27" s="348" t="s">
        <v>17</v>
      </c>
      <c r="B27" s="334">
        <v>16</v>
      </c>
    </row>
    <row r="28" spans="1:6" s="356" customFormat="1">
      <c r="A28" s="355" t="s">
        <v>18</v>
      </c>
      <c r="B28" s="355">
        <v>67044</v>
      </c>
    </row>
    <row r="29" spans="1:6">
      <c r="A29" s="355" t="s">
        <v>744</v>
      </c>
      <c r="B29" s="355">
        <v>149</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90602.703800839998</v>
      </c>
    </row>
    <row r="39" spans="1:6">
      <c r="A39" s="348" t="s">
        <v>30</v>
      </c>
      <c r="B39" s="348" t="s">
        <v>31</v>
      </c>
      <c r="C39" s="334">
        <v>2173</v>
      </c>
      <c r="D39" s="334">
        <v>34164999.077397302</v>
      </c>
      <c r="E39" s="334">
        <v>5038</v>
      </c>
      <c r="F39" s="334">
        <v>22278224.388969701</v>
      </c>
    </row>
    <row r="40" spans="1:6">
      <c r="A40" s="348" t="s">
        <v>30</v>
      </c>
      <c r="B40" s="348" t="s">
        <v>29</v>
      </c>
      <c r="C40" s="334">
        <v>0</v>
      </c>
      <c r="D40" s="334">
        <v>0</v>
      </c>
      <c r="E40" s="334">
        <v>0</v>
      </c>
      <c r="F40" s="334">
        <v>0</v>
      </c>
    </row>
    <row r="41" spans="1:6">
      <c r="A41" s="348" t="s">
        <v>32</v>
      </c>
      <c r="B41" s="348" t="s">
        <v>33</v>
      </c>
      <c r="C41" s="334">
        <v>35</v>
      </c>
      <c r="D41" s="334">
        <v>584134.15068025398</v>
      </c>
      <c r="E41" s="334">
        <v>160</v>
      </c>
      <c r="F41" s="334">
        <v>1856566.36584485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25445.611645744699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159552.570204446</v>
      </c>
    </row>
    <row r="48" spans="1:6">
      <c r="A48" s="348" t="s">
        <v>32</v>
      </c>
      <c r="B48" s="348" t="s">
        <v>29</v>
      </c>
      <c r="C48" s="334">
        <v>26</v>
      </c>
      <c r="D48" s="334">
        <v>2555667.5850766101</v>
      </c>
      <c r="E48" s="334">
        <v>36</v>
      </c>
      <c r="F48" s="334">
        <v>2179707.6228670198</v>
      </c>
    </row>
    <row r="49" spans="1:6">
      <c r="A49" s="348" t="s">
        <v>32</v>
      </c>
      <c r="B49" s="348" t="s">
        <v>40</v>
      </c>
      <c r="C49" s="334">
        <v>0</v>
      </c>
      <c r="D49" s="334">
        <v>0</v>
      </c>
      <c r="E49" s="334">
        <v>3</v>
      </c>
      <c r="F49" s="334">
        <v>93385.955386245594</v>
      </c>
    </row>
    <row r="50" spans="1:6">
      <c r="A50" s="348" t="s">
        <v>32</v>
      </c>
      <c r="B50" s="348" t="s">
        <v>41</v>
      </c>
      <c r="C50" s="334">
        <v>5</v>
      </c>
      <c r="D50" s="334">
        <v>592054.71962200198</v>
      </c>
      <c r="E50" s="334">
        <v>11</v>
      </c>
      <c r="F50" s="334">
        <v>516609.61986435798</v>
      </c>
    </row>
    <row r="51" spans="1:6">
      <c r="A51" s="348" t="s">
        <v>42</v>
      </c>
      <c r="B51" s="348" t="s">
        <v>43</v>
      </c>
      <c r="C51" s="334">
        <v>0</v>
      </c>
      <c r="D51" s="334">
        <v>0</v>
      </c>
      <c r="E51" s="334">
        <v>59</v>
      </c>
      <c r="F51" s="334">
        <v>510486.54420608497</v>
      </c>
    </row>
    <row r="52" spans="1:6">
      <c r="A52" s="348" t="s">
        <v>42</v>
      </c>
      <c r="B52" s="348" t="s">
        <v>29</v>
      </c>
      <c r="C52" s="334">
        <v>7</v>
      </c>
      <c r="D52" s="334">
        <v>365909.08221320499</v>
      </c>
      <c r="E52" s="334">
        <v>11</v>
      </c>
      <c r="F52" s="334">
        <v>336873.98668733198</v>
      </c>
    </row>
    <row r="53" spans="1:6">
      <c r="A53" s="348" t="s">
        <v>44</v>
      </c>
      <c r="B53" s="348" t="s">
        <v>45</v>
      </c>
      <c r="C53" s="334">
        <v>77</v>
      </c>
      <c r="D53" s="334">
        <v>1111873.8501726501</v>
      </c>
      <c r="E53" s="334">
        <v>201</v>
      </c>
      <c r="F53" s="334">
        <v>790870.40033019905</v>
      </c>
    </row>
    <row r="54" spans="1:6">
      <c r="A54" s="348" t="s">
        <v>46</v>
      </c>
      <c r="B54" s="348" t="s">
        <v>47</v>
      </c>
      <c r="C54" s="334">
        <v>0</v>
      </c>
      <c r="D54" s="334">
        <v>0</v>
      </c>
      <c r="E54" s="334">
        <v>1</v>
      </c>
      <c r="F54" s="334">
        <v>972659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344053.116647324</v>
      </c>
      <c r="E57" s="334">
        <v>69</v>
      </c>
      <c r="F57" s="334">
        <v>937479.26893333695</v>
      </c>
    </row>
    <row r="58" spans="1:6">
      <c r="A58" s="348" t="s">
        <v>49</v>
      </c>
      <c r="B58" s="348" t="s">
        <v>51</v>
      </c>
      <c r="C58" s="334">
        <v>27</v>
      </c>
      <c r="D58" s="334">
        <v>816631.37330831797</v>
      </c>
      <c r="E58" s="334">
        <v>47</v>
      </c>
      <c r="F58" s="334">
        <v>399322.13796880201</v>
      </c>
    </row>
    <row r="59" spans="1:6">
      <c r="A59" s="348" t="s">
        <v>49</v>
      </c>
      <c r="B59" s="348" t="s">
        <v>52</v>
      </c>
      <c r="C59" s="334">
        <v>18</v>
      </c>
      <c r="D59" s="334">
        <v>669639.59427350003</v>
      </c>
      <c r="E59" s="334">
        <v>118</v>
      </c>
      <c r="F59" s="334">
        <v>4297445.8940771101</v>
      </c>
    </row>
    <row r="60" spans="1:6">
      <c r="A60" s="348" t="s">
        <v>49</v>
      </c>
      <c r="B60" s="348" t="s">
        <v>53</v>
      </c>
      <c r="C60" s="334">
        <v>39</v>
      </c>
      <c r="D60" s="334">
        <v>2124200.7890280401</v>
      </c>
      <c r="E60" s="334">
        <v>90</v>
      </c>
      <c r="F60" s="334">
        <v>1340368.3440096399</v>
      </c>
    </row>
    <row r="61" spans="1:6">
      <c r="A61" s="348" t="s">
        <v>49</v>
      </c>
      <c r="B61" s="348" t="s">
        <v>54</v>
      </c>
      <c r="C61" s="334">
        <v>77</v>
      </c>
      <c r="D61" s="334">
        <v>1722000.41414539</v>
      </c>
      <c r="E61" s="334">
        <v>184</v>
      </c>
      <c r="F61" s="334">
        <v>1745275.62386758</v>
      </c>
    </row>
    <row r="62" spans="1:6">
      <c r="A62" s="348" t="s">
        <v>49</v>
      </c>
      <c r="B62" s="348" t="s">
        <v>55</v>
      </c>
      <c r="C62" s="334">
        <v>5</v>
      </c>
      <c r="D62" s="334">
        <v>258174.762276394</v>
      </c>
      <c r="E62" s="334">
        <v>9</v>
      </c>
      <c r="F62" s="334">
        <v>43620.813852264997</v>
      </c>
    </row>
    <row r="63" spans="1:6">
      <c r="A63" s="348" t="s">
        <v>49</v>
      </c>
      <c r="B63" s="348" t="s">
        <v>29</v>
      </c>
      <c r="C63" s="334">
        <v>86</v>
      </c>
      <c r="D63" s="334">
        <v>7925463.8323435597</v>
      </c>
      <c r="E63" s="334">
        <v>98</v>
      </c>
      <c r="F63" s="334">
        <v>4334765.4255686402</v>
      </c>
    </row>
    <row r="64" spans="1:6">
      <c r="A64" s="348" t="s">
        <v>56</v>
      </c>
      <c r="B64" s="348" t="s">
        <v>57</v>
      </c>
      <c r="C64" s="334">
        <v>0</v>
      </c>
      <c r="D64" s="334">
        <v>0</v>
      </c>
      <c r="E64" s="334">
        <v>0</v>
      </c>
      <c r="F64" s="334">
        <v>0</v>
      </c>
    </row>
    <row r="65" spans="1:6">
      <c r="A65" s="348" t="s">
        <v>56</v>
      </c>
      <c r="B65" s="348" t="s">
        <v>29</v>
      </c>
      <c r="C65" s="334">
        <v>0</v>
      </c>
      <c r="D65" s="334">
        <v>0</v>
      </c>
      <c r="E65" s="334">
        <v>1</v>
      </c>
      <c r="F65" s="334">
        <v>7141.248056722</v>
      </c>
    </row>
    <row r="66" spans="1:6">
      <c r="A66" s="348" t="s">
        <v>56</v>
      </c>
      <c r="B66" s="348" t="s">
        <v>58</v>
      </c>
      <c r="C66" s="334">
        <v>0</v>
      </c>
      <c r="D66" s="334">
        <v>0</v>
      </c>
      <c r="E66" s="334">
        <v>5</v>
      </c>
      <c r="F66" s="334">
        <v>166752.92905624001</v>
      </c>
    </row>
    <row r="67" spans="1:6">
      <c r="A67" s="355" t="s">
        <v>56</v>
      </c>
      <c r="B67" s="355" t="s">
        <v>59</v>
      </c>
      <c r="C67" s="334">
        <v>0</v>
      </c>
      <c r="D67" s="334">
        <v>0</v>
      </c>
      <c r="E67" s="334">
        <v>0</v>
      </c>
      <c r="F67" s="334">
        <v>0</v>
      </c>
    </row>
    <row r="68" spans="1:6">
      <c r="A68" s="341" t="s">
        <v>56</v>
      </c>
      <c r="B68" s="341" t="s">
        <v>60</v>
      </c>
      <c r="C68" s="334">
        <v>3</v>
      </c>
      <c r="D68" s="334">
        <v>82916.652669614297</v>
      </c>
      <c r="E68" s="334">
        <v>7</v>
      </c>
      <c r="F68" s="334">
        <v>114705.001024684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29673075</v>
      </c>
      <c r="E73" s="475">
        <v>33501940.189158347</v>
      </c>
    </row>
    <row r="74" spans="1:6">
      <c r="A74" s="348" t="s">
        <v>64</v>
      </c>
      <c r="B74" s="348" t="s">
        <v>657</v>
      </c>
      <c r="C74" s="1295" t="s">
        <v>659</v>
      </c>
      <c r="D74" s="475">
        <v>2432815</v>
      </c>
      <c r="E74" s="475">
        <v>2654618.7752604648</v>
      </c>
    </row>
    <row r="75" spans="1:6">
      <c r="A75" s="348" t="s">
        <v>65</v>
      </c>
      <c r="B75" s="348" t="s">
        <v>656</v>
      </c>
      <c r="C75" s="1295" t="s">
        <v>660</v>
      </c>
      <c r="D75" s="475">
        <v>32472244</v>
      </c>
      <c r="E75" s="475">
        <v>37261893.042814918</v>
      </c>
    </row>
    <row r="76" spans="1:6">
      <c r="A76" s="348" t="s">
        <v>65</v>
      </c>
      <c r="B76" s="348" t="s">
        <v>657</v>
      </c>
      <c r="C76" s="1295" t="s">
        <v>661</v>
      </c>
      <c r="D76" s="475">
        <v>1738474</v>
      </c>
      <c r="E76" s="475">
        <v>1920915.3564543403</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315796</v>
      </c>
      <c r="C83" s="475">
        <v>314582.9834744875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2963.9752695303905</v>
      </c>
    </row>
    <row r="92" spans="1:6">
      <c r="A92" s="341" t="s">
        <v>69</v>
      </c>
      <c r="B92" s="342">
        <v>1805.5477574832953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370</v>
      </c>
    </row>
    <row r="98" spans="1:6">
      <c r="A98" s="348" t="s">
        <v>72</v>
      </c>
      <c r="B98" s="334">
        <v>0</v>
      </c>
    </row>
    <row r="99" spans="1:6">
      <c r="A99" s="348" t="s">
        <v>73</v>
      </c>
      <c r="B99" s="334">
        <v>53</v>
      </c>
    </row>
    <row r="100" spans="1:6">
      <c r="A100" s="348" t="s">
        <v>74</v>
      </c>
      <c r="B100" s="334">
        <v>595</v>
      </c>
    </row>
    <row r="101" spans="1:6">
      <c r="A101" s="348" t="s">
        <v>75</v>
      </c>
      <c r="B101" s="334">
        <v>73</v>
      </c>
    </row>
    <row r="102" spans="1:6">
      <c r="A102" s="348" t="s">
        <v>76</v>
      </c>
      <c r="B102" s="334">
        <v>77</v>
      </c>
    </row>
    <row r="103" spans="1:6">
      <c r="A103" s="348" t="s">
        <v>77</v>
      </c>
      <c r="B103" s="334">
        <v>198</v>
      </c>
    </row>
    <row r="104" spans="1:6">
      <c r="A104" s="348" t="s">
        <v>78</v>
      </c>
      <c r="B104" s="334">
        <v>3116</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25</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133</v>
      </c>
    </row>
    <row r="130" spans="1:6">
      <c r="A130" s="348" t="s">
        <v>295</v>
      </c>
      <c r="B130" s="334">
        <v>4</v>
      </c>
    </row>
    <row r="131" spans="1:6">
      <c r="A131" s="348" t="s">
        <v>296</v>
      </c>
      <c r="B131" s="334">
        <v>3</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45807.083018225036</v>
      </c>
      <c r="C3" s="43" t="s">
        <v>170</v>
      </c>
      <c r="D3" s="43"/>
      <c r="E3" s="154"/>
      <c r="F3" s="43"/>
      <c r="G3" s="43"/>
      <c r="H3" s="43"/>
      <c r="I3" s="43"/>
      <c r="J3" s="43"/>
      <c r="K3" s="96"/>
    </row>
    <row r="4" spans="1:11">
      <c r="A4" s="383" t="s">
        <v>171</v>
      </c>
      <c r="B4" s="49">
        <f>IF(ISERROR('SEAP template'!B78+'SEAP template'!C78),0,'SEAP template'!B78+'SEAP template'!C78)</f>
        <v>4769.5230270136854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0.19798904799175601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972.65899999999999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972.65899999999999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0.19798904799175601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192.5758294306134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22278.224388969702</v>
      </c>
      <c r="C5" s="17">
        <f>IF(ISERROR('Eigen informatie GS &amp; warmtenet'!B57),0,'Eigen informatie GS &amp; warmtenet'!B57)</f>
        <v>0</v>
      </c>
      <c r="D5" s="30">
        <f>(SUM(HH_hh_gas_kWh,HH_rest_gas_kWh)/1000)*0.902</f>
        <v>30816.829167812368</v>
      </c>
      <c r="E5" s="17">
        <f>B46*B57</f>
        <v>2382.9070551152327</v>
      </c>
      <c r="F5" s="17">
        <f>B51*B62</f>
        <v>38658.978441742605</v>
      </c>
      <c r="G5" s="18"/>
      <c r="H5" s="17"/>
      <c r="I5" s="17"/>
      <c r="J5" s="17">
        <f>B50*B61+C50*C61</f>
        <v>624.10778732549909</v>
      </c>
      <c r="K5" s="17"/>
      <c r="L5" s="17"/>
      <c r="M5" s="17"/>
      <c r="N5" s="17">
        <f>B48*B59+C48*C59</f>
        <v>11185.277462685905</v>
      </c>
      <c r="O5" s="17">
        <f>B69*B70*B71</f>
        <v>248.57000000000002</v>
      </c>
      <c r="P5" s="17">
        <f>B77*B78*B79/1000-B77*B78*B79/1000/B80</f>
        <v>953.33333333333326</v>
      </c>
    </row>
    <row r="6" spans="1:16">
      <c r="A6" s="16" t="s">
        <v>621</v>
      </c>
      <c r="B6" s="788">
        <f>kWh_PV_kleiner_dan_10kW</f>
        <v>2963.9752695303905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25242.199658500092</v>
      </c>
      <c r="C8" s="21">
        <f>C5</f>
        <v>0</v>
      </c>
      <c r="D8" s="21">
        <f>D5</f>
        <v>30816.829167812368</v>
      </c>
      <c r="E8" s="21">
        <f>E5</f>
        <v>2382.9070551152327</v>
      </c>
      <c r="F8" s="21">
        <f>F5</f>
        <v>38658.978441742605</v>
      </c>
      <c r="G8" s="21"/>
      <c r="H8" s="21"/>
      <c r="I8" s="21"/>
      <c r="J8" s="21">
        <f>J5</f>
        <v>624.10778732549909</v>
      </c>
      <c r="K8" s="21"/>
      <c r="L8" s="21">
        <f>L5</f>
        <v>0</v>
      </c>
      <c r="M8" s="21">
        <f>M5</f>
        <v>0</v>
      </c>
      <c r="N8" s="21">
        <f>N5</f>
        <v>11185.277462685905</v>
      </c>
      <c r="O8" s="21">
        <f>O5</f>
        <v>248.57000000000002</v>
      </c>
      <c r="P8" s="21">
        <f>P5</f>
        <v>953.33333333333326</v>
      </c>
    </row>
    <row r="9" spans="1:16">
      <c r="B9" s="19"/>
      <c r="C9" s="19"/>
      <c r="D9" s="258"/>
      <c r="E9" s="19"/>
      <c r="F9" s="19"/>
      <c r="G9" s="19"/>
      <c r="H9" s="19"/>
      <c r="I9" s="19"/>
      <c r="J9" s="19"/>
      <c r="K9" s="19"/>
      <c r="L9" s="19"/>
      <c r="M9" s="19"/>
      <c r="N9" s="19"/>
      <c r="O9" s="19"/>
      <c r="P9" s="19"/>
    </row>
    <row r="10" spans="1:16">
      <c r="A10" s="24" t="s">
        <v>214</v>
      </c>
      <c r="B10" s="25">
        <f ca="1">'EF ele_warmte'!B12</f>
        <v>0.19798904799175601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4997.6790796042624</v>
      </c>
      <c r="C12" s="23">
        <f ca="1">C10*C8</f>
        <v>0</v>
      </c>
      <c r="D12" s="23">
        <f>D8*D10</f>
        <v>6224.9994918980983</v>
      </c>
      <c r="E12" s="23">
        <f>E10*E8</f>
        <v>540.91990151115783</v>
      </c>
      <c r="F12" s="23">
        <f>F10*F8</f>
        <v>10321.947243945277</v>
      </c>
      <c r="G12" s="23"/>
      <c r="H12" s="23"/>
      <c r="I12" s="23"/>
      <c r="J12" s="23">
        <f>J10*J8</f>
        <v>220.93415671322666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370</v>
      </c>
      <c r="C18" s="166" t="s">
        <v>111</v>
      </c>
      <c r="D18" s="228"/>
      <c r="E18" s="15"/>
    </row>
    <row r="19" spans="1:7">
      <c r="A19" s="171" t="s">
        <v>72</v>
      </c>
      <c r="B19" s="37">
        <f>aantalw2001_ander</f>
        <v>0</v>
      </c>
      <c r="C19" s="166" t="s">
        <v>111</v>
      </c>
      <c r="D19" s="229"/>
      <c r="E19" s="15"/>
    </row>
    <row r="20" spans="1:7">
      <c r="A20" s="171" t="s">
        <v>73</v>
      </c>
      <c r="B20" s="37">
        <f>aantalw2001_propaan</f>
        <v>53</v>
      </c>
      <c r="C20" s="167">
        <f>IF(ISERROR(B20/SUM($B$20,$B$21,$B$22)*100),0,B20/SUM($B$20,$B$21,$B$22)*100)</f>
        <v>7.3509015256588066</v>
      </c>
      <c r="D20" s="229"/>
      <c r="E20" s="15"/>
    </row>
    <row r="21" spans="1:7">
      <c r="A21" s="171" t="s">
        <v>74</v>
      </c>
      <c r="B21" s="37">
        <f>aantalw2001_elektriciteit</f>
        <v>595</v>
      </c>
      <c r="C21" s="167">
        <f>IF(ISERROR(B21/SUM($B$20,$B$21,$B$22)*100),0,B21/SUM($B$20,$B$21,$B$22)*100)</f>
        <v>82.524271844660191</v>
      </c>
      <c r="D21" s="229"/>
      <c r="E21" s="15"/>
    </row>
    <row r="22" spans="1:7">
      <c r="A22" s="171" t="s">
        <v>75</v>
      </c>
      <c r="B22" s="37">
        <f>aantalw2001_hout</f>
        <v>73</v>
      </c>
      <c r="C22" s="167">
        <f>IF(ISERROR(B22/SUM($B$20,$B$21,$B$22)*100),0,B22/SUM($B$20,$B$21,$B$22)*100)</f>
        <v>10.124826629680998</v>
      </c>
      <c r="D22" s="229"/>
      <c r="E22" s="15"/>
    </row>
    <row r="23" spans="1:7">
      <c r="A23" s="171" t="s">
        <v>76</v>
      </c>
      <c r="B23" s="37">
        <f>aantalw2001_niet_gespec</f>
        <v>77</v>
      </c>
      <c r="C23" s="166" t="s">
        <v>111</v>
      </c>
      <c r="D23" s="228"/>
      <c r="E23" s="15"/>
    </row>
    <row r="24" spans="1:7">
      <c r="A24" s="171" t="s">
        <v>77</v>
      </c>
      <c r="B24" s="37">
        <f>aantalw2001_steenkool</f>
        <v>198</v>
      </c>
      <c r="C24" s="166" t="s">
        <v>111</v>
      </c>
      <c r="D24" s="229"/>
      <c r="E24" s="15"/>
    </row>
    <row r="25" spans="1:7">
      <c r="A25" s="171" t="s">
        <v>78</v>
      </c>
      <c r="B25" s="37">
        <f>aantalw2001_stookolie</f>
        <v>3116</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793</v>
      </c>
      <c r="B28" s="37">
        <f>aantalHuishoudens2011</f>
        <v>5265</v>
      </c>
      <c r="C28" s="36"/>
      <c r="D28" s="228"/>
    </row>
    <row r="29" spans="1:7" s="15" customFormat="1">
      <c r="A29" s="230" t="s">
        <v>794</v>
      </c>
      <c r="B29" s="37">
        <f>SUM(HH_hh_gas_aantal,HH_rest_gas_aantal)</f>
        <v>2173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2173</v>
      </c>
      <c r="C32" s="167">
        <f>IF(ISERROR(B32/SUM($B$32,$B$34,$B$35,$B$36,$B$38,$B$39)*100),0,B32/SUM($B$32,$B$34,$B$35,$B$36,$B$38,$B$39)*100)</f>
        <v>41.668264621284756</v>
      </c>
      <c r="D32" s="233"/>
      <c r="G32" s="15"/>
    </row>
    <row r="33" spans="1:7">
      <c r="A33" s="171" t="s">
        <v>72</v>
      </c>
      <c r="B33" s="34" t="s">
        <v>111</v>
      </c>
      <c r="C33" s="167"/>
      <c r="D33" s="233"/>
      <c r="G33" s="15"/>
    </row>
    <row r="34" spans="1:7">
      <c r="A34" s="171" t="s">
        <v>73</v>
      </c>
      <c r="B34" s="33">
        <f>IF((($B$28-$B$32-$B$39-$B$77-$B$38)*C20/100)&lt;0,0,($B$28-$B$32-$B$39-$B$77-$B$38)*C20/100)</f>
        <v>112.54230235783632</v>
      </c>
      <c r="C34" s="167">
        <f>IF(ISERROR(B34/SUM($B$32,$B$34,$B$35,$B$36,$B$38,$B$39)*100),0,B34/SUM($B$32,$B$34,$B$35,$B$36,$B$38,$B$39)*100)</f>
        <v>2.1580499013966694</v>
      </c>
      <c r="D34" s="233"/>
      <c r="G34" s="15"/>
    </row>
    <row r="35" spans="1:7">
      <c r="A35" s="171" t="s">
        <v>74</v>
      </c>
      <c r="B35" s="33">
        <f>IF((($B$28-$B$32-$B$39-$B$77-$B$38)*C21/100)&lt;0,0,($B$28-$B$32-$B$39-$B$77-$B$38)*C21/100)</f>
        <v>1263.4466019417475</v>
      </c>
      <c r="C35" s="167">
        <f>IF(ISERROR(B35/SUM($B$32,$B$34,$B$35,$B$36,$B$38,$B$39)*100),0,B35/SUM($B$32,$B$34,$B$35,$B$36,$B$38,$B$39)*100)</f>
        <v>24.227163987377708</v>
      </c>
      <c r="D35" s="233"/>
      <c r="G35" s="15"/>
    </row>
    <row r="36" spans="1:7">
      <c r="A36" s="171" t="s">
        <v>75</v>
      </c>
      <c r="B36" s="33">
        <f>IF((($B$28-$B$32-$B$39-$B$77-$B$38)*C22/100)&lt;0,0,($B$28-$B$32-$B$39-$B$77-$B$38)*C22/100)</f>
        <v>155.01109570041609</v>
      </c>
      <c r="C36" s="167">
        <f>IF(ISERROR(B36/SUM($B$32,$B$34,$B$35,$B$36,$B$38,$B$39)*100),0,B36/SUM($B$32,$B$34,$B$35,$B$36,$B$38,$B$39)*100)</f>
        <v>2.9724083547539042</v>
      </c>
      <c r="D36" s="233"/>
      <c r="G36" s="15"/>
    </row>
    <row r="37" spans="1:7">
      <c r="A37" s="171" t="s">
        <v>76</v>
      </c>
      <c r="B37" s="34" t="s">
        <v>111</v>
      </c>
      <c r="C37" s="167"/>
      <c r="D37" s="173"/>
      <c r="G37" s="15"/>
    </row>
    <row r="38" spans="1:7">
      <c r="A38" s="171" t="s">
        <v>77</v>
      </c>
      <c r="B38" s="33">
        <f>IF((B24-(B29-B18)*0.1)&lt;0,0,B24-(B29-B18)*0.1)</f>
        <v>17.699999999999989</v>
      </c>
      <c r="C38" s="167">
        <f>IF(ISERROR(B38/SUM($B$32,$B$34,$B$35,$B$36,$B$38,$B$39)*100),0,B38/SUM($B$32,$B$34,$B$35,$B$36,$B$38,$B$39)*100)</f>
        <v>0.33940556088207074</v>
      </c>
      <c r="D38" s="234"/>
      <c r="G38" s="15"/>
    </row>
    <row r="39" spans="1:7">
      <c r="A39" s="171" t="s">
        <v>78</v>
      </c>
      <c r="B39" s="33">
        <f>IF((B25-(B29-B18))&lt;0,0,B25-(B29-B18)*0.9)</f>
        <v>1493.3</v>
      </c>
      <c r="C39" s="167">
        <f>IF(ISERROR(B39/SUM($B$32,$B$34,$B$35,$B$36,$B$38,$B$39)*100),0,B39/SUM($B$32,$B$34,$B$35,$B$36,$B$38,$B$39)*100)</f>
        <v>28.63470757430489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2173</v>
      </c>
      <c r="C44" s="34" t="s">
        <v>111</v>
      </c>
      <c r="D44" s="174"/>
    </row>
    <row r="45" spans="1:7">
      <c r="A45" s="171" t="s">
        <v>72</v>
      </c>
      <c r="B45" s="33" t="str">
        <f t="shared" si="0"/>
        <v>-</v>
      </c>
      <c r="C45" s="34" t="s">
        <v>111</v>
      </c>
      <c r="D45" s="174"/>
    </row>
    <row r="46" spans="1:7">
      <c r="A46" s="171" t="s">
        <v>73</v>
      </c>
      <c r="B46" s="33">
        <f t="shared" si="0"/>
        <v>112.54230235783632</v>
      </c>
      <c r="C46" s="34" t="s">
        <v>111</v>
      </c>
      <c r="D46" s="174"/>
    </row>
    <row r="47" spans="1:7">
      <c r="A47" s="171" t="s">
        <v>74</v>
      </c>
      <c r="B47" s="33">
        <f t="shared" si="0"/>
        <v>1263.4466019417475</v>
      </c>
      <c r="C47" s="34" t="s">
        <v>111</v>
      </c>
      <c r="D47" s="174"/>
    </row>
    <row r="48" spans="1:7">
      <c r="A48" s="171" t="s">
        <v>75</v>
      </c>
      <c r="B48" s="33">
        <f t="shared" si="0"/>
        <v>155.01109570041609</v>
      </c>
      <c r="C48" s="33">
        <f>B48*10</f>
        <v>1550.1109570041608</v>
      </c>
      <c r="D48" s="234"/>
    </row>
    <row r="49" spans="1:6">
      <c r="A49" s="171" t="s">
        <v>76</v>
      </c>
      <c r="B49" s="33" t="str">
        <f t="shared" si="0"/>
        <v>-</v>
      </c>
      <c r="C49" s="34" t="s">
        <v>111</v>
      </c>
      <c r="D49" s="234"/>
    </row>
    <row r="50" spans="1:6">
      <c r="A50" s="171" t="s">
        <v>77</v>
      </c>
      <c r="B50" s="33">
        <f t="shared" si="0"/>
        <v>17.699999999999989</v>
      </c>
      <c r="C50" s="33">
        <f>B50*2</f>
        <v>35.399999999999977</v>
      </c>
      <c r="D50" s="234"/>
    </row>
    <row r="51" spans="1:6">
      <c r="A51" s="171" t="s">
        <v>78</v>
      </c>
      <c r="B51" s="33">
        <f t="shared" si="0"/>
        <v>1493.3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13098.277508277373</v>
      </c>
      <c r="C5" s="17">
        <f>IF(ISERROR('Eigen informatie GS &amp; warmtenet'!B58),0,'Eigen informatie GS &amp; warmtenet'!B58)</f>
        <v>0</v>
      </c>
      <c r="D5" s="30">
        <f>SUM(D6:D12)</f>
        <v>12501.867821584317</v>
      </c>
      <c r="E5" s="17">
        <f>SUM(E6:E12)</f>
        <v>230.70227459503909</v>
      </c>
      <c r="F5" s="17">
        <f>SUM(F6:F12)</f>
        <v>2321.5704272902585</v>
      </c>
      <c r="G5" s="18"/>
      <c r="H5" s="17"/>
      <c r="I5" s="17"/>
      <c r="J5" s="17">
        <f>SUM(J6:J12)</f>
        <v>3.0845743983678155E-2</v>
      </c>
      <c r="K5" s="17"/>
      <c r="L5" s="17"/>
      <c r="M5" s="17"/>
      <c r="N5" s="17">
        <f>SUM(N6:N12)</f>
        <v>1230.1295098124338</v>
      </c>
      <c r="O5" s="17">
        <f>B38*B39*B40</f>
        <v>6.2533333333333339</v>
      </c>
      <c r="P5" s="17">
        <f>B46*B47*B48/1000-B46*B47*B48/1000/B49</f>
        <v>57.2</v>
      </c>
      <c r="R5" s="32"/>
    </row>
    <row r="6" spans="1:18">
      <c r="A6" s="32" t="s">
        <v>54</v>
      </c>
      <c r="B6" s="37">
        <f>B26</f>
        <v>1745.27562386758</v>
      </c>
      <c r="C6" s="33"/>
      <c r="D6" s="37">
        <f>IF(ISERROR(TER_kantoor_gas_kWh/1000),0,TER_kantoor_gas_kWh/1000)*0.902</f>
        <v>1553.2443735591419</v>
      </c>
      <c r="E6" s="33">
        <f>$C$26*'E Balans VL '!I12/100/3.6*1000000</f>
        <v>1.0938807140823365E-2</v>
      </c>
      <c r="F6" s="33">
        <f>$C$26*('E Balans VL '!L12+'E Balans VL '!N12)/100/3.6*1000000</f>
        <v>262.26615861521191</v>
      </c>
      <c r="G6" s="34"/>
      <c r="H6" s="33"/>
      <c r="I6" s="33"/>
      <c r="J6" s="33">
        <f>$C$26*('E Balans VL '!D12+'E Balans VL '!E12)/100/3.6*1000000</f>
        <v>0</v>
      </c>
      <c r="K6" s="33"/>
      <c r="L6" s="33"/>
      <c r="M6" s="33"/>
      <c r="N6" s="33">
        <f>$C$26*'E Balans VL '!Y12/100/3.6*1000000</f>
        <v>1.6690973687200965</v>
      </c>
      <c r="O6" s="33"/>
      <c r="P6" s="33"/>
      <c r="R6" s="32"/>
    </row>
    <row r="7" spans="1:18">
      <c r="A7" s="32" t="s">
        <v>53</v>
      </c>
      <c r="B7" s="37">
        <f t="shared" ref="B7:B12" si="0">B27</f>
        <v>1340.3683440096399</v>
      </c>
      <c r="C7" s="33"/>
      <c r="D7" s="37">
        <f>IF(ISERROR(TER_horeca_gas_kWh/1000),0,TER_horeca_gas_kWh/1000)*0.902</f>
        <v>1916.0291117032923</v>
      </c>
      <c r="E7" s="33">
        <f>$C$27*'E Balans VL '!I9/100/3.6*1000000</f>
        <v>19.19385142347237</v>
      </c>
      <c r="F7" s="33">
        <f>$C$27*('E Balans VL '!L9+'E Balans VL '!N9)/100/3.6*1000000</f>
        <v>169.73483940272072</v>
      </c>
      <c r="G7" s="34"/>
      <c r="H7" s="33"/>
      <c r="I7" s="33"/>
      <c r="J7" s="33">
        <f>$C$27*('E Balans VL '!D9+'E Balans VL '!E9)/100/3.6*1000000</f>
        <v>0</v>
      </c>
      <c r="K7" s="33"/>
      <c r="L7" s="33"/>
      <c r="M7" s="33"/>
      <c r="N7" s="33">
        <f>$C$27*'E Balans VL '!Y9/100/3.6*1000000</f>
        <v>0.38532634631757018</v>
      </c>
      <c r="O7" s="33"/>
      <c r="P7" s="33"/>
      <c r="R7" s="32"/>
    </row>
    <row r="8" spans="1:18">
      <c r="A8" s="6" t="s">
        <v>52</v>
      </c>
      <c r="B8" s="37">
        <f t="shared" si="0"/>
        <v>4297.4458940771101</v>
      </c>
      <c r="C8" s="33"/>
      <c r="D8" s="37">
        <f>IF(ISERROR(TER_handel_gas_kWh/1000),0,TER_handel_gas_kWh/1000)*0.902</f>
        <v>604.01491403469709</v>
      </c>
      <c r="E8" s="33">
        <f>$C$28*'E Balans VL '!I13/100/3.6*1000000</f>
        <v>155.86783264089118</v>
      </c>
      <c r="F8" s="33">
        <f>$C$28*('E Balans VL '!L13+'E Balans VL '!N13)/100/3.6*1000000</f>
        <v>827.73159360548846</v>
      </c>
      <c r="G8" s="34"/>
      <c r="H8" s="33"/>
      <c r="I8" s="33"/>
      <c r="J8" s="33">
        <f>$C$28*('E Balans VL '!D13+'E Balans VL '!E13)/100/3.6*1000000</f>
        <v>0</v>
      </c>
      <c r="K8" s="33"/>
      <c r="L8" s="33"/>
      <c r="M8" s="33"/>
      <c r="N8" s="33">
        <f>$C$28*'E Balans VL '!Y13/100/3.6*1000000</f>
        <v>5.9529513614979477</v>
      </c>
      <c r="O8" s="33"/>
      <c r="P8" s="33"/>
      <c r="R8" s="32"/>
    </row>
    <row r="9" spans="1:18">
      <c r="A9" s="32" t="s">
        <v>51</v>
      </c>
      <c r="B9" s="37">
        <f t="shared" si="0"/>
        <v>399.322137968802</v>
      </c>
      <c r="C9" s="33"/>
      <c r="D9" s="37">
        <f>IF(ISERROR(TER_gezond_gas_kWh/1000),0,TER_gezond_gas_kWh/1000)*0.902</f>
        <v>736.60149872410284</v>
      </c>
      <c r="E9" s="33">
        <f>$C$29*'E Balans VL '!I10/100/3.6*1000000</f>
        <v>2.5001508430688678E-2</v>
      </c>
      <c r="F9" s="33">
        <f>$C$29*('E Balans VL '!L10+'E Balans VL '!N10)/100/3.6*1000000</f>
        <v>59.320519415387061</v>
      </c>
      <c r="G9" s="34"/>
      <c r="H9" s="33"/>
      <c r="I9" s="33"/>
      <c r="J9" s="33">
        <f>$C$29*('E Balans VL '!D10+'E Balans VL '!E10)/100/3.6*1000000</f>
        <v>0</v>
      </c>
      <c r="K9" s="33"/>
      <c r="L9" s="33"/>
      <c r="M9" s="33"/>
      <c r="N9" s="33">
        <f>$C$29*'E Balans VL '!Y10/100/3.6*1000000</f>
        <v>6.1767533613940797</v>
      </c>
      <c r="O9" s="33"/>
      <c r="P9" s="33"/>
      <c r="R9" s="32"/>
    </row>
    <row r="10" spans="1:18">
      <c r="A10" s="32" t="s">
        <v>50</v>
      </c>
      <c r="B10" s="37">
        <f t="shared" si="0"/>
        <v>937.47926893333693</v>
      </c>
      <c r="C10" s="33"/>
      <c r="D10" s="37">
        <f>IF(ISERROR(TER_ander_gas_kWh/1000),0,TER_ander_gas_kWh/1000)*0.902</f>
        <v>310.33591121588626</v>
      </c>
      <c r="E10" s="33">
        <f>$C$30*'E Balans VL '!I14/100/3.6*1000000</f>
        <v>1.1174417887199455</v>
      </c>
      <c r="F10" s="33">
        <f>$C$30*('E Balans VL '!L14+'E Balans VL '!N14)/100/3.6*1000000</f>
        <v>245.28625380781085</v>
      </c>
      <c r="G10" s="34"/>
      <c r="H10" s="33"/>
      <c r="I10" s="33"/>
      <c r="J10" s="33">
        <f>$C$30*('E Balans VL '!D14+'E Balans VL '!E14)/100/3.6*1000000</f>
        <v>2.0349000111277427E-2</v>
      </c>
      <c r="K10" s="33"/>
      <c r="L10" s="33"/>
      <c r="M10" s="33"/>
      <c r="N10" s="33">
        <f>$C$30*'E Balans VL '!Y14/100/3.6*1000000</f>
        <v>796.08445538337935</v>
      </c>
      <c r="O10" s="33"/>
      <c r="P10" s="33"/>
      <c r="R10" s="32"/>
    </row>
    <row r="11" spans="1:18">
      <c r="A11" s="32" t="s">
        <v>55</v>
      </c>
      <c r="B11" s="37">
        <f t="shared" si="0"/>
        <v>43.620813852264995</v>
      </c>
      <c r="C11" s="33"/>
      <c r="D11" s="37">
        <f>IF(ISERROR(TER_onderwijs_gas_kWh/1000),0,TER_onderwijs_gas_kWh/1000)*0.902</f>
        <v>232.87363557330741</v>
      </c>
      <c r="E11" s="33">
        <f>$C$31*'E Balans VL '!I11/100/3.6*1000000</f>
        <v>0.65816782302915799</v>
      </c>
      <c r="F11" s="33">
        <f>$C$31*('E Balans VL '!L11+'E Balans VL '!N11)/100/3.6*1000000</f>
        <v>7.6430634501495662</v>
      </c>
      <c r="G11" s="34"/>
      <c r="H11" s="33"/>
      <c r="I11" s="33"/>
      <c r="J11" s="33">
        <f>$C$31*('E Balans VL '!D11+'E Balans VL '!E11)/100/3.6*1000000</f>
        <v>0</v>
      </c>
      <c r="K11" s="33"/>
      <c r="L11" s="33"/>
      <c r="M11" s="33"/>
      <c r="N11" s="33">
        <f>$C$31*'E Balans VL '!Y11/100/3.6*1000000</f>
        <v>0.12275228636082915</v>
      </c>
      <c r="O11" s="33"/>
      <c r="P11" s="33"/>
      <c r="R11" s="32"/>
    </row>
    <row r="12" spans="1:18">
      <c r="A12" s="32" t="s">
        <v>260</v>
      </c>
      <c r="B12" s="37">
        <f t="shared" si="0"/>
        <v>4334.7654255686402</v>
      </c>
      <c r="C12" s="33"/>
      <c r="D12" s="37">
        <f>IF(ISERROR(TER_rest_gas_kWh/1000),0,TER_rest_gas_kWh/1000)*0.902</f>
        <v>7148.7683767738909</v>
      </c>
      <c r="E12" s="33">
        <f>$C$32*'E Balans VL '!I8/100/3.6*1000000</f>
        <v>53.829040603354947</v>
      </c>
      <c r="F12" s="33">
        <f>$C$32*('E Balans VL '!L8+'E Balans VL '!N8)/100/3.6*1000000</f>
        <v>749.58799899348992</v>
      </c>
      <c r="G12" s="34"/>
      <c r="H12" s="33"/>
      <c r="I12" s="33"/>
      <c r="J12" s="33">
        <f>$C$32*('E Balans VL '!D8+'E Balans VL '!E8)/100/3.6*1000000</f>
        <v>1.0496743872400727E-2</v>
      </c>
      <c r="K12" s="33"/>
      <c r="L12" s="33"/>
      <c r="M12" s="33"/>
      <c r="N12" s="33">
        <f>$C$32*'E Balans VL '!Y8/100/3.6*1000000</f>
        <v>419.73817370476377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13098.277508277373</v>
      </c>
      <c r="C16" s="21">
        <f t="shared" ca="1" si="1"/>
        <v>0</v>
      </c>
      <c r="D16" s="21">
        <f t="shared" ca="1" si="1"/>
        <v>12501.867821584317</v>
      </c>
      <c r="E16" s="21">
        <f t="shared" si="1"/>
        <v>230.70227459503909</v>
      </c>
      <c r="F16" s="21">
        <f t="shared" ca="1" si="1"/>
        <v>2321.5704272902585</v>
      </c>
      <c r="G16" s="21">
        <f t="shared" si="1"/>
        <v>0</v>
      </c>
      <c r="H16" s="21">
        <f t="shared" si="1"/>
        <v>0</v>
      </c>
      <c r="I16" s="21">
        <f t="shared" si="1"/>
        <v>0</v>
      </c>
      <c r="J16" s="21">
        <f t="shared" si="1"/>
        <v>3.0845743983678155E-2</v>
      </c>
      <c r="K16" s="21">
        <f t="shared" si="1"/>
        <v>0</v>
      </c>
      <c r="L16" s="21">
        <f t="shared" ca="1" si="1"/>
        <v>0</v>
      </c>
      <c r="M16" s="21">
        <f t="shared" si="1"/>
        <v>0</v>
      </c>
      <c r="N16" s="21">
        <f t="shared" ca="1" si="1"/>
        <v>1230.1295098124338</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0.19798904799175601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2593.3154941956673</v>
      </c>
      <c r="C20" s="23">
        <f t="shared" ref="C20:P20" ca="1" si="2">C16*C18</f>
        <v>0</v>
      </c>
      <c r="D20" s="23">
        <f t="shared" ca="1" si="2"/>
        <v>2525.3772999600324</v>
      </c>
      <c r="E20" s="23">
        <f t="shared" si="2"/>
        <v>52.369416333073872</v>
      </c>
      <c r="F20" s="23">
        <f t="shared" ca="1" si="2"/>
        <v>619.85930408649904</v>
      </c>
      <c r="G20" s="23">
        <f t="shared" si="2"/>
        <v>0</v>
      </c>
      <c r="H20" s="23">
        <f t="shared" si="2"/>
        <v>0</v>
      </c>
      <c r="I20" s="23">
        <f t="shared" si="2"/>
        <v>0</v>
      </c>
      <c r="J20" s="23">
        <f t="shared" si="2"/>
        <v>1.0919393370222066E-2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1745.27562386758</v>
      </c>
      <c r="C26" s="39">
        <f>IF(ISERROR(B26*3.6/1000000/'E Balans VL '!Z12*100),0,B26*3.6/1000000/'E Balans VL '!Z12*100)</f>
        <v>3.6892361948650372E-2</v>
      </c>
      <c r="D26" s="237" t="s">
        <v>754</v>
      </c>
      <c r="F26" s="6"/>
    </row>
    <row r="27" spans="1:18">
      <c r="A27" s="231" t="s">
        <v>53</v>
      </c>
      <c r="B27" s="33">
        <f>IF(ISERROR(TER_horeca_ele_kWh/1000),0,TER_horeca_ele_kWh/1000)</f>
        <v>1340.3683440096399</v>
      </c>
      <c r="C27" s="39">
        <f>IF(ISERROR(B27*3.6/1000000/'E Balans VL '!Z9*100),0,B27*3.6/1000000/'E Balans VL '!Z9*100)</f>
        <v>0.10566073697749359</v>
      </c>
      <c r="D27" s="237" t="s">
        <v>754</v>
      </c>
      <c r="F27" s="6"/>
    </row>
    <row r="28" spans="1:18">
      <c r="A28" s="171" t="s">
        <v>52</v>
      </c>
      <c r="B28" s="33">
        <f>IF(ISERROR(TER_handel_ele_kWh/1000),0,TER_handel_ele_kWh/1000)</f>
        <v>4297.4458940771101</v>
      </c>
      <c r="C28" s="39">
        <f>IF(ISERROR(B28*3.6/1000000/'E Balans VL '!Z13*100),0,B28*3.6/1000000/'E Balans VL '!Z13*100)</f>
        <v>0.12472924347323024</v>
      </c>
      <c r="D28" s="237" t="s">
        <v>754</v>
      </c>
      <c r="F28" s="6"/>
    </row>
    <row r="29" spans="1:18">
      <c r="A29" s="231" t="s">
        <v>51</v>
      </c>
      <c r="B29" s="33">
        <f>IF(ISERROR(TER_gezond_ele_kWh/1000),0,TER_gezond_ele_kWh/1000)</f>
        <v>399.322137968802</v>
      </c>
      <c r="C29" s="39">
        <f>IF(ISERROR(B29*3.6/1000000/'E Balans VL '!Z10*100),0,B29*3.6/1000000/'E Balans VL '!Z10*100)</f>
        <v>4.2055178170700869E-2</v>
      </c>
      <c r="D29" s="237" t="s">
        <v>754</v>
      </c>
      <c r="F29" s="6"/>
    </row>
    <row r="30" spans="1:18">
      <c r="A30" s="231" t="s">
        <v>50</v>
      </c>
      <c r="B30" s="33">
        <f>IF(ISERROR(TER_ander_ele_kWh/1000),0,TER_ander_ele_kWh/1000)</f>
        <v>937.47926893333693</v>
      </c>
      <c r="C30" s="39">
        <f>IF(ISERROR(B30*3.6/1000000/'E Balans VL '!Z14*100),0,B30*3.6/1000000/'E Balans VL '!Z14*100)</f>
        <v>6.9148674496007256E-2</v>
      </c>
      <c r="D30" s="237" t="s">
        <v>754</v>
      </c>
      <c r="F30" s="6"/>
    </row>
    <row r="31" spans="1:18">
      <c r="A31" s="231" t="s">
        <v>55</v>
      </c>
      <c r="B31" s="33">
        <f>IF(ISERROR(TER_onderwijs_ele_kWh/1000),0,TER_onderwijs_ele_kWh/1000)</f>
        <v>43.620813852264995</v>
      </c>
      <c r="C31" s="39">
        <f>IF(ISERROR(B31*3.6/1000000/'E Balans VL '!Z11*100),0,B31*3.6/1000000/'E Balans VL '!Z11*100)</f>
        <v>1.0833091398773521E-2</v>
      </c>
      <c r="D31" s="237" t="s">
        <v>754</v>
      </c>
    </row>
    <row r="32" spans="1:18">
      <c r="A32" s="231" t="s">
        <v>260</v>
      </c>
      <c r="B32" s="33">
        <f>IF(ISERROR(TER_rest_ele_kWh/1000),0,TER_rest_ele_kWh/1000)</f>
        <v>4334.7654255686402</v>
      </c>
      <c r="C32" s="39">
        <f>IF(ISERROR(B32*3.6/1000000/'E Balans VL '!Z8*100),0,B32*3.6/1000000/'E Balans VL '!Z8*100)</f>
        <v>3.5669365636218066E-2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4831.2677458126645</v>
      </c>
      <c r="C5" s="17">
        <f>IF(ISERROR('Eigen informatie GS &amp; warmtenet'!B59),0,'Eigen informatie GS &amp; warmtenet'!B59)</f>
        <v>0</v>
      </c>
      <c r="D5" s="30">
        <f>SUM(D6:D15)</f>
        <v>3366.1345227517368</v>
      </c>
      <c r="E5" s="17">
        <f>SUM(E6:E15)</f>
        <v>664.89566022517056</v>
      </c>
      <c r="F5" s="17">
        <f>SUM(F6:F15)</f>
        <v>1972.1887864966616</v>
      </c>
      <c r="G5" s="18"/>
      <c r="H5" s="17"/>
      <c r="I5" s="17"/>
      <c r="J5" s="17">
        <f>SUM(J6:J15)</f>
        <v>7.8279881443080663</v>
      </c>
      <c r="K5" s="17"/>
      <c r="L5" s="17"/>
      <c r="M5" s="17"/>
      <c r="N5" s="17">
        <f>SUM(N6:N15)</f>
        <v>1607.3272262337848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25.445611645744698</v>
      </c>
      <c r="C8" s="33"/>
      <c r="D8" s="37">
        <f>IF( ISERROR(IND_metaal_Gas_kWH/1000),0,IND_metaal_Gas_kWH/1000)*0.902</f>
        <v>0</v>
      </c>
      <c r="E8" s="33">
        <f>C30*'E Balans VL '!I18/100/3.6*1000000</f>
        <v>0.23394782347718035</v>
      </c>
      <c r="F8" s="33">
        <f>C30*'E Balans VL '!L18/100/3.6*1000000+C30*'E Balans VL '!N18/100/3.6*1000000</f>
        <v>2.3859512022047182</v>
      </c>
      <c r="G8" s="34"/>
      <c r="H8" s="33"/>
      <c r="I8" s="33"/>
      <c r="J8" s="40">
        <f>C30*'E Balans VL '!D18/100/3.6*1000000+C30*'E Balans VL '!E18/100/3.6*1000000</f>
        <v>0</v>
      </c>
      <c r="K8" s="33"/>
      <c r="L8" s="33"/>
      <c r="M8" s="33"/>
      <c r="N8" s="33">
        <f>C30*'E Balans VL '!Y18/100/3.6*1000000</f>
        <v>0.36302370077058943</v>
      </c>
      <c r="O8" s="33"/>
      <c r="P8" s="33"/>
      <c r="R8" s="32"/>
    </row>
    <row r="9" spans="1:18">
      <c r="A9" s="6" t="s">
        <v>33</v>
      </c>
      <c r="B9" s="37">
        <f t="shared" si="0"/>
        <v>1856.56636584485</v>
      </c>
      <c r="C9" s="33"/>
      <c r="D9" s="37">
        <f>IF( ISERROR(IND_andere_gas_kWh/1000),0,IND_andere_gas_kWh/1000)*0.902</f>
        <v>526.88900391358902</v>
      </c>
      <c r="E9" s="33">
        <f>C31*'E Balans VL '!I19/100/3.6*1000000</f>
        <v>542.71049182054037</v>
      </c>
      <c r="F9" s="33">
        <f>C31*'E Balans VL '!L19/100/3.6*1000000+C31*'E Balans VL '!N19/100/3.6*1000000</f>
        <v>1491.8916041175798</v>
      </c>
      <c r="G9" s="34"/>
      <c r="H9" s="33"/>
      <c r="I9" s="33"/>
      <c r="J9" s="40">
        <f>C31*'E Balans VL '!D19/100/3.6*1000000+C31*'E Balans VL '!E19/100/3.6*1000000</f>
        <v>0</v>
      </c>
      <c r="K9" s="33"/>
      <c r="L9" s="33"/>
      <c r="M9" s="33"/>
      <c r="N9" s="33">
        <f>C31*'E Balans VL '!Y19/100/3.6*1000000</f>
        <v>613.43832057802581</v>
      </c>
      <c r="O9" s="33"/>
      <c r="P9" s="33"/>
      <c r="R9" s="32"/>
    </row>
    <row r="10" spans="1:18">
      <c r="A10" s="6" t="s">
        <v>41</v>
      </c>
      <c r="B10" s="37">
        <f t="shared" si="0"/>
        <v>516.60961986435802</v>
      </c>
      <c r="C10" s="33"/>
      <c r="D10" s="37">
        <f>IF( ISERROR(IND_voed_gas_kWh/1000),0,IND_voed_gas_kWh/1000)*0.902</f>
        <v>534.03335709904582</v>
      </c>
      <c r="E10" s="33">
        <f>C32*'E Balans VL '!I20/100/3.6*1000000</f>
        <v>1.0928956609500762</v>
      </c>
      <c r="F10" s="33">
        <f>C32*'E Balans VL '!L20/100/3.6*1000000+C32*'E Balans VL '!N20/100/3.6*1000000</f>
        <v>32.846567332227963</v>
      </c>
      <c r="G10" s="34"/>
      <c r="H10" s="33"/>
      <c r="I10" s="33"/>
      <c r="J10" s="40">
        <f>C32*'E Balans VL '!D20/100/3.6*1000000+C32*'E Balans VL '!E20/100/3.6*1000000</f>
        <v>0</v>
      </c>
      <c r="K10" s="33"/>
      <c r="L10" s="33"/>
      <c r="M10" s="33"/>
      <c r="N10" s="33">
        <f>C32*'E Balans VL '!Y20/100/3.6*1000000</f>
        <v>35.651161798937721</v>
      </c>
      <c r="O10" s="33"/>
      <c r="P10" s="33"/>
      <c r="R10" s="32"/>
    </row>
    <row r="11" spans="1:18">
      <c r="A11" s="6" t="s">
        <v>40</v>
      </c>
      <c r="B11" s="37">
        <f t="shared" si="0"/>
        <v>93.385955386245598</v>
      </c>
      <c r="C11" s="33"/>
      <c r="D11" s="37">
        <f>IF( ISERROR(IND_textiel_gas_kWh/1000),0,IND_textiel_gas_kWh/1000)*0.902</f>
        <v>0</v>
      </c>
      <c r="E11" s="33">
        <f>C33*'E Balans VL '!I21/100/3.6*1000000</f>
        <v>0.27734823607996995</v>
      </c>
      <c r="F11" s="33">
        <f>C33*'E Balans VL '!L21/100/3.6*1000000+C33*'E Balans VL '!N21/100/3.6*1000000</f>
        <v>9.4345453229199876</v>
      </c>
      <c r="G11" s="34"/>
      <c r="H11" s="33"/>
      <c r="I11" s="33"/>
      <c r="J11" s="40">
        <f>C33*'E Balans VL '!D21/100/3.6*1000000+C33*'E Balans VL '!E21/100/3.6*1000000</f>
        <v>0</v>
      </c>
      <c r="K11" s="33"/>
      <c r="L11" s="33"/>
      <c r="M11" s="33"/>
      <c r="N11" s="33">
        <f>C33*'E Balans VL '!Y21/100/3.6*1000000</f>
        <v>5.1505334672171763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159.552570204446</v>
      </c>
      <c r="C13" s="33"/>
      <c r="D13" s="37">
        <f>IF( ISERROR(IND_papier_gas_kWh/1000),0,IND_papier_gas_kWh/1000)*0.902</f>
        <v>0</v>
      </c>
      <c r="E13" s="33">
        <f>C35*'E Balans VL '!I23/100/3.6*1000000</f>
        <v>0.22636860773056949</v>
      </c>
      <c r="F13" s="33">
        <f>C35*'E Balans VL '!L23/100/3.6*1000000+C35*'E Balans VL '!N23/100/3.6*1000000</f>
        <v>3.8952781950363264</v>
      </c>
      <c r="G13" s="34"/>
      <c r="H13" s="33"/>
      <c r="I13" s="33"/>
      <c r="J13" s="40">
        <f>C35*'E Balans VL '!D23/100/3.6*1000000+C35*'E Balans VL '!E23/100/3.6*1000000</f>
        <v>2.4676302952929177E-2</v>
      </c>
      <c r="K13" s="33"/>
      <c r="L13" s="33"/>
      <c r="M13" s="33"/>
      <c r="N13" s="33">
        <f>C35*'E Balans VL '!Y23/100/3.6*1000000</f>
        <v>463.7815528967559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2179.7076228670198</v>
      </c>
      <c r="C15" s="33"/>
      <c r="D15" s="37">
        <f>IF( ISERROR(IND_rest_gas_kWh/1000),0,IND_rest_gas_kWh/1000)*0.902</f>
        <v>2305.2121617391022</v>
      </c>
      <c r="E15" s="33">
        <f>C37*'E Balans VL '!I15/100/3.6*1000000</f>
        <v>120.35460807639238</v>
      </c>
      <c r="F15" s="33">
        <f>C37*'E Balans VL '!L15/100/3.6*1000000+C37*'E Balans VL '!N15/100/3.6*1000000</f>
        <v>431.73484032669273</v>
      </c>
      <c r="G15" s="34"/>
      <c r="H15" s="33"/>
      <c r="I15" s="33"/>
      <c r="J15" s="40">
        <f>C37*'E Balans VL '!D15/100/3.6*1000000+C37*'E Balans VL '!E15/100/3.6*1000000</f>
        <v>7.8033118413551374</v>
      </c>
      <c r="K15" s="33"/>
      <c r="L15" s="33"/>
      <c r="M15" s="33"/>
      <c r="N15" s="33">
        <f>C37*'E Balans VL '!Y15/100/3.6*1000000</f>
        <v>488.94263379207746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4831.2677458126645</v>
      </c>
      <c r="C18" s="21">
        <f>C5+C16</f>
        <v>0</v>
      </c>
      <c r="D18" s="21">
        <f>MAX((D5+D16),0)</f>
        <v>3366.1345227517368</v>
      </c>
      <c r="E18" s="21">
        <f>MAX((E5+E16),0)</f>
        <v>664.89566022517056</v>
      </c>
      <c r="F18" s="21">
        <f>MAX((F5+F16),0)</f>
        <v>1972.1887864966616</v>
      </c>
      <c r="G18" s="21"/>
      <c r="H18" s="21"/>
      <c r="I18" s="21"/>
      <c r="J18" s="21">
        <f>MAX((J5+J16),0)</f>
        <v>7.8279881443080663</v>
      </c>
      <c r="K18" s="21"/>
      <c r="L18" s="21">
        <f>MAX((L5+L16),0)</f>
        <v>0</v>
      </c>
      <c r="M18" s="21"/>
      <c r="N18" s="21">
        <f>MAX((N5+N16),0)</f>
        <v>1607.3272262337848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0.19798904799175601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956.5381015867265</v>
      </c>
      <c r="C22" s="23">
        <f ca="1">C18*C20</f>
        <v>0</v>
      </c>
      <c r="D22" s="23">
        <f>D18*D20</f>
        <v>679.95917359585087</v>
      </c>
      <c r="E22" s="23">
        <f>E18*E20</f>
        <v>150.93131487111373</v>
      </c>
      <c r="F22" s="23">
        <f>F18*F20</f>
        <v>526.5744059946087</v>
      </c>
      <c r="G22" s="23"/>
      <c r="H22" s="23"/>
      <c r="I22" s="23"/>
      <c r="J22" s="23">
        <f>J18*J20</f>
        <v>2.7711078030850556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25.445611645744698</v>
      </c>
      <c r="C30" s="39">
        <f>IF(ISERROR(B30*3.6/1000000/'E Balans VL '!Z18*100),0,B30*3.6/1000000/'E Balans VL '!Z18*100)</f>
        <v>1.4420680587800695E-3</v>
      </c>
      <c r="D30" s="237" t="s">
        <v>754</v>
      </c>
    </row>
    <row r="31" spans="1:18">
      <c r="A31" s="6" t="s">
        <v>33</v>
      </c>
      <c r="B31" s="37">
        <f>IF( ISERROR(IND_ander_ele_kWh/1000),0,IND_ander_ele_kWh/1000)</f>
        <v>1856.56636584485</v>
      </c>
      <c r="C31" s="39">
        <f>IF(ISERROR(B31*3.6/1000000/'E Balans VL '!Z19*100),0,B31*3.6/1000000/'E Balans VL '!Z19*100)</f>
        <v>8.420611974692388E-2</v>
      </c>
      <c r="D31" s="237" t="s">
        <v>754</v>
      </c>
    </row>
    <row r="32" spans="1:18">
      <c r="A32" s="171" t="s">
        <v>41</v>
      </c>
      <c r="B32" s="37">
        <f>IF( ISERROR(IND_voed_ele_kWh/1000),0,IND_voed_ele_kWh/1000)</f>
        <v>516.60961986435802</v>
      </c>
      <c r="C32" s="39">
        <f>IF(ISERROR(B32*3.6/1000000/'E Balans VL '!Z20*100),0,B32*3.6/1000000/'E Balans VL '!Z20*100)</f>
        <v>1.5981080752059843E-2</v>
      </c>
      <c r="D32" s="237" t="s">
        <v>754</v>
      </c>
    </row>
    <row r="33" spans="1:5">
      <c r="A33" s="171" t="s">
        <v>40</v>
      </c>
      <c r="B33" s="37">
        <f>IF( ISERROR(IND_textiel_ele_kWh/1000),0,IND_textiel_ele_kWh/1000)</f>
        <v>93.385955386245598</v>
      </c>
      <c r="C33" s="39">
        <f>IF(ISERROR(B33*3.6/1000000/'E Balans VL '!Z21*100),0,B33*3.6/1000000/'E Balans VL '!Z21*100)</f>
        <v>1.2176490544615283E-2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159.552570204446</v>
      </c>
      <c r="C35" s="39">
        <f>IF(ISERROR(B35*3.6/1000000/'E Balans VL '!Z22*100),0,B35*3.6/1000000/'E Balans VL '!Z22*100)</f>
        <v>2.8698529396920462E-2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2179.7076228670198</v>
      </c>
      <c r="C37" s="39">
        <f>IF(ISERROR(B37*3.6/1000000/'E Balans VL '!Z15*100),0,B37*3.6/1000000/'E Balans VL '!Z15*100)</f>
        <v>1.7276859846771467E-2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847.36053089341692</v>
      </c>
      <c r="C5" s="17">
        <f>'Eigen informatie GS &amp; warmtenet'!B60</f>
        <v>0</v>
      </c>
      <c r="D5" s="30">
        <f>IF(ISERROR(SUM(LB_lb_gas_kWh,LB_rest_gas_kWh)/1000),0,SUM(LB_lb_gas_kWh,LB_rest_gas_kWh)/1000)*0.902</f>
        <v>330.04999215631091</v>
      </c>
      <c r="E5" s="17">
        <f>B17*'E Balans VL '!I25/3.6*1000000/100</f>
        <v>24.906514140745617</v>
      </c>
      <c r="F5" s="17">
        <f>B17*('E Balans VL '!L25/3.6*1000000+'E Balans VL '!N25/3.6*1000000)/100</f>
        <v>3530.0581827422411</v>
      </c>
      <c r="G5" s="18"/>
      <c r="H5" s="17"/>
      <c r="I5" s="17"/>
      <c r="J5" s="17">
        <f>('E Balans VL '!D25+'E Balans VL '!E25)/3.6*1000000*landbouw!B17/100</f>
        <v>122.76434365075302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847.36053089341692</v>
      </c>
      <c r="C8" s="21">
        <f>C5+C6</f>
        <v>0</v>
      </c>
      <c r="D8" s="21">
        <f>MAX((D5+D6),0)</f>
        <v>330.04999215631091</v>
      </c>
      <c r="E8" s="21">
        <f>MAX((E5+E6),0)</f>
        <v>24.906514140745617</v>
      </c>
      <c r="F8" s="21">
        <f>MAX((F5+F6),0)</f>
        <v>3530.0581827422411</v>
      </c>
      <c r="G8" s="21"/>
      <c r="H8" s="21"/>
      <c r="I8" s="21"/>
      <c r="J8" s="21">
        <f>MAX((J5+J6),0)</f>
        <v>122.76434365075302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0.19798904799175601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167.76810481737658</v>
      </c>
      <c r="C12" s="23">
        <f ca="1">C8*C10</f>
        <v>0</v>
      </c>
      <c r="D12" s="23">
        <f>D8*D10</f>
        <v>66.670098415574813</v>
      </c>
      <c r="E12" s="23">
        <f>E8*E10</f>
        <v>5.6537787099492549</v>
      </c>
      <c r="F12" s="23">
        <f>F8*F10</f>
        <v>942.52553479217841</v>
      </c>
      <c r="G12" s="23"/>
      <c r="H12" s="23"/>
      <c r="I12" s="23"/>
      <c r="J12" s="23">
        <f>J8*J10</f>
        <v>43.458577652366564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0.12024311784636517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170.13742883387295</v>
      </c>
      <c r="C26" s="247">
        <f>B26*'GWP N2O_CH4'!B5</f>
        <v>3572.8860055113319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44.551869032042937</v>
      </c>
      <c r="C27" s="247">
        <f>B27*'GWP N2O_CH4'!B5</f>
        <v>935.5892496729017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2.0607497851902998</v>
      </c>
      <c r="C28" s="247">
        <f>B28*'GWP N2O_CH4'!B4</f>
        <v>638.83243340899298</v>
      </c>
      <c r="D28" s="50"/>
    </row>
    <row r="29" spans="1:4">
      <c r="A29" s="41" t="s">
        <v>277</v>
      </c>
      <c r="B29" s="247">
        <f>B34*'ha_N2O bodem landbouw'!B4</f>
        <v>11.572064211199088</v>
      </c>
      <c r="C29" s="247">
        <f>B29*'GWP N2O_CH4'!B4</f>
        <v>3587.339905471717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2.6407051738882551E-3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8.8013427880662961E-5</v>
      </c>
      <c r="C5" s="463" t="s">
        <v>211</v>
      </c>
      <c r="D5" s="448">
        <f>SUM(D6:D11)</f>
        <v>3.7130881999778808E-4</v>
      </c>
      <c r="E5" s="448">
        <f>SUM(E6:E11)</f>
        <v>4.8250480732067724E-4</v>
      </c>
      <c r="F5" s="461" t="s">
        <v>211</v>
      </c>
      <c r="G5" s="448">
        <f>SUM(G6:G11)</f>
        <v>0.163037569428752</v>
      </c>
      <c r="H5" s="448">
        <f>SUM(H6:H11)</f>
        <v>4.145788409062548E-2</v>
      </c>
      <c r="I5" s="463" t="s">
        <v>211</v>
      </c>
      <c r="J5" s="463" t="s">
        <v>211</v>
      </c>
      <c r="K5" s="463" t="s">
        <v>211</v>
      </c>
      <c r="L5" s="463" t="s">
        <v>211</v>
      </c>
      <c r="M5" s="448">
        <f>SUM(M6:M11)</f>
        <v>1.0748497226103569E-2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4.2024549693115309E-5</v>
      </c>
      <c r="C6" s="449"/>
      <c r="D6" s="892">
        <f>vkm_2011_GW_PW*SUMIFS(TableVerdeelsleutelVkm[CNG],TableVerdeelsleutelVkm[Voertuigtype],"Lichte voertuigen")*SUMIFS(TableECFTransport[EnergieConsumptieFactor (PJ per km)],TableECFTransport[Index],CONCATENATE($A6,"_CNG_CNG"))</f>
        <v>1.2604952918179177E-4</v>
      </c>
      <c r="E6" s="892">
        <f>vkm_2011_GW_PW*SUMIFS(TableVerdeelsleutelVkm[LPG],TableVerdeelsleutelVkm[Voertuigtype],"Lichte voertuigen")*SUMIFS(TableECFTransport[EnergieConsumptieFactor (PJ per km)],TableECFTransport[Index],CONCATENATE($A6,"_LPG_LPG"))</f>
        <v>1.7220176298488396E-4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4.4523482056384109E-2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1.4336683551007945E-2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3.0241921182648343E-3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2.2829655381012049E-2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6.958015059177969E-6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1.3340880375810255E-3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4.5988878187547646E-5</v>
      </c>
      <c r="C8" s="449"/>
      <c r="D8" s="451">
        <f>vkm_2011_NGW_PW*SUMIFS(TableVerdeelsleutelVkm[CNG],TableVerdeelsleutelVkm[Voertuigtype],"Lichte voertuigen")*SUMIFS(TableECFTransport[EnergieConsumptieFactor (PJ per km)],TableECFTransport[Index],CONCATENATE($A8,"_CNG_CNG"))</f>
        <v>2.4525929081599634E-4</v>
      </c>
      <c r="E8" s="451">
        <f>vkm_2011_NGW_PW*SUMIFS(TableVerdeelsleutelVkm[LPG],TableVerdeelsleutelVkm[Voertuigtype],"Lichte voertuigen")*SUMIFS(TableECFTransport[EnergieConsumptieFactor (PJ per km)],TableECFTransport[Index],CONCATENATE($A8,"_LPG_LPG"))</f>
        <v>3.1030304433579328E-4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7.4766004005861905E-2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2.7108240531280251E-2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5.1678257286532801E-3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2.0918427985493964E-2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6.0019932781069674E-6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1.2223913416044283E-3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24.448174411295266</v>
      </c>
      <c r="C14" s="21"/>
      <c r="D14" s="21">
        <f t="shared" ref="D14:M14" si="0">((D5)*10^9/3600)+D12</f>
        <v>103.14133888827446</v>
      </c>
      <c r="E14" s="21">
        <f t="shared" si="0"/>
        <v>134.02911314463256</v>
      </c>
      <c r="F14" s="21"/>
      <c r="G14" s="21">
        <f t="shared" si="0"/>
        <v>45288.213730208889</v>
      </c>
      <c r="H14" s="21">
        <f t="shared" si="0"/>
        <v>11516.078914062633</v>
      </c>
      <c r="I14" s="21"/>
      <c r="J14" s="21"/>
      <c r="K14" s="21"/>
      <c r="L14" s="21"/>
      <c r="M14" s="21">
        <f t="shared" si="0"/>
        <v>2985.6936739176581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0.19798904799175601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4.8404707768287594</v>
      </c>
      <c r="C18" s="23"/>
      <c r="D18" s="23">
        <f t="shared" ref="D18:M18" si="1">D14*D16</f>
        <v>20.834550455431444</v>
      </c>
      <c r="E18" s="23">
        <f t="shared" si="1"/>
        <v>30.424608683831593</v>
      </c>
      <c r="F18" s="23"/>
      <c r="G18" s="23">
        <f t="shared" si="1"/>
        <v>12091.953065965774</v>
      </c>
      <c r="H18" s="23">
        <f t="shared" si="1"/>
        <v>2867.5036496015955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3.9664472891925533E-3</v>
      </c>
      <c r="H50" s="321">
        <f t="shared" si="2"/>
        <v>0</v>
      </c>
      <c r="I50" s="321">
        <f t="shared" si="2"/>
        <v>0</v>
      </c>
      <c r="J50" s="321">
        <f t="shared" si="2"/>
        <v>0</v>
      </c>
      <c r="K50" s="321">
        <f t="shared" si="2"/>
        <v>0</v>
      </c>
      <c r="L50" s="321">
        <f t="shared" si="2"/>
        <v>0</v>
      </c>
      <c r="M50" s="321">
        <f t="shared" si="2"/>
        <v>2.2527669584160352E-4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3.9664472891925533E-3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2.2527669584160352E-4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1101.7909136645981</v>
      </c>
      <c r="H54" s="21">
        <f t="shared" si="3"/>
        <v>0</v>
      </c>
      <c r="I54" s="21">
        <f t="shared" si="3"/>
        <v>0</v>
      </c>
      <c r="J54" s="21">
        <f t="shared" si="3"/>
        <v>0</v>
      </c>
      <c r="K54" s="21">
        <f t="shared" si="3"/>
        <v>0</v>
      </c>
      <c r="L54" s="21">
        <f t="shared" si="3"/>
        <v>0</v>
      </c>
      <c r="M54" s="21">
        <f t="shared" si="3"/>
        <v>62.57685995600098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0.19798904799175601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294.17817394844769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4769.5230270136854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4769.5230270136854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2019-08-12T08:34:34Z</dcterms:modified>
</cp:coreProperties>
</file>