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I19"/>
  <c r="I89" i="14" s="1"/>
  <c r="I19" i="61" s="1"/>
  <c r="H19" i="18"/>
  <c r="M89" i="14" s="1"/>
  <c r="M19" i="61" s="1"/>
  <c r="G19" i="18"/>
  <c r="H89" i="14" s="1"/>
  <c r="H19" i="61" s="1"/>
  <c r="F19" i="18"/>
  <c r="E19"/>
  <c r="F89" i="14" s="1"/>
  <c r="F19" i="61" s="1"/>
  <c r="D19" i="18"/>
  <c r="C19"/>
  <c r="B19"/>
  <c r="N18"/>
  <c r="L88" i="14" s="1"/>
  <c r="M18" i="18"/>
  <c r="K88" i="14" s="1"/>
  <c r="L18" i="18"/>
  <c r="L20" s="1"/>
  <c r="K18"/>
  <c r="N88" i="14" s="1"/>
  <c r="N18" i="61" s="1"/>
  <c r="N20" s="1"/>
  <c r="J18" i="18"/>
  <c r="I18"/>
  <c r="H18"/>
  <c r="G18"/>
  <c r="F18"/>
  <c r="G88" i="14" s="1"/>
  <c r="G18" i="61" s="1"/>
  <c r="E18" i="18"/>
  <c r="F88" i="14" s="1"/>
  <c r="F18" i="61" s="1"/>
  <c r="D18" i="18"/>
  <c r="E88" i="14" s="1"/>
  <c r="C18" i="18"/>
  <c r="B18"/>
  <c r="L9"/>
  <c r="O77" i="14" s="1"/>
  <c r="O9" i="61" s="1"/>
  <c r="K9" i="18"/>
  <c r="I9"/>
  <c r="G9"/>
  <c r="G10" s="1"/>
  <c r="F9"/>
  <c r="F10" s="1"/>
  <c r="D9"/>
  <c r="K22"/>
  <c r="J22"/>
  <c r="I22"/>
  <c r="H22"/>
  <c r="K12"/>
  <c r="J12"/>
  <c r="I12"/>
  <c r="H12"/>
  <c r="W92"/>
  <c r="V92"/>
  <c r="U92"/>
  <c r="L6" i="17" s="1"/>
  <c r="T92" i="18"/>
  <c r="S92"/>
  <c r="R92"/>
  <c r="Q92"/>
  <c r="P92"/>
  <c r="O92"/>
  <c r="C6" i="17" s="1"/>
  <c r="N92" i="18"/>
  <c r="M92"/>
  <c r="W91"/>
  <c r="V91"/>
  <c r="U91"/>
  <c r="T91"/>
  <c r="S91"/>
  <c r="R91"/>
  <c r="Q91"/>
  <c r="P91"/>
  <c r="O91"/>
  <c r="N91"/>
  <c r="M91"/>
  <c r="W90"/>
  <c r="V90"/>
  <c r="U90"/>
  <c r="T90"/>
  <c r="S90"/>
  <c r="R90"/>
  <c r="Q90"/>
  <c r="P90"/>
  <c r="O90"/>
  <c r="N90"/>
  <c r="M90"/>
  <c r="W89"/>
  <c r="V89"/>
  <c r="J9" s="1"/>
  <c r="J77" i="14" s="1"/>
  <c r="J9" i="61" s="1"/>
  <c r="U89" i="18"/>
  <c r="T89"/>
  <c r="S89"/>
  <c r="E9" s="1"/>
  <c r="R89"/>
  <c r="Q89"/>
  <c r="P89"/>
  <c r="C9" s="1"/>
  <c r="O89"/>
  <c r="N89"/>
  <c r="B9" s="1"/>
  <c r="M89"/>
  <c r="W61"/>
  <c r="V61"/>
  <c r="U61"/>
  <c r="T61"/>
  <c r="S61"/>
  <c r="F6" i="17" s="1"/>
  <c r="R61" i="18"/>
  <c r="N6" i="17" s="1"/>
  <c r="Q61" i="18"/>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89" i="14"/>
  <c r="G19" i="61" s="1"/>
  <c r="H88" i="14"/>
  <c r="H18" i="61" s="1"/>
  <c r="D20" i="18"/>
  <c r="D88" i="14"/>
  <c r="D18" i="61" s="1"/>
  <c r="G12" i="18"/>
  <c r="F12"/>
  <c r="E12"/>
  <c r="D12"/>
  <c r="C12"/>
  <c r="L10"/>
  <c r="K10"/>
  <c r="E77" i="14"/>
  <c r="E9" i="61" s="1"/>
  <c r="B8" i="18"/>
  <c r="B6"/>
  <c r="B5"/>
  <c r="B73" i="14" s="1"/>
  <c r="B5" i="61" s="1"/>
  <c r="B4" i="18"/>
  <c r="B19" i="6"/>
  <c r="B18"/>
  <c r="B5"/>
  <c r="B6"/>
  <c r="C64" i="14" s="1"/>
  <c r="D14" i="48"/>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28"/>
  <c r="O89" i="14"/>
  <c r="O19" i="61" s="1"/>
  <c r="N89" i="14"/>
  <c r="N19" i="61" s="1"/>
  <c r="L89" i="14"/>
  <c r="L19" i="61" s="1"/>
  <c r="K89" i="14"/>
  <c r="K19" i="61" s="1"/>
  <c r="J89" i="14"/>
  <c r="J19" i="61" s="1"/>
  <c r="E89" i="14"/>
  <c r="E19" i="61" s="1"/>
  <c r="D89" i="14"/>
  <c r="D19" i="61" s="1"/>
  <c r="M88" i="14"/>
  <c r="M18" i="61" s="1"/>
  <c r="J88" i="14"/>
  <c r="J18" i="61" s="1"/>
  <c r="I88" i="14"/>
  <c r="I18" i="61" s="1"/>
  <c r="O87" i="14"/>
  <c r="O17" i="61" s="1"/>
  <c r="N87" i="14"/>
  <c r="N17" i="61" s="1"/>
  <c r="L87" i="14"/>
  <c r="L17" i="61" s="1"/>
  <c r="K87" i="14"/>
  <c r="K17" i="61" s="1"/>
  <c r="H87" i="14"/>
  <c r="H17" i="61" s="1"/>
  <c r="G87" i="14"/>
  <c r="G17" i="61" s="1"/>
  <c r="E87" i="14"/>
  <c r="E17" i="61" s="1"/>
  <c r="N77" i="14"/>
  <c r="L77"/>
  <c r="L9" i="61" s="1"/>
  <c r="K77" i="14"/>
  <c r="K9" i="61" s="1"/>
  <c r="O76" i="14"/>
  <c r="O8" i="61" s="1"/>
  <c r="N76" i="14"/>
  <c r="N8" i="61" s="1"/>
  <c r="L76" i="14"/>
  <c r="K76"/>
  <c r="H76"/>
  <c r="H8" i="61" s="1"/>
  <c r="G76" i="14"/>
  <c r="G8" i="61" s="1"/>
  <c r="E76" i="14"/>
  <c r="E8" i="61" s="1"/>
  <c r="B75" i="14"/>
  <c r="B7" i="61" s="1"/>
  <c r="B74" i="14"/>
  <c r="B6" i="61" s="1"/>
  <c r="C29" i="14"/>
  <c r="Q54"/>
  <c r="Q56" s="1"/>
  <c r="P54"/>
  <c r="P56" s="1"/>
  <c r="L54"/>
  <c r="J54"/>
  <c r="I54"/>
  <c r="H54"/>
  <c r="H56" s="1"/>
  <c r="Q24"/>
  <c r="P24"/>
  <c r="P26" s="1"/>
  <c r="N24"/>
  <c r="L24"/>
  <c r="L26" s="1"/>
  <c r="J24"/>
  <c r="I24"/>
  <c r="I26" s="1"/>
  <c r="H24"/>
  <c r="Q50"/>
  <c r="P50"/>
  <c r="O50"/>
  <c r="M50"/>
  <c r="L50"/>
  <c r="K50"/>
  <c r="J50"/>
  <c r="G50"/>
  <c r="D50"/>
  <c r="Q49"/>
  <c r="Q52" s="1"/>
  <c r="P49"/>
  <c r="Q20"/>
  <c r="P20"/>
  <c r="O20"/>
  <c r="M20"/>
  <c r="L20"/>
  <c r="K20"/>
  <c r="J20"/>
  <c r="G20"/>
  <c r="D20"/>
  <c r="Q19"/>
  <c r="P19"/>
  <c r="P22" s="1"/>
  <c r="O19"/>
  <c r="O22" s="1"/>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P52"/>
  <c r="R44"/>
  <c r="Q26"/>
  <c r="N26"/>
  <c r="J26"/>
  <c r="E25"/>
  <c r="C25"/>
  <c r="B14" i="48" s="1"/>
  <c r="Q14" s="1"/>
  <c r="H26" i="14"/>
  <c r="G22"/>
  <c r="R12"/>
  <c r="D5" i="17"/>
  <c r="K18" i="61" l="1"/>
  <c r="K90" i="14"/>
  <c r="E90"/>
  <c r="E18" i="61"/>
  <c r="K78" i="14"/>
  <c r="K8" i="61"/>
  <c r="K10" s="1"/>
  <c r="L78" i="14"/>
  <c r="L8" i="61"/>
  <c r="L10" s="1"/>
  <c r="B10" i="18"/>
  <c r="O10" i="61"/>
  <c r="G20"/>
  <c r="K20"/>
  <c r="Q11" i="48"/>
  <c r="O25"/>
  <c r="E20" i="61"/>
  <c r="O32" i="48"/>
  <c r="C98" i="18"/>
  <c r="G101" s="1"/>
  <c r="I8" s="1"/>
  <c r="D13" i="15"/>
  <c r="B72" i="14"/>
  <c r="B4" i="61" s="1"/>
  <c r="O30" i="48"/>
  <c r="C13" i="15"/>
  <c r="N78" i="14"/>
  <c r="N9" i="61"/>
  <c r="N10" s="1"/>
  <c r="L90" i="14"/>
  <c r="L18" i="61"/>
  <c r="H9" i="18"/>
  <c r="M77" i="14" s="1"/>
  <c r="M9" i="61" s="1"/>
  <c r="L20"/>
  <c r="P31" i="48"/>
  <c r="J22" i="14"/>
  <c r="E10" i="61"/>
  <c r="B17" i="18"/>
  <c r="B20" s="1"/>
  <c r="G77" i="14"/>
  <c r="G9" i="61" s="1"/>
  <c r="G10" s="1"/>
  <c r="H20"/>
  <c r="P25" i="48"/>
  <c r="I77" i="14"/>
  <c r="I9" i="61" s="1"/>
  <c r="L13" i="15"/>
  <c r="B13"/>
  <c r="H90" i="14"/>
  <c r="N13" i="15"/>
  <c r="F77" i="14"/>
  <c r="F9" i="61" s="1"/>
  <c r="F101" i="18"/>
  <c r="H101"/>
  <c r="D101"/>
  <c r="C10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R9" i="14"/>
  <c r="D22"/>
  <c r="E55"/>
  <c r="R25"/>
  <c r="E78"/>
  <c r="H78" l="1"/>
  <c r="H9" i="61"/>
  <c r="H10" s="1"/>
  <c r="O90" i="14"/>
  <c r="O18" i="61"/>
  <c r="O20" s="1"/>
  <c r="G78" i="14"/>
  <c r="B101" i="18"/>
  <c r="C8" s="1"/>
  <c r="C10" s="1"/>
  <c r="O9"/>
  <c r="I101"/>
  <c r="H8" s="1"/>
  <c r="H10" s="1"/>
  <c r="E101"/>
  <c r="E8" s="1"/>
  <c r="B88" i="14"/>
  <c r="B18" i="61" s="1"/>
  <c r="B77" i="14"/>
  <c r="B9" i="61" s="1"/>
  <c r="Q77" i="14"/>
  <c r="P9" i="61" s="1"/>
  <c r="J17" i="18"/>
  <c r="H20"/>
  <c r="M87" i="14"/>
  <c r="J8" i="18"/>
  <c r="M76" i="14"/>
  <c r="E20" i="18"/>
  <c r="F87" i="14"/>
  <c r="C77"/>
  <c r="C9" i="61" s="1"/>
  <c r="C20" i="18"/>
  <c r="D87" i="14"/>
  <c r="D17" i="61" s="1"/>
  <c r="D20" s="1"/>
  <c r="C88" i="14"/>
  <c r="C18" i="61" s="1"/>
  <c r="F76" i="14"/>
  <c r="E10" i="18"/>
  <c r="I17"/>
  <c r="I10"/>
  <c r="I76" i="14"/>
  <c r="I8" i="61" s="1"/>
  <c r="I10" s="1"/>
  <c r="Q88" i="14"/>
  <c r="P18" i="61" s="1"/>
  <c r="AC15" i="5"/>
  <c r="M90" i="14" l="1"/>
  <c r="M17" i="61"/>
  <c r="M20" s="1"/>
  <c r="D76" i="14"/>
  <c r="D8" i="61" s="1"/>
  <c r="D10" s="1"/>
  <c r="F78" i="14"/>
  <c r="F8" i="61"/>
  <c r="F10" s="1"/>
  <c r="F90" i="14"/>
  <c r="F17" i="61"/>
  <c r="F20" s="1"/>
  <c r="M78" i="14"/>
  <c r="M8" i="61"/>
  <c r="M10" s="1"/>
  <c r="O8" i="18"/>
  <c r="O10" s="1"/>
  <c r="I78" i="14"/>
  <c r="J87"/>
  <c r="J20" i="18"/>
  <c r="I87" i="14"/>
  <c r="I17" i="61" s="1"/>
  <c r="I20" s="1"/>
  <c r="I20" i="18"/>
  <c r="O17"/>
  <c r="O20" s="1"/>
  <c r="Q87" i="14"/>
  <c r="D90"/>
  <c r="J10" i="18"/>
  <c r="J76" i="14"/>
  <c r="D5" i="13"/>
  <c r="Q90" i="14" l="1"/>
  <c r="B17" i="6" s="1"/>
  <c r="P17" i="61"/>
  <c r="P20" s="1"/>
  <c r="J78" i="14"/>
  <c r="J8" i="61"/>
  <c r="J10" s="1"/>
  <c r="J90" i="14"/>
  <c r="J17" i="61"/>
  <c r="J20" s="1"/>
  <c r="Q76" i="14"/>
  <c r="D78"/>
  <c r="I90"/>
  <c r="B87"/>
  <c r="C87"/>
  <c r="C76"/>
  <c r="B76"/>
  <c r="B26" i="17"/>
  <c r="B90" i="14" l="1"/>
  <c r="B17" i="61"/>
  <c r="B20" s="1"/>
  <c r="C90" i="14"/>
  <c r="C17" i="61"/>
  <c r="C20" s="1"/>
  <c r="C78" i="14"/>
  <c r="C8" i="61"/>
  <c r="C10" s="1"/>
  <c r="B78" i="14"/>
  <c r="B8" i="61"/>
  <c r="B10" s="1"/>
  <c r="Q78" i="14"/>
  <c r="B9" i="6" s="1"/>
  <c r="P8" i="61"/>
  <c r="P10" s="1"/>
  <c r="H14" i="15"/>
  <c r="H16" s="1"/>
  <c r="G14"/>
  <c r="G16" s="1"/>
  <c r="H5" i="48" l="1"/>
  <c r="I10" i="14"/>
  <c r="I16" s="1"/>
  <c r="G5" i="48"/>
  <c r="H10" i="14"/>
  <c r="H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5"/>
  <c r="I27"/>
  <c r="I32"/>
  <c r="I26"/>
  <c r="I29"/>
  <c r="I24"/>
  <c r="I28"/>
  <c r="I30"/>
  <c r="I22"/>
  <c r="I31"/>
  <c r="D4"/>
  <c r="D22" s="1"/>
  <c r="E11" i="14"/>
  <c r="H29" i="48"/>
  <c r="H32"/>
  <c r="H28"/>
  <c r="H22"/>
  <c r="H26"/>
  <c r="H24"/>
  <c r="H30"/>
  <c r="H25"/>
  <c r="H23"/>
  <c r="C4"/>
  <c r="D11" i="14"/>
  <c r="G23" i="48"/>
  <c r="G22"/>
  <c r="G30"/>
  <c r="G32"/>
  <c r="G25"/>
  <c r="G24"/>
  <c r="G29"/>
  <c r="G26"/>
  <c r="B4"/>
  <c r="C11" i="14"/>
  <c r="F30" i="48"/>
  <c r="F32"/>
  <c r="F24"/>
  <c r="F29"/>
  <c r="F28"/>
  <c r="F31"/>
  <c r="F27"/>
  <c r="N27"/>
  <c r="N31"/>
  <c r="N30"/>
  <c r="N32"/>
  <c r="N24"/>
  <c r="N29"/>
  <c r="N28"/>
  <c r="B10"/>
  <c r="C19" i="14"/>
  <c r="E31" i="48"/>
  <c r="E32"/>
  <c r="E24"/>
  <c r="E29"/>
  <c r="E30"/>
  <c r="E28"/>
  <c r="M29"/>
  <c r="M25"/>
  <c r="M24"/>
  <c r="M32"/>
  <c r="M22"/>
  <c r="M26"/>
  <c r="M30"/>
  <c r="M23"/>
  <c r="K5"/>
  <c r="L10" i="14"/>
  <c r="L16" s="1"/>
  <c r="L27" s="1"/>
  <c r="D30" i="48"/>
  <c r="D28"/>
  <c r="D24"/>
  <c r="D29"/>
  <c r="D31"/>
  <c r="D32"/>
  <c r="L29"/>
  <c r="L32"/>
  <c r="L22"/>
  <c r="L27"/>
  <c r="L30"/>
  <c r="L31"/>
  <c r="L28"/>
  <c r="L24"/>
  <c r="P5"/>
  <c r="P23" s="1"/>
  <c r="Q10" i="14"/>
  <c r="K32" i="48"/>
  <c r="K24"/>
  <c r="K30"/>
  <c r="K31"/>
  <c r="K26"/>
  <c r="K28"/>
  <c r="K29"/>
  <c r="K25"/>
  <c r="K27"/>
  <c r="K22"/>
  <c r="C24" i="14"/>
  <c r="C26" s="1"/>
  <c r="B7" i="48"/>
  <c r="J30"/>
  <c r="J24"/>
  <c r="J31"/>
  <c r="J32"/>
  <c r="J27"/>
  <c r="J29"/>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K23"/>
  <c r="K15"/>
  <c r="O22"/>
  <c r="E9"/>
  <c r="E27" s="1"/>
  <c r="F20" i="14"/>
  <c r="F22" s="1"/>
  <c r="Q13"/>
  <c r="Q16" s="1"/>
  <c r="Q27" s="1"/>
  <c r="P8" i="48"/>
  <c r="P26" s="1"/>
  <c r="D9"/>
  <c r="D27" s="1"/>
  <c r="E20" i="14"/>
  <c r="E22" s="1"/>
  <c r="P10"/>
  <c r="O5" i="48"/>
  <c r="O23" s="1"/>
  <c r="B9"/>
  <c r="C20" i="14"/>
  <c r="C22" s="1"/>
  <c r="K24"/>
  <c r="K26" s="1"/>
  <c r="J7" i="48"/>
  <c r="J25" s="1"/>
  <c r="G11" i="14"/>
  <c r="F4" i="48"/>
  <c r="F22" s="1"/>
  <c r="I5"/>
  <c r="J10" i="14"/>
  <c r="J16" s="1"/>
  <c r="J27" s="1"/>
  <c r="J63" s="1"/>
  <c r="P22" i="48"/>
  <c r="P33" s="1"/>
  <c r="K33"/>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E4" i="48" l="1"/>
  <c r="F11" i="14"/>
  <c r="R11" s="1"/>
  <c r="J4" i="48"/>
  <c r="K11" i="14"/>
  <c r="O11"/>
  <c r="N4" i="48"/>
  <c r="N22" s="1"/>
  <c r="M10"/>
  <c r="M28" s="1"/>
  <c r="N19" i="14"/>
  <c r="I23" i="48"/>
  <c r="I33" s="1"/>
  <c r="I15"/>
  <c r="H19" i="14"/>
  <c r="G10" i="48"/>
  <c r="E7"/>
  <c r="E25" s="1"/>
  <c r="F24" i="14"/>
  <c r="F26" s="1"/>
  <c r="P13"/>
  <c r="O8" i="48"/>
  <c r="M14" i="22"/>
  <c r="H14"/>
  <c r="I20" i="14" s="1"/>
  <c r="I22" s="1"/>
  <c r="I27" s="1"/>
  <c r="P16"/>
  <c r="P27" s="1"/>
  <c r="Q63"/>
  <c r="P15"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J5" i="48"/>
  <c r="J23" s="1"/>
  <c r="K10" i="14"/>
  <c r="R19"/>
  <c r="J22" i="48"/>
  <c r="F10" i="14"/>
  <c r="E5" i="48"/>
  <c r="E23" s="1"/>
  <c r="G28"/>
  <c r="Q10"/>
  <c r="O26"/>
  <c r="O33" s="1"/>
  <c r="O15"/>
  <c r="E22"/>
  <c r="Q4"/>
  <c r="Q7"/>
  <c r="N52" i="14"/>
  <c r="N61" s="1"/>
  <c r="M15" i="48"/>
  <c r="M27"/>
  <c r="M33" s="1"/>
  <c r="Q9"/>
  <c r="H15"/>
  <c r="H27"/>
  <c r="H33" s="1"/>
  <c r="N63" i="14"/>
  <c r="R24"/>
  <c r="R26" s="1"/>
  <c r="N18" i="16"/>
  <c r="E20" i="15"/>
  <c r="F40" i="14" s="1"/>
  <c r="F18" i="16"/>
  <c r="J18"/>
  <c r="E18"/>
  <c r="G18" i="22"/>
  <c r="H50" i="14" s="1"/>
  <c r="H52" s="1"/>
  <c r="H61" s="1"/>
  <c r="H18" i="22"/>
  <c r="I50" i="14" s="1"/>
  <c r="I52" s="1"/>
  <c r="I61" s="1"/>
  <c r="I63" s="1"/>
  <c r="F13" l="1"/>
  <c r="F16" s="1"/>
  <c r="F27" s="1"/>
  <c r="F63" s="1"/>
  <c r="E8" i="48"/>
  <c r="E26" s="1"/>
  <c r="E33" s="1"/>
  <c r="J8"/>
  <c r="J26" s="1"/>
  <c r="J33" s="1"/>
  <c r="K13" i="14"/>
  <c r="G27" i="48"/>
  <c r="G33" s="1"/>
  <c r="G15"/>
  <c r="H63" i="14"/>
  <c r="R20"/>
  <c r="R22" s="1"/>
  <c r="K16"/>
  <c r="K27" s="1"/>
  <c r="K63" s="1"/>
  <c r="F46"/>
  <c r="F61" s="1"/>
  <c r="N8" i="48"/>
  <c r="N26" s="1"/>
  <c r="O13" i="14"/>
  <c r="F8" i="48"/>
  <c r="G13" i="14"/>
  <c r="E22" i="16"/>
  <c r="F43" i="14" s="1"/>
  <c r="F22" i="16"/>
  <c r="G43" i="14" s="1"/>
  <c r="N22" i="16"/>
  <c r="O43" i="14" s="1"/>
  <c r="J22" i="16"/>
  <c r="K43" i="14" s="1"/>
  <c r="K46" s="1"/>
  <c r="K61" s="1"/>
  <c r="R13" l="1"/>
  <c r="E15" i="48"/>
  <c r="J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<sst xmlns="http://schemas.openxmlformats.org/spreadsheetml/2006/main" count="2383" uniqueCount="881">
  <si>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</si>
  <si>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</si>
  <si>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</si>
  <si>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</si>
  <si>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</si>
  <si>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</si>
  <si>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</si>
  <si>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</si>
  <si>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</si>
  <si>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</si>
  <si>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</si>
  <si>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</si>
  <si>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</si>
  <si>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</si>
  <si>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</si>
  <si>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</si>
  <si>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</si>
  <si>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</si>
  <si>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</si>
  <si>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</si>
  <si>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</si>
  <si>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</si>
  <si>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</si>
  <si>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</si>
  <si>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</si>
  <si>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</si>
  <si>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</si>
  <si>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</si>
  <si>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</si>
  <si>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</si>
  <si>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</si>
  <si>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</si>
  <si>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</si>
  <si>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</si>
  <si>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</si>
  <si>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</si>
  <si>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</si>
  <si>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</si>
  <si>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</si>
  <si>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</si>
  <si>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</si>
  <si>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</si>
  <si>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</si>
  <si>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</si>
  <si>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</si>
  <si>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</si>
  <si>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</si>
  <si>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</si>
  <si>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</si>
  <si>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</si>
  <si>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</si>
  <si>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</si>
  <si>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</si>
  <si>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</si>
  <si>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</si>
  <si>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</si>
  <si>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</si>
  <si>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</si>
  <si>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</si>
  <si>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</si>
  <si>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</si>
  <si>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</si>
  <si>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</si>
  <si>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</si>
  <si>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</si>
  <si>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</si>
  <si>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</si>
  <si>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</si>
  <si>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</si>
  <si>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</si>
  <si>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</si>
  <si>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</si>
  <si>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</si>
  <si>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</si>
  <si>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</si>
  <si>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</si>
  <si>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</si>
  <si>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</si>
  <si>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</si>
  <si>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</si>
  <si>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</si>
  <si>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</si>
  <si>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</si>
  <si>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</si>
  <si>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</si>
  <si>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</si>
  <si>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</si>
  <si>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</si>
  <si>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</si>
  <si>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</si>
  <si>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</si>
  <si>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</si>
  <si>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</si>
  <si>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</si>
  <si>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</si>
  <si>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</si>
  <si>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</si>
  <si>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</si>
  <si>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</si>
  <si>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</si>
  <si>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</si>
  <si>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</si>
  <si>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</si>
  <si>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</si>
  <si>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</si>
  <si>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</si>
  <si>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</si>
  <si>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</si>
  <si>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</si>
  <si>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</si>
  <si>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</si>
  <si>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</si>
  <si>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</si>
  <si>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</si>
  <si>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</si>
  <si>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</si>
  <si>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</si>
  <si>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</si>
  <si>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</si>
  <si>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</si>
  <si>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</si>
  <si>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</si>
  <si>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</si>
  <si>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</si>
  <si>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</si>
  <si>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</si>
  <si>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</si>
  <si>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</si>
  <si>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</si>
  <si>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</si>
  <si>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</si>
  <si>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</si>
  <si>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</si>
  <si>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</si>
  <si>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</si>
  <si>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</si>
  <si>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</si>
  <si>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</si>
  <si>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</si>
  <si>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</si>
  <si>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</si>
  <si>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</si>
  <si>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</si>
  <si>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</si>
  <si>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</si>
  <si>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</si>
  <si>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</si>
  <si>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</si>
  <si>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</si>
  <si>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</si>
  <si>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</si>
  <si>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</si>
  <si>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</si>
  <si>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</si>
  <si>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</si>
  <si>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</si>
  <si>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</si>
  <si>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</si>
  <si>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</si>
  <si>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</si>
  <si>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</si>
  <si>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</si>
  <si>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</si>
  <si>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</si>
  <si>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</si>
  <si>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</si>
  <si>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</si>
  <si>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</si>
  <si>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</si>
  <si>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</si>
  <si>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</si>
  <si>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</si>
  <si>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</si>
  <si>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</si>
  <si>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</si>
  <si>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</si>
  <si>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</si>
  <si>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</si>
  <si>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</si>
  <si>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</si>
  <si>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</si>
  <si>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</si>
  <si>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</si>
  <si>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</si>
  <si>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</si>
  <si>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</si>
  <si>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</si>
  <si>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</si>
  <si>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</si>
  <si>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</si>
  <si>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</si>
  <si>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</si>
  <si>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</si>
  <si>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</si>
  <si>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</si>
  <si>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</si>
  <si>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</si>
  <si>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</si>
  <si>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</si>
  <si>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</si>
  <si>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</si>
  <si>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</si>
  <si>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</si>
  <si>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</si>
  <si>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</si>
  <si>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</si>
  <si>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</si>
  <si>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</si>
  <si>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</si>
  <si>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</si>
  <si>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</si>
  <si>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</si>
  <si>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</si>
  <si>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</si>
  <si>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</si>
  <si>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</si>
  <si>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</si>
  <si>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</si>
  <si>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</si>
  <si>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</si>
  <si>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</si>
  <si>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</si>
  <si>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</si>
  <si>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</si>
  <si>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</si>
  <si>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</si>
  <si>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</si>
  <si>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</si>
  <si>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</si>
  <si>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</si>
  <si>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</si>
  <si>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</si>
  <si>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</si>
  <si>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</si>
  <si>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</si>
  <si>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</si>
  <si>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</si>
  <si>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</si>
  <si>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</si>
  <si>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</si>
  <si>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</si>
  <si>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</si>
  <si>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</si>
  <si>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</si>
  <si>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</si>
  <si>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</si>
  <si>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</si>
  <si>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</si>
  <si>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</si>
  <si>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</si>
  <si>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</si>
  <si>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</si>
  <si>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</si>
  <si>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</si>
  <si>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</si>
  <si>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</si>
  <si>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</si>
  <si>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</si>
  <si>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</si>
  <si>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</si>
  <si>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</si>
  <si>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</si>
  <si>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</si>
  <si>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</si>
  <si>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</si>
  <si>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</si>
  <si>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</si>
  <si>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</si>
  <si>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</si>
  <si>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</si>
  <si>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</si>
  <si>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</si>
  <si>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</si>
  <si>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</si>
  <si>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</si>
  <si>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</si>
  <si>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</si>
  <si>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</si>
  <si>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</si>
  <si>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</si>
  <si>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</si>
  <si>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</si>
  <si>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</si>
  <si>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</si>
  <si>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</si>
  <si>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</si>
  <si>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</si>
  <si>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</si>
  <si>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</si>
  <si>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</si>
  <si>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</si>
  <si>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</si>
  <si>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</si>
  <si>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</si>
  <si>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</si>
  <si>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</si>
  <si>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</si>
  <si>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</si>
  <si>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</si>
  <si>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</si>
  <si>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</si>
  <si>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</si>
  <si>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</si>
  <si>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</si>
  <si>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</si>
  <si>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</si>
  <si>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</si>
  <si>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</si>
  <si>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</si>
  <si>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</si>
  <si>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</si>
  <si>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</si>
  <si>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</si>
  <si>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</si>
  <si>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</si>
  <si>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</si>
  <si>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</si>
  <si>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</si>
  <si>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</si>
  <si>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</si>
  <si>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</si>
  <si>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</si>
  <si>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</si>
  <si>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</si>
  <si>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</si>
  <si>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</si>
  <si>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</si>
  <si>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</si>
  <si>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</si>
  <si>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</si>
  <si>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</si>
  <si>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</si>
  <si>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</si>
  <si>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</si>
  <si>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</si>
  <si>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</si>
  <si>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</si>
  <si>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</si>
  <si>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</si>
  <si>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</si>
  <si>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</si>
  <si>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</si>
  <si>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</si>
  <si>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</si>
  <si>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</si>
  <si>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</si>
  <si>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</si>
  <si>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</si>
  <si>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</si>
  <si>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</si>
  <si>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</si>
  <si>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</si>
  <si>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</si>
  <si>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</si>
  <si>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</si>
  <si>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</si>
  <si>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</si>
  <si>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</si>
  <si>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</si>
  <si>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</si>
  <si>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</si>
  <si>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</si>
  <si>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</si>
  <si>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</si>
  <si>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</si>
  <si>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</si>
  <si>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</si>
  <si>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</si>
  <si>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</si>
  <si>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</si>
  <si>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</si>
  <si>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</si>
  <si>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</si>
  <si>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</si>
  <si>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</si>
  <si>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</si>
  <si>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</si>
  <si>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</si>
  <si>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</si>
  <si>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</si>
  <si>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</si>
  <si>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</si>
  <si>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</si>
  <si>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</si>
  <si>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</si>
  <si>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</si>
  <si>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</si>
  <si>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</si>
  <si>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</si>
  <si>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</si>
  <si>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</si>
  <si>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</si>
  <si>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</si>
  <si>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</si>
  <si>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</si>
  <si>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</si>
  <si>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</si>
  <si>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</si>
  <si>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</si>
  <si>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</si>
  <si>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</si>
  <si>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</si>
  <si>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</si>
  <si>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</si>
  <si>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</si>
  <si>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</si>
  <si>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</si>
  <si>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</si>
  <si>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</si>
  <si>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</si>
  <si>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</si>
  <si>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</si>
  <si>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</si>
  <si>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</si>
  <si>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</si>
  <si>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</si>
  <si>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</si>
  <si>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</si>
  <si>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</si>
  <si>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</si>
  <si>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</si>
  <si>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</si>
  <si>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</si>
  <si>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</si>
  <si>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</si>
  <si>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</si>
  <si>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</si>
  <si>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</si>
  <si>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</si>
  <si>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</si>
  <si>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</si>
  <si>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</si>
  <si>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</si>
  <si>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</si>
  <si>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</si>
  <si>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</si>
  <si>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</si>
  <si>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</si>
  <si>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</si>
  <si>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</si>
  <si>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</si>
  <si>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</si>
  <si>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</si>
  <si>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</si>
  <si>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</si>
  <si>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</si>
  <si>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</si>
  <si>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</si>
  <si>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</si>
  <si>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</si>
  <si>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</si>
  <si>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</si>
  <si>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</si>
  <si>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</si>
  <si>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</si>
  <si>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</si>
  <si>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</si>
  <si>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</si>
  <si>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</si>
  <si>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</si>
  <si>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</si>
  <si>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</si>
  <si>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</si>
  <si>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</si>
  <si>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</si>
  <si>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</si>
  <si>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</si>
  <si>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</si>
  <si>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</si>
  <si>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</si>
  <si>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</si>
  <si>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</si>
  <si>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</si>
  <si>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</si>
  <si>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</si>
  <si>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</si>
  <si>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</si>
  <si>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</si>
  <si>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</si>
  <si>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</si>
  <si>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</si>
  <si>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</si>
  <si>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</si>
  <si>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</si>
  <si>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</si>
  <si>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</si>
  <si>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</si>
  <si>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</si>
  <si>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</si>
  <si>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</si>
  <si>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</si>
  <si>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</si>
  <si>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</si>
  <si>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</si>
  <si>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</si>
  <si>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</si>
  <si>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</si>
  <si>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</si>
  <si>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</si>
  <si>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</si>
  <si>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</si>
  <si>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</si>
  <si>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</si>
  <si>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</si>
  <si>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</si>
  <si>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</si>
  <si>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</si>
  <si>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</si>
  <si>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</si>
  <si>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</si>
  <si>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</si>
  <si>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</si>
  <si>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</si>
  <si>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</si>
  <si>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</si>
  <si>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</si>
  <si>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</si>
  <si>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</si>
  <si>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</si>
  <si>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</si>
  <si>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</si>
  <si>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</si>
  <si>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</si>
  <si>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</si>
  <si>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</si>
  <si>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</si>
  <si>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</si>
  <si>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</si>
  <si>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</si>
  <si>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</si>
  <si>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</si>
  <si>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</si>
  <si>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</si>
  <si>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</si>
  <si>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</si>
  <si>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</si>
  <si>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</si>
  <si>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</si>
  <si>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</si>
  <si>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</si>
  <si>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</si>
  <si>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</si>
  <si>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</si>
  <si>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</si>
  <si>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</si>
  <si>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</si>
  <si>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</si>
  <si>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</si>
  <si>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</si>
  <si>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</si>
  <si>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</si>
  <si>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</si>
  <si>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</si>
  <si>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</si>
  <si>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</si>
  <si>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</si>
  <si>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</si>
  <si>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</si>
  <si>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</si>
  <si>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</si>
  <si>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</si>
  <si>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</si>
  <si>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</si>
  <si>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</si>
  <si>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</si>
  <si>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</si>
  <si>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</si>
  <si>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</si>
  <si>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</si>
  <si>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</si>
  <si>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</si>
  <si>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</si>
  <si>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</si>
  <si>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</si>
  <si>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</si>
  <si>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</si>
  <si>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</si>
  <si>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</si>
  <si>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</si>
  <si>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</si>
  <si>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</si>
  <si>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</si>
  <si>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</si>
  <si>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</si>
  <si>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</si>
  <si>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</si>
  <si>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</si>
  <si>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</si>
  <si>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</si>
  <si>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</si>
  <si>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</si>
  <si>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</si>
  <si>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</si>
  <si>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</si>
  <si>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</si>
  <si>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</si>
  <si>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</si>
  <si>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</si>
  <si>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</si>
  <si>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</si>
  <si>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</si>
  <si>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</si>
  <si>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</si>
  <si>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</si>
  <si>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</si>
  <si>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</si>
  <si>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</si>
  <si>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</si>
  <si>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</si>
  <si>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</si>
  <si>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</si>
  <si>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</si>
  <si>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</si>
  <si>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</si>
  <si>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</si>
  <si>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</si>
  <si>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</si>
  <si>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</si>
  <si>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</si>
  <si>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</si>
  <si>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</si>
  <si>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</si>
  <si>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</si>
  <si>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</si>
  <si>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</si>
  <si>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</si>
  <si>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</si>
  <si>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</si>
  <si>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</si>
  <si>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</si>
  <si>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</si>
  <si>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</si>
  <si>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</si>
  <si>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</si>
  <si>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</si>
  <si>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</si>
  <si>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</si>
  <si>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</si>
  <si>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</si>
  <si>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</si>
  <si>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</si>
  <si>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</si>
  <si>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</si>
  <si>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</si>
  <si>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</si>
  <si>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</si>
  <si>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</si>
  <si>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</si>
  <si>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</si>
  <si>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</si>
  <si>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</si>
  <si>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</si>
  <si>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</si>
  <si>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</si>
  <si>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</si>
  <si>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</si>
  <si>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</si>
  <si>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</si>
  <si>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</si>
  <si>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</si>
  <si>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</si>
  <si>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</si>
  <si>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</si>
  <si>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</si>
  <si>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</si>
  <si>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</si>
  <si>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</si>
  <si>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</si>
  <si>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</si>
  <si>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</si>
  <si>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</si>
  <si>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</si>
  <si>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</si>
  <si>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</si>
  <si>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</si>
  <si>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</si>
  <si>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</si>
  <si>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</si>
  <si>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</si>
  <si>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</si>
  <si>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</si>
  <si>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</si>
  <si>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</si>
  <si>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</si>
  <si>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</si>
  <si>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</si>
  <si>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</si>
  <si>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</si>
  <si>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</si>
  <si>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</si>
  <si>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</si>
  <si>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</si>
  <si>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</si>
  <si>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</si>
  <si>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</si>
  <si>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</si>
  <si>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</si>
  <si>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</si>
  <si>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</si>
  <si>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</si>
  <si>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</si>
  <si>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</si>
  <si>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</si>
  <si>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</si>
  <si>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</si>
  <si>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</si>
  <si>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</si>
  <si>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</si>
  <si>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</si>
  <si>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</si>
  <si>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</si>
  <si>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</si>
  <si>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</si>
  <si>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</si>
  <si>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</si>
  <si>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</si>
  <si>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</si>
  <si>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</si>
  <si>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</si>
  <si>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</si>
  <si>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</si>
  <si>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</si>
  <si>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</si>
  <si>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</si>
  <si>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</si>
  <si>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</si>
  <si>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</si>
  <si>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</si>
  <si>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</si>
  <si>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</si>
  <si>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</si>
  <si>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</si>
  <si>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</si>
  <si>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</si>
  <si>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</si>
  <si>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</si>
  <si>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</si>
  <si>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</si>
  <si>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</si>
  <si>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</si>
  <si>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</si>
  <si>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</si>
  <si>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</si>
  <si>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</si>
  <si>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</si>
  <si>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</si>
  <si>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</si>
  <si>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</si>
  <si>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</si>
  <si>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</si>
  <si>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</si>
  <si>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</si>
  <si>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</si>
  <si>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</si>
  <si>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</si>
  <si>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</si>
  <si>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</si>
  <si>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</si>
  <si>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</si>
  <si>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</si>
  <si>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</si>
  <si>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</si>
  <si>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</si>
  <si>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</si>
  <si>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</si>
  <si>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</si>
  <si>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</si>
  <si>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</si>
  <si>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</si>
  <si>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</si>
  <si>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</si>
  <si>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</si>
  <si>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</si>
  <si>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</si>
  <si>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</si>
  <si>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</si>
  <si>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</si>
  <si>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</si>
  <si>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</si>
  <si>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</si>
  <si>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</si>
  <si>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</si>
  <si>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</si>
  <si>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</si>
  <si>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</si>
  <si>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</si>
  <si>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</si>
  <si>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</si>
  <si>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</si>
  <si>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</si>
  <si>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</si>
  <si>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</si>
  <si>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</si>
  <si>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</si>
  <si>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</si>
  <si>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</si>
  <si>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</si>
  <si>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</si>
  <si>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</si>
  <si>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</si>
  <si>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</si>
  <si>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</si>
  <si>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</si>
  <si>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</si>
  <si>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</si>
  <si>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</si>
  <si>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</si>
  <si>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</si>
  <si>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</si>
  <si>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</si>
  <si>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</si>
  <si>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</si>
  <si>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</si>
  <si>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</si>
  <si>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</si>
  <si>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</si>
  <si>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</si>
  <si>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</si>
  <si>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</si>
  <si>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</si>
  <si>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</si>
  <si>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</si>
  <si>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</si>
  <si>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</si>
  <si>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</si>
  <si>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</si>
  <si>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</si>
  <si>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</si>
  <si>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</si>
  <si>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</si>
  <si>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</si>
  <si>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</si>
  <si>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</si>
  <si>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</si>
  <si>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</si>
  <si>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</si>
  <si>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</si>
  <si>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</si>
  <si>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</si>
  <si>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</si>
  <si>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</si>
  <si>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</si>
  <si>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</si>
  <si>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</si>
  <si>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</si>
  <si>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</si>
  <si>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</si>
  <si>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</si>
  <si>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</si>
  <si>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</si>
  <si>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</si>
  <si>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</si>
  <si>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</si>
  <si>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</si>
  <si>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</si>
  <si>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</si>
  <si>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</si>
  <si>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</si>
  <si>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</si>
  <si>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</si>
  <si>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</si>
  <si>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</si>
  <si>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</si>
  <si>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</si>
  <si>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</si>
  <si>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</si>
  <si>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</si>
  <si>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</si>
  <si>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</si>
  <si>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</si>
  <si>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</si>
  <si>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</si>
  <si>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</si>
  <si>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43018</t>
  </si>
  <si>
    <t>ZELZATE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</si>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</sst>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96145.007134313957</c:v>
                </c:pt>
                <c:pt idx="1">
                  <c:v>42912.741944295143</c:v>
                </c:pt>
                <c:pt idx="2">
                  <c:v>540.65300000000002</c:v>
                </c:pt>
                <c:pt idx="3">
                  <c:v>1588.2771415425896</c:v>
                </c:pt>
                <c:pt idx="4">
                  <c:v>182581.09121783896</c:v>
                </c:pt>
                <c:pt idx="5">
                  <c:v>110340.28461184436</c:v>
                </c:pt>
                <c:pt idx="6">
                  <c:v>613.06693938805893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64096"/>
        <c:axId val="75765632"/>
      </c:barChart>
      <c:catAx>
        <c:axId val="75764096"/>
        <c:scaling>
          <c:orientation val="minMax"/>
        </c:scaling>
        <c:axPos val="b"/>
        <c:numFmt formatCode="General" sourceLinked="0"/>
        <c:tickLblPos val="nextTo"/>
        <c:crossAx val="75765632"/>
        <c:crosses val="autoZero"/>
        <c:auto val="1"/>
        <c:lblAlgn val="ctr"/>
        <c:lblOffset val="100"/>
      </c:catAx>
      <c:valAx>
        <c:axId val="75765632"/>
        <c:scaling>
          <c:orientation val="minMax"/>
        </c:scaling>
        <c:axPos val="l"/>
        <c:majorGridlines>
          <c:spPr>
            <a:ln>
              <a:noFill/>
            </a:ln>
          </c:spPr>
        </c:majorGridlines>
        <c:numFmt formatCode="#,##0" sourceLinked="1"/>
        <c:tickLblPos val="nextTo"/>
        <c:crossAx val="7576409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96145.007134313957</c:v>
                </c:pt>
                <c:pt idx="1">
                  <c:v>42912.741944295143</c:v>
                </c:pt>
                <c:pt idx="2">
                  <c:v>540.65300000000002</c:v>
                </c:pt>
                <c:pt idx="3">
                  <c:v>1588.2771415425896</c:v>
                </c:pt>
                <c:pt idx="4">
                  <c:v>182581.09121783896</c:v>
                </c:pt>
                <c:pt idx="5">
                  <c:v>110340.28461184436</c:v>
                </c:pt>
                <c:pt idx="6">
                  <c:v>613.06693938805893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20148.171736524862</c:v>
                </c:pt>
                <c:pt idx="2">
                  <c:v>8345.3165219665425</c:v>
                </c:pt>
                <c:pt idx="3">
                  <c:v>103.85853923646256</c:v>
                </c:pt>
                <c:pt idx="4">
                  <c:v>402.75184467068448</c:v>
                </c:pt>
                <c:pt idx="5">
                  <c:v>36275.481703126236</c:v>
                </c:pt>
                <c:pt idx="6">
                  <c:v>27655.881238677102</c:v>
                </c:pt>
                <c:pt idx="7">
                  <c:v>154.89170760587274</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53504"/>
        <c:axId val="156455296"/>
      </c:barChart>
      <c:catAx>
        <c:axId val="156453504"/>
        <c:scaling>
          <c:orientation val="minMax"/>
        </c:scaling>
        <c:axPos val="b"/>
        <c:numFmt formatCode="General" sourceLinked="0"/>
        <c:tickLblPos val="nextTo"/>
        <c:crossAx val="156455296"/>
        <c:crosses val="autoZero"/>
        <c:auto val="1"/>
        <c:lblAlgn val="ctr"/>
        <c:lblOffset val="100"/>
      </c:catAx>
      <c:valAx>
        <c:axId val="156455296"/>
        <c:scaling>
          <c:orientation val="minMax"/>
        </c:scaling>
        <c:axPos val="l"/>
        <c:majorGridlines>
          <c:spPr>
            <a:ln>
              <a:noFill/>
            </a:ln>
          </c:spPr>
        </c:majorGridlines>
        <c:numFmt formatCode="#,##0" sourceLinked="1"/>
        <c:tickLblPos val="nextTo"/>
        <c:crossAx val="15645350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20148.171736524862</c:v>
                </c:pt>
                <c:pt idx="2">
                  <c:v>8345.3165219665425</c:v>
                </c:pt>
                <c:pt idx="3">
                  <c:v>103.85853923646256</c:v>
                </c:pt>
                <c:pt idx="4">
                  <c:v>402.75184467068448</c:v>
                </c:pt>
                <c:pt idx="5">
                  <c:v>36275.481703126236</c:v>
                </c:pt>
                <c:pt idx="6">
                  <c:v>27655.881238677102</c:v>
                </c:pt>
                <c:pt idx="7">
                  <c:v>154.89170760587274</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43018</v>
      </c>
      <c r="B6" s="415"/>
      <c r="C6" s="416"/>
    </row>
    <row r="7" spans="1:7" s="413" customFormat="1" ht="15.75" customHeight="1">
      <c r="A7" s="417" t="str">
        <f>txtMunicipality</f>
        <v>ZELZATE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0.192098331529581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0.192098331529581</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43018</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5408</v>
      </c>
      <c r="C9" s="342">
        <v>5610</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460.55</v>
      </c>
    </row>
    <row r="15" spans="1:6">
      <c r="A15" s="348" t="s">
        <v>184</v>
      </c>
      <c r="B15" s="334">
        <v>2</v>
      </c>
    </row>
    <row r="16" spans="1:6">
      <c r="A16" s="348" t="s">
        <v>6</v>
      </c>
      <c r="B16" s="334">
        <v>149</v>
      </c>
    </row>
    <row r="17" spans="1:6">
      <c r="A17" s="348" t="s">
        <v>7</v>
      </c>
      <c r="B17" s="334">
        <v>27</v>
      </c>
    </row>
    <row r="18" spans="1:6">
      <c r="A18" s="348" t="s">
        <v>8</v>
      </c>
      <c r="B18" s="334">
        <v>117</v>
      </c>
    </row>
    <row r="19" spans="1:6">
      <c r="A19" s="348" t="s">
        <v>9</v>
      </c>
      <c r="B19" s="334">
        <v>91</v>
      </c>
    </row>
    <row r="20" spans="1:6">
      <c r="A20" s="348" t="s">
        <v>10</v>
      </c>
      <c r="B20" s="334">
        <v>79</v>
      </c>
    </row>
    <row r="21" spans="1:6">
      <c r="A21" s="348" t="s">
        <v>11</v>
      </c>
      <c r="B21" s="334">
        <v>0</v>
      </c>
    </row>
    <row r="22" spans="1:6">
      <c r="A22" s="348" t="s">
        <v>12</v>
      </c>
      <c r="B22" s="334">
        <v>505</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32219</v>
      </c>
    </row>
    <row r="29" spans="1:6">
      <c r="A29" s="355" t="s">
        <v>744</v>
      </c>
      <c r="B29" s="355">
        <v>0</v>
      </c>
      <c r="C29" s="356"/>
      <c r="D29" s="356"/>
      <c r="E29" s="356"/>
      <c r="F29" s="356"/>
    </row>
    <row r="30" spans="1:6">
      <c r="A30" s="341" t="s">
        <v>745</v>
      </c>
      <c r="B30" s="341">
        <v>3</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115763</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16320</v>
      </c>
      <c r="E38" s="334">
        <v>2</v>
      </c>
      <c r="F38" s="334">
        <v>119483.71400000001</v>
      </c>
    </row>
    <row r="39" spans="1:6">
      <c r="A39" s="348" t="s">
        <v>30</v>
      </c>
      <c r="B39" s="348" t="s">
        <v>31</v>
      </c>
      <c r="C39" s="334">
        <v>3616</v>
      </c>
      <c r="D39" s="334">
        <v>51401159.399999999</v>
      </c>
      <c r="E39" s="334">
        <v>5493</v>
      </c>
      <c r="F39" s="334">
        <v>18292867.300000001</v>
      </c>
    </row>
    <row r="40" spans="1:6">
      <c r="A40" s="348" t="s">
        <v>30</v>
      </c>
      <c r="B40" s="348" t="s">
        <v>29</v>
      </c>
      <c r="C40" s="334">
        <v>0</v>
      </c>
      <c r="D40" s="334">
        <v>0</v>
      </c>
      <c r="E40" s="334">
        <v>0</v>
      </c>
      <c r="F40" s="334">
        <v>0</v>
      </c>
    </row>
    <row r="41" spans="1:6">
      <c r="A41" s="348" t="s">
        <v>32</v>
      </c>
      <c r="B41" s="348" t="s">
        <v>33</v>
      </c>
      <c r="C41" s="334">
        <v>45</v>
      </c>
      <c r="D41" s="334">
        <v>723641.8</v>
      </c>
      <c r="E41" s="334">
        <v>90</v>
      </c>
      <c r="F41" s="334">
        <v>712497.4</v>
      </c>
    </row>
    <row r="42" spans="1:6">
      <c r="A42" s="348" t="s">
        <v>32</v>
      </c>
      <c r="B42" s="348" t="s">
        <v>34</v>
      </c>
      <c r="C42" s="334">
        <v>0</v>
      </c>
      <c r="D42" s="334">
        <v>0</v>
      </c>
      <c r="E42" s="334">
        <v>3</v>
      </c>
      <c r="F42" s="334">
        <v>38601598</v>
      </c>
    </row>
    <row r="43" spans="1:6">
      <c r="A43" s="348" t="s">
        <v>32</v>
      </c>
      <c r="B43" s="348" t="s">
        <v>35</v>
      </c>
      <c r="C43" s="334">
        <v>0</v>
      </c>
      <c r="D43" s="334">
        <v>0</v>
      </c>
      <c r="E43" s="334">
        <v>0</v>
      </c>
      <c r="F43" s="334">
        <v>0</v>
      </c>
    </row>
    <row r="44" spans="1:6">
      <c r="A44" s="348" t="s">
        <v>32</v>
      </c>
      <c r="B44" s="348" t="s">
        <v>36</v>
      </c>
      <c r="C44" s="334">
        <v>9</v>
      </c>
      <c r="D44" s="334">
        <v>162134</v>
      </c>
      <c r="E44" s="334">
        <v>22</v>
      </c>
      <c r="F44" s="334">
        <v>215421.66699999999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6</v>
      </c>
      <c r="F47" s="334">
        <v>84028</v>
      </c>
    </row>
    <row r="48" spans="1:6">
      <c r="A48" s="348" t="s">
        <v>32</v>
      </c>
      <c r="B48" s="348" t="s">
        <v>29</v>
      </c>
      <c r="C48" s="334">
        <v>4</v>
      </c>
      <c r="D48" s="334">
        <v>153088363</v>
      </c>
      <c r="E48" s="334">
        <v>5</v>
      </c>
      <c r="F48" s="334">
        <v>43522</v>
      </c>
    </row>
    <row r="49" spans="1:6">
      <c r="A49" s="348" t="s">
        <v>32</v>
      </c>
      <c r="B49" s="348" t="s">
        <v>40</v>
      </c>
      <c r="C49" s="334">
        <v>0</v>
      </c>
      <c r="D49" s="334">
        <v>0</v>
      </c>
      <c r="E49" s="334">
        <v>0</v>
      </c>
      <c r="F49" s="334">
        <v>0</v>
      </c>
    </row>
    <row r="50" spans="1:6">
      <c r="A50" s="348" t="s">
        <v>32</v>
      </c>
      <c r="B50" s="348" t="s">
        <v>41</v>
      </c>
      <c r="C50" s="334">
        <v>10</v>
      </c>
      <c r="D50" s="334">
        <v>649321</v>
      </c>
      <c r="E50" s="334">
        <v>17</v>
      </c>
      <c r="F50" s="334">
        <v>682426</v>
      </c>
    </row>
    <row r="51" spans="1:6">
      <c r="A51" s="348" t="s">
        <v>42</v>
      </c>
      <c r="B51" s="348" t="s">
        <v>43</v>
      </c>
      <c r="C51" s="334">
        <v>3</v>
      </c>
      <c r="D51" s="334">
        <v>50933</v>
      </c>
      <c r="E51" s="334">
        <v>29</v>
      </c>
      <c r="F51" s="334">
        <v>288815.12099999998</v>
      </c>
    </row>
    <row r="52" spans="1:6">
      <c r="A52" s="348" t="s">
        <v>42</v>
      </c>
      <c r="B52" s="348" t="s">
        <v>29</v>
      </c>
      <c r="C52" s="334">
        <v>0</v>
      </c>
      <c r="D52" s="334">
        <v>0</v>
      </c>
      <c r="E52" s="334">
        <v>0</v>
      </c>
      <c r="F52" s="334">
        <v>0</v>
      </c>
    </row>
    <row r="53" spans="1:6">
      <c r="A53" s="348" t="s">
        <v>44</v>
      </c>
      <c r="B53" s="348" t="s">
        <v>45</v>
      </c>
      <c r="C53" s="334">
        <v>65</v>
      </c>
      <c r="D53" s="334">
        <v>2911687.0970000001</v>
      </c>
      <c r="E53" s="334">
        <v>132</v>
      </c>
      <c r="F53" s="334">
        <v>885905.7</v>
      </c>
    </row>
    <row r="54" spans="1:6">
      <c r="A54" s="348" t="s">
        <v>46</v>
      </c>
      <c r="B54" s="348" t="s">
        <v>47</v>
      </c>
      <c r="C54" s="334">
        <v>0</v>
      </c>
      <c r="D54" s="334">
        <v>0</v>
      </c>
      <c r="E54" s="334">
        <v>1</v>
      </c>
      <c r="F54" s="334">
        <v>540653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38</v>
      </c>
      <c r="D57" s="334">
        <v>3789995.6189999999</v>
      </c>
      <c r="E57" s="334">
        <v>76</v>
      </c>
      <c r="F57" s="334">
        <v>2005845.8810000001</v>
      </c>
    </row>
    <row r="58" spans="1:6">
      <c r="A58" s="348" t="s">
        <v>49</v>
      </c>
      <c r="B58" s="348" t="s">
        <v>51</v>
      </c>
      <c r="C58" s="334">
        <v>38</v>
      </c>
      <c r="D58" s="334">
        <v>1092733</v>
      </c>
      <c r="E58" s="334">
        <v>54</v>
      </c>
      <c r="F58" s="334">
        <v>423260</v>
      </c>
    </row>
    <row r="59" spans="1:6">
      <c r="A59" s="348" t="s">
        <v>49</v>
      </c>
      <c r="B59" s="348" t="s">
        <v>52</v>
      </c>
      <c r="C59" s="334">
        <v>82</v>
      </c>
      <c r="D59" s="334">
        <v>3449509.2</v>
      </c>
      <c r="E59" s="334">
        <v>156</v>
      </c>
      <c r="F59" s="334">
        <v>4268640.75</v>
      </c>
    </row>
    <row r="60" spans="1:6">
      <c r="A60" s="348" t="s">
        <v>49</v>
      </c>
      <c r="B60" s="348" t="s">
        <v>53</v>
      </c>
      <c r="C60" s="334">
        <v>82</v>
      </c>
      <c r="D60" s="334">
        <v>11391413.286</v>
      </c>
      <c r="E60" s="334">
        <v>99</v>
      </c>
      <c r="F60" s="334">
        <v>3327343</v>
      </c>
    </row>
    <row r="61" spans="1:6">
      <c r="A61" s="348" t="s">
        <v>49</v>
      </c>
      <c r="B61" s="348" t="s">
        <v>54</v>
      </c>
      <c r="C61" s="334">
        <v>125</v>
      </c>
      <c r="D61" s="334">
        <v>6768778.2000000002</v>
      </c>
      <c r="E61" s="334">
        <v>305</v>
      </c>
      <c r="F61" s="334">
        <v>2898853.3139999998</v>
      </c>
    </row>
    <row r="62" spans="1:6">
      <c r="A62" s="348" t="s">
        <v>49</v>
      </c>
      <c r="B62" s="348" t="s">
        <v>55</v>
      </c>
      <c r="C62" s="334">
        <v>5</v>
      </c>
      <c r="D62" s="334">
        <v>1687652</v>
      </c>
      <c r="E62" s="334">
        <v>8</v>
      </c>
      <c r="F62" s="334">
        <v>315089.57199999999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30614</v>
      </c>
      <c r="E65" s="334">
        <v>2</v>
      </c>
      <c r="F65" s="334">
        <v>22576</v>
      </c>
    </row>
    <row r="66" spans="1:6">
      <c r="A66" s="348" t="s">
        <v>56</v>
      </c>
      <c r="B66" s="348" t="s">
        <v>58</v>
      </c>
      <c r="C66" s="334">
        <v>0</v>
      </c>
      <c r="D66" s="334">
        <v>0</v>
      </c>
      <c r="E66" s="334">
        <v>15</v>
      </c>
      <c r="F66" s="334">
        <v>3054826.6669999999</v>
      </c>
    </row>
    <row r="67" spans="1:6">
      <c r="A67" s="355" t="s">
        <v>56</v>
      </c>
      <c r="B67" s="355" t="s">
        <v>59</v>
      </c>
      <c r="C67" s="334">
        <v>0</v>
      </c>
      <c r="D67" s="334">
        <v>0</v>
      </c>
      <c r="E67" s="334">
        <v>0</v>
      </c>
      <c r="F67" s="334">
        <v>0</v>
      </c>
    </row>
    <row r="68" spans="1:6">
      <c r="A68" s="341" t="s">
        <v>56</v>
      </c>
      <c r="B68" s="341" t="s">
        <v>60</v>
      </c>
      <c r="C68" s="334">
        <v>5</v>
      </c>
      <c r="D68" s="334">
        <v>97930</v>
      </c>
      <c r="E68" s="334">
        <v>9</v>
      </c>
      <c r="F68" s="334">
        <v>64494</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48169460</v>
      </c>
      <c r="E73" s="475">
        <v>48541452.905406341</v>
      </c>
    </row>
    <row r="74" spans="1:6">
      <c r="A74" s="348" t="s">
        <v>64</v>
      </c>
      <c r="B74" s="348" t="s">
        <v>657</v>
      </c>
      <c r="C74" s="1295" t="s">
        <v>659</v>
      </c>
      <c r="D74" s="475">
        <v>7180395</v>
      </c>
      <c r="E74" s="475">
        <v>6827054.3581236834</v>
      </c>
    </row>
    <row r="75" spans="1:6">
      <c r="A75" s="348" t="s">
        <v>65</v>
      </c>
      <c r="B75" s="348" t="s">
        <v>656</v>
      </c>
      <c r="C75" s="1295" t="s">
        <v>660</v>
      </c>
      <c r="D75" s="475">
        <v>9234586</v>
      </c>
      <c r="E75" s="475">
        <v>9363279.3064684905</v>
      </c>
    </row>
    <row r="76" spans="1:6">
      <c r="A76" s="348" t="s">
        <v>65</v>
      </c>
      <c r="B76" s="348" t="s">
        <v>657</v>
      </c>
      <c r="C76" s="1295" t="s">
        <v>661</v>
      </c>
      <c r="D76" s="475">
        <v>75959</v>
      </c>
      <c r="E76" s="475">
        <v>73298.333555585225</v>
      </c>
    </row>
    <row r="77" spans="1:6">
      <c r="A77" s="348" t="s">
        <v>66</v>
      </c>
      <c r="B77" s="348" t="s">
        <v>656</v>
      </c>
      <c r="C77" s="1295" t="s">
        <v>662</v>
      </c>
      <c r="D77" s="475">
        <v>46180351</v>
      </c>
      <c r="E77" s="475">
        <v>46692405.571513802</v>
      </c>
    </row>
    <row r="78" spans="1:6">
      <c r="A78" s="341" t="s">
        <v>66</v>
      </c>
      <c r="B78" s="341" t="s">
        <v>657</v>
      </c>
      <c r="C78" s="341" t="s">
        <v>663</v>
      </c>
      <c r="D78" s="1296">
        <v>8709351</v>
      </c>
      <c r="E78" s="1296">
        <v>8253854.045692171</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166274</v>
      </c>
      <c r="C83" s="475">
        <v>165635.41651184906</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1600.805603466396</v>
      </c>
    </row>
    <row r="92" spans="1:6">
      <c r="A92" s="341" t="s">
        <v>69</v>
      </c>
      <c r="B92" s="342">
        <v>8237.3122418117509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1564</v>
      </c>
    </row>
    <row r="98" spans="1:6">
      <c r="A98" s="348" t="s">
        <v>72</v>
      </c>
      <c r="B98" s="334">
        <v>1</v>
      </c>
    </row>
    <row r="99" spans="1:6">
      <c r="A99" s="348" t="s">
        <v>73</v>
      </c>
      <c r="B99" s="334">
        <v>32</v>
      </c>
    </row>
    <row r="100" spans="1:6">
      <c r="A100" s="348" t="s">
        <v>74</v>
      </c>
      <c r="B100" s="334">
        <v>384</v>
      </c>
    </row>
    <row r="101" spans="1:6">
      <c r="A101" s="348" t="s">
        <v>75</v>
      </c>
      <c r="B101" s="334">
        <v>26</v>
      </c>
    </row>
    <row r="102" spans="1:6">
      <c r="A102" s="348" t="s">
        <v>76</v>
      </c>
      <c r="B102" s="334">
        <v>104</v>
      </c>
    </row>
    <row r="103" spans="1:6">
      <c r="A103" s="348" t="s">
        <v>77</v>
      </c>
      <c r="B103" s="334">
        <v>207</v>
      </c>
    </row>
    <row r="104" spans="1:6">
      <c r="A104" s="348" t="s">
        <v>78</v>
      </c>
      <c r="B104" s="334">
        <v>2809</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0</v>
      </c>
      <c r="C123" s="334">
        <v>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73</v>
      </c>
    </row>
    <row r="130" spans="1:6">
      <c r="A130" s="348" t="s">
        <v>295</v>
      </c>
      <c r="B130" s="334">
        <v>2</v>
      </c>
    </row>
    <row r="131" spans="1:6">
      <c r="A131" s="348" t="s">
        <v>296</v>
      </c>
      <c r="B131" s="334">
        <v>0</v>
      </c>
    </row>
    <row r="132" spans="1:6">
      <c r="A132" s="341" t="s">
        <v>297</v>
      </c>
      <c r="B132" s="342">
        <v>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75228.322753470056</v>
      </c>
      <c r="C3" s="43" t="s">
        <v>170</v>
      </c>
      <c r="D3" s="43"/>
      <c r="E3" s="154"/>
      <c r="F3" s="43"/>
      <c r="G3" s="43"/>
      <c r="H3" s="43"/>
      <c r="I3" s="43"/>
      <c r="J3" s="43"/>
      <c r="K3" s="96"/>
    </row>
    <row r="4" spans="1:11">
      <c r="A4" s="383" t="s">
        <v>171</v>
      </c>
      <c r="B4" s="49">
        <f>IF(ISERROR('SEAP template'!B78+'SEAP template'!C78),0,'SEAP template'!B78+'SEAP template'!C78)</f>
        <v>9838.117845278146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0.192098331529581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540.65300000000002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540.65300000000002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0.192098331529581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103.85853923646256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18292.867300000002</v>
      </c>
      <c r="C5" s="17">
        <f>IF(ISERROR('Eigen informatie GS &amp; warmtenet'!B57),0,'Eigen informatie GS &amp; warmtenet'!B57)</f>
        <v>0</v>
      </c>
      <c r="D5" s="30">
        <f>(SUM(HH_hh_gas_kWh,HH_rest_gas_kWh)/1000)*0.902</f>
        <v>46363.845778800001</v>
      </c>
      <c r="E5" s="17">
        <f>B46*B57</f>
        <v>1267.7234563503309</v>
      </c>
      <c r="F5" s="17">
        <f>B51*B62</f>
        <v>24909.709406445279</v>
      </c>
      <c r="G5" s="18"/>
      <c r="H5" s="17"/>
      <c r="I5" s="17"/>
      <c r="J5" s="17">
        <f>B50*B61+C50*C61</f>
        <v>63.468588541575613</v>
      </c>
      <c r="K5" s="17"/>
      <c r="L5" s="17"/>
      <c r="M5" s="17"/>
      <c r="N5" s="17">
        <f>B48*B59+C48*C59</f>
        <v>3510.2703340436956</v>
      </c>
      <c r="O5" s="17">
        <f>B69*B70*B71</f>
        <v>117.25</v>
      </c>
      <c r="P5" s="17">
        <f>B77*B78*B79/1000-B77*B78*B79/1000/B80</f>
        <v>19.066666666666666</v>
      </c>
    </row>
    <row r="6" spans="1:16">
      <c r="A6" s="16" t="s">
        <v>621</v>
      </c>
      <c r="B6" s="788">
        <f>kWh_PV_kleiner_dan_10kW</f>
        <v>1600.805603466396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19893.672903466399</v>
      </c>
      <c r="C8" s="21">
        <f>C5</f>
        <v>0</v>
      </c>
      <c r="D8" s="21">
        <f>D5</f>
        <v>46363.845778800001</v>
      </c>
      <c r="E8" s="21">
        <f>E5</f>
        <v>1267.7234563503309</v>
      </c>
      <c r="F8" s="21">
        <f>F5</f>
        <v>24909.709406445279</v>
      </c>
      <c r="G8" s="21"/>
      <c r="H8" s="21"/>
      <c r="I8" s="21"/>
      <c r="J8" s="21">
        <f>J5</f>
        <v>63.468588541575613</v>
      </c>
      <c r="K8" s="21"/>
      <c r="L8" s="21">
        <f>L5</f>
        <v>0</v>
      </c>
      <c r="M8" s="21">
        <f>M5</f>
        <v>0</v>
      </c>
      <c r="N8" s="21">
        <f>N5</f>
        <v>3510.2703340436956</v>
      </c>
      <c r="O8" s="21">
        <f>O5</f>
        <v>117.25</v>
      </c>
      <c r="P8" s="21">
        <f>P5</f>
        <v>19.066666666666666</v>
      </c>
    </row>
    <row r="9" spans="1:16">
      <c r="B9" s="19"/>
      <c r="C9" s="19"/>
      <c r="D9" s="258"/>
      <c r="E9" s="19"/>
      <c r="F9" s="19"/>
      <c r="G9" s="19"/>
      <c r="H9" s="19"/>
      <c r="I9" s="19"/>
      <c r="J9" s="19"/>
      <c r="K9" s="19"/>
      <c r="L9" s="19"/>
      <c r="M9" s="19"/>
      <c r="N9" s="19"/>
      <c r="O9" s="19"/>
      <c r="P9" s="19"/>
    </row>
    <row r="10" spans="1:16">
      <c r="A10" s="24" t="s">
        <v>214</v>
      </c>
      <c r="B10" s="25">
        <f ca="1">'EF ele_warmte'!B12</f>
        <v>0.192098331529581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3821.5413727511304</v>
      </c>
      <c r="C12" s="23">
        <f ca="1">C10*C8</f>
        <v>0</v>
      </c>
      <c r="D12" s="23">
        <f>D8*D10</f>
        <v>9365.4968473176014</v>
      </c>
      <c r="E12" s="23">
        <f>E10*E8</f>
        <v>287.77322459152515</v>
      </c>
      <c r="F12" s="23">
        <f>F10*F8</f>
        <v>6650.8924115208902</v>
      </c>
      <c r="G12" s="23"/>
      <c r="H12" s="23"/>
      <c r="I12" s="23"/>
      <c r="J12" s="23">
        <f>J10*J8</f>
        <v>22.467880343717766</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1564</v>
      </c>
      <c r="C18" s="166" t="s">
        <v>111</v>
      </c>
      <c r="D18" s="228"/>
      <c r="E18" s="15"/>
    </row>
    <row r="19" spans="1:7">
      <c r="A19" s="171" t="s">
        <v>72</v>
      </c>
      <c r="B19" s="37">
        <f>aantalw2001_ander</f>
        <v>1</v>
      </c>
      <c r="C19" s="166" t="s">
        <v>111</v>
      </c>
      <c r="D19" s="229"/>
      <c r="E19" s="15"/>
    </row>
    <row r="20" spans="1:7">
      <c r="A20" s="171" t="s">
        <v>73</v>
      </c>
      <c r="B20" s="37">
        <f>aantalw2001_propaan</f>
        <v>32</v>
      </c>
      <c r="C20" s="167">
        <f>IF(ISERROR(B20/SUM($B$20,$B$21,$B$22)*100),0,B20/SUM($B$20,$B$21,$B$22)*100)</f>
        <v>7.2398190045248878</v>
      </c>
      <c r="D20" s="229"/>
      <c r="E20" s="15"/>
    </row>
    <row r="21" spans="1:7">
      <c r="A21" s="171" t="s">
        <v>74</v>
      </c>
      <c r="B21" s="37">
        <f>aantalw2001_elektriciteit</f>
        <v>384</v>
      </c>
      <c r="C21" s="167">
        <f>IF(ISERROR(B21/SUM($B$20,$B$21,$B$22)*100),0,B21/SUM($B$20,$B$21,$B$22)*100)</f>
        <v>86.877828054298647</v>
      </c>
      <c r="D21" s="229"/>
      <c r="E21" s="15"/>
    </row>
    <row r="22" spans="1:7">
      <c r="A22" s="171" t="s">
        <v>75</v>
      </c>
      <c r="B22" s="37">
        <f>aantalw2001_hout</f>
        <v>26</v>
      </c>
      <c r="C22" s="167">
        <f>IF(ISERROR(B22/SUM($B$20,$B$21,$B$22)*100),0,B22/SUM($B$20,$B$21,$B$22)*100)</f>
        <v>5.8823529411764701</v>
      </c>
      <c r="D22" s="229"/>
      <c r="E22" s="15"/>
    </row>
    <row r="23" spans="1:7">
      <c r="A23" s="171" t="s">
        <v>76</v>
      </c>
      <c r="B23" s="37">
        <f>aantalw2001_niet_gespec</f>
        <v>104</v>
      </c>
      <c r="C23" s="166" t="s">
        <v>111</v>
      </c>
      <c r="D23" s="228"/>
      <c r="E23" s="15"/>
    </row>
    <row r="24" spans="1:7">
      <c r="A24" s="171" t="s">
        <v>77</v>
      </c>
      <c r="B24" s="37">
        <f>aantalw2001_steenkool</f>
        <v>207</v>
      </c>
      <c r="C24" s="166" t="s">
        <v>111</v>
      </c>
      <c r="D24" s="229"/>
      <c r="E24" s="15"/>
    </row>
    <row r="25" spans="1:7">
      <c r="A25" s="171" t="s">
        <v>78</v>
      </c>
      <c r="B25" s="37">
        <f>aantalw2001_stookolie</f>
        <v>2809</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793</v>
      </c>
      <c r="B28" s="37">
        <f>aantalHuishoudens2011</f>
        <v>5408</v>
      </c>
      <c r="C28" s="36"/>
      <c r="D28" s="228"/>
    </row>
    <row r="29" spans="1:7" s="15" customFormat="1">
      <c r="A29" s="230" t="s">
        <v>794</v>
      </c>
      <c r="B29" s="37">
        <f>SUM(HH_hh_gas_aantal,HH_rest_gas_aantal)</f>
        <v>3616</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3616</v>
      </c>
      <c r="C32" s="167">
        <f>IF(ISERROR(B32/SUM($B$32,$B$34,$B$35,$B$36,$B$38,$B$39)*100),0,B32/SUM($B$32,$B$34,$B$35,$B$36,$B$38,$B$39)*100)</f>
        <v>66.876271499907517</v>
      </c>
      <c r="D32" s="233"/>
      <c r="G32" s="15"/>
    </row>
    <row r="33" spans="1:7">
      <c r="A33" s="171" t="s">
        <v>72</v>
      </c>
      <c r="B33" s="34" t="s">
        <v>111</v>
      </c>
      <c r="C33" s="167"/>
      <c r="D33" s="233"/>
      <c r="G33" s="15"/>
    </row>
    <row r="34" spans="1:7">
      <c r="A34" s="171" t="s">
        <v>73</v>
      </c>
      <c r="B34" s="33">
        <f>IF((($B$28-$B$32-$B$39-$B$77-$B$38)*C20/100)&lt;0,0,($B$28-$B$32-$B$39-$B$77-$B$38)*C20/100)</f>
        <v>59.873303167420815</v>
      </c>
      <c r="C34" s="167">
        <f>IF(ISERROR(B34/SUM($B$32,$B$34,$B$35,$B$36,$B$38,$B$39)*100),0,B34/SUM($B$32,$B$34,$B$35,$B$36,$B$38,$B$39)*100)</f>
        <v>1.1073294464105936</v>
      </c>
      <c r="D34" s="233"/>
      <c r="G34" s="15"/>
    </row>
    <row r="35" spans="1:7">
      <c r="A35" s="171" t="s">
        <v>74</v>
      </c>
      <c r="B35" s="33">
        <f>IF((($B$28-$B$32-$B$39-$B$77-$B$38)*C21/100)&lt;0,0,($B$28-$B$32-$B$39-$B$77-$B$38)*C21/100)</f>
        <v>718.47963800904984</v>
      </c>
      <c r="C35" s="167">
        <f>IF(ISERROR(B35/SUM($B$32,$B$34,$B$35,$B$36,$B$38,$B$39)*100),0,B35/SUM($B$32,$B$34,$B$35,$B$36,$B$38,$B$39)*100)</f>
        <v>13.287953356927126</v>
      </c>
      <c r="D35" s="233"/>
      <c r="G35" s="15"/>
    </row>
    <row r="36" spans="1:7">
      <c r="A36" s="171" t="s">
        <v>75</v>
      </c>
      <c r="B36" s="33">
        <f>IF((($B$28-$B$32-$B$39-$B$77-$B$38)*C22/100)&lt;0,0,($B$28-$B$32-$B$39-$B$77-$B$38)*C22/100)</f>
        <v>48.647058823529406</v>
      </c>
      <c r="C36" s="167">
        <f>IF(ISERROR(B36/SUM($B$32,$B$34,$B$35,$B$36,$B$38,$B$39)*100),0,B36/SUM($B$32,$B$34,$B$35,$B$36,$B$38,$B$39)*100)</f>
        <v>0.89970517520860727</v>
      </c>
      <c r="D36" s="233"/>
      <c r="G36" s="15"/>
    </row>
    <row r="37" spans="1:7">
      <c r="A37" s="171" t="s">
        <v>76</v>
      </c>
      <c r="B37" s="34" t="s">
        <v>111</v>
      </c>
      <c r="C37" s="167"/>
      <c r="D37" s="173"/>
      <c r="G37" s="15"/>
    </row>
    <row r="38" spans="1:7">
      <c r="A38" s="171" t="s">
        <v>77</v>
      </c>
      <c r="B38" s="33">
        <f>IF((B24-(B29-B18)*0.1)&lt;0,0,B24-(B29-B18)*0.1)</f>
        <v>1.7999999999999829</v>
      </c>
      <c r="C38" s="167">
        <f>IF(ISERROR(B38/SUM($B$32,$B$34,$B$35,$B$36,$B$38,$B$39)*100),0,B38/SUM($B$32,$B$34,$B$35,$B$36,$B$38,$B$39)*100)</f>
        <v>3.3290179397077541E-2</v>
      </c>
      <c r="D38" s="234"/>
      <c r="G38" s="15"/>
    </row>
    <row r="39" spans="1:7">
      <c r="A39" s="171" t="s">
        <v>78</v>
      </c>
      <c r="B39" s="33">
        <f>IF((B25-(B29-B18))&lt;0,0,B25-(B29-B18)*0.9)</f>
        <v>962.2</v>
      </c>
      <c r="C39" s="167">
        <f>IF(ISERROR(B39/SUM($B$32,$B$34,$B$35,$B$36,$B$38,$B$39)*100),0,B39/SUM($B$32,$B$34,$B$35,$B$36,$B$38,$B$39)*100)</f>
        <v>17.795450342149064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3616</v>
      </c>
      <c r="C44" s="34" t="s">
        <v>111</v>
      </c>
      <c r="D44" s="174"/>
    </row>
    <row r="45" spans="1:7">
      <c r="A45" s="171" t="s">
        <v>72</v>
      </c>
      <c r="B45" s="33" t="str">
        <f t="shared" si="0"/>
        <v>-</v>
      </c>
      <c r="C45" s="34" t="s">
        <v>111</v>
      </c>
      <c r="D45" s="174"/>
    </row>
    <row r="46" spans="1:7">
      <c r="A46" s="171" t="s">
        <v>73</v>
      </c>
      <c r="B46" s="33">
        <f t="shared" si="0"/>
        <v>59.873303167420815</v>
      </c>
      <c r="C46" s="34" t="s">
        <v>111</v>
      </c>
      <c r="D46" s="174"/>
    </row>
    <row r="47" spans="1:7">
      <c r="A47" s="171" t="s">
        <v>74</v>
      </c>
      <c r="B47" s="33">
        <f t="shared" si="0"/>
        <v>718.47963800904984</v>
      </c>
      <c r="C47" s="34" t="s">
        <v>111</v>
      </c>
      <c r="D47" s="174"/>
    </row>
    <row r="48" spans="1:7">
      <c r="A48" s="171" t="s">
        <v>75</v>
      </c>
      <c r="B48" s="33">
        <f t="shared" si="0"/>
        <v>48.647058823529406</v>
      </c>
      <c r="C48" s="33">
        <f>B48*10</f>
        <v>486.47058823529403</v>
      </c>
      <c r="D48" s="234"/>
    </row>
    <row r="49" spans="1:6">
      <c r="A49" s="171" t="s">
        <v>76</v>
      </c>
      <c r="B49" s="33" t="str">
        <f t="shared" si="0"/>
        <v>-</v>
      </c>
      <c r="C49" s="34" t="s">
        <v>111</v>
      </c>
      <c r="D49" s="234"/>
    </row>
    <row r="50" spans="1:6">
      <c r="A50" s="171" t="s">
        <v>77</v>
      </c>
      <c r="B50" s="33">
        <f t="shared" si="0"/>
        <v>1.7999999999999829</v>
      </c>
      <c r="C50" s="33">
        <f>B50*2</f>
        <v>3.5999999999999659</v>
      </c>
      <c r="D50" s="234"/>
    </row>
    <row r="51" spans="1:6">
      <c r="A51" s="171" t="s">
        <v>78</v>
      </c>
      <c r="B51" s="33">
        <f t="shared" si="0"/>
        <v>962.2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13239.032517</v>
      </c>
      <c r="C5" s="17">
        <f>IF(ISERROR('Eigen informatie GS &amp; warmtenet'!B58),0,'Eigen informatie GS &amp; warmtenet'!B58)</f>
        <v>0</v>
      </c>
      <c r="D5" s="30">
        <f>SUM(D6:D12)</f>
        <v>25418.43333711</v>
      </c>
      <c r="E5" s="17">
        <f>SUM(E6:E12)</f>
        <v>209.65983120592711</v>
      </c>
      <c r="F5" s="17">
        <f>SUM(F6:F12)</f>
        <v>2322.0551901903318</v>
      </c>
      <c r="G5" s="18"/>
      <c r="H5" s="17"/>
      <c r="I5" s="17"/>
      <c r="J5" s="17">
        <f>SUM(J6:J12)</f>
        <v>4.3539051377760991E-2</v>
      </c>
      <c r="K5" s="17"/>
      <c r="L5" s="17"/>
      <c r="M5" s="17"/>
      <c r="N5" s="17">
        <f>SUM(N6:N12)</f>
        <v>1720.3908630708397</v>
      </c>
      <c r="O5" s="17">
        <f>B38*B39*B40</f>
        <v>3.1266666666666669</v>
      </c>
      <c r="P5" s="17">
        <f>B46*B47*B48/1000-B46*B47*B48/1000/B49</f>
        <v>0</v>
      </c>
      <c r="R5" s="32"/>
    </row>
    <row r="6" spans="1:18">
      <c r="A6" s="32" t="s">
        <v>54</v>
      </c>
      <c r="B6" s="37">
        <f>B26</f>
        <v>2898.853314</v>
      </c>
      <c r="C6" s="33"/>
      <c r="D6" s="37">
        <f>IF(ISERROR(TER_kantoor_gas_kWh/1000),0,TER_kantoor_gas_kWh/1000)*0.902</f>
        <v>6105.4379363999997</v>
      </c>
      <c r="E6" s="33">
        <f>$C$26*'E Balans VL '!I12/100/3.6*1000000</f>
        <v>1.8169048428644429E-2</v>
      </c>
      <c r="F6" s="33">
        <f>$C$26*('E Balans VL '!L12+'E Balans VL '!N12)/100/3.6*1000000</f>
        <v>435.61665140717116</v>
      </c>
      <c r="G6" s="34"/>
      <c r="H6" s="33"/>
      <c r="I6" s="33"/>
      <c r="J6" s="33">
        <f>$C$26*('E Balans VL '!D12+'E Balans VL '!E12)/100/3.6*1000000</f>
        <v>0</v>
      </c>
      <c r="K6" s="33"/>
      <c r="L6" s="33"/>
      <c r="M6" s="33"/>
      <c r="N6" s="33">
        <f>$C$26*'E Balans VL '!Y12/100/3.6*1000000</f>
        <v>2.7723233926689188</v>
      </c>
      <c r="O6" s="33"/>
      <c r="P6" s="33"/>
      <c r="R6" s="32"/>
    </row>
    <row r="7" spans="1:18">
      <c r="A7" s="32" t="s">
        <v>53</v>
      </c>
      <c r="B7" s="37">
        <f t="shared" ref="B7:B12" si="0">B27</f>
        <v>3327.3429999999998</v>
      </c>
      <c r="C7" s="33"/>
      <c r="D7" s="37">
        <f>IF(ISERROR(TER_horeca_gas_kWh/1000),0,TER_horeca_gas_kWh/1000)*0.902</f>
        <v>10275.054783972</v>
      </c>
      <c r="E7" s="33">
        <f>$C$27*'E Balans VL '!I9/100/3.6*1000000</f>
        <v>47.646997530457568</v>
      </c>
      <c r="F7" s="33">
        <f>$C$27*('E Balans VL '!L9+'E Balans VL '!N9)/100/3.6*1000000</f>
        <v>421.35136379996828</v>
      </c>
      <c r="G7" s="34"/>
      <c r="H7" s="33"/>
      <c r="I7" s="33"/>
      <c r="J7" s="33">
        <f>$C$27*('E Balans VL '!D9+'E Balans VL '!E9)/100/3.6*1000000</f>
        <v>0</v>
      </c>
      <c r="K7" s="33"/>
      <c r="L7" s="33"/>
      <c r="M7" s="33"/>
      <c r="N7" s="33">
        <f>$C$27*'E Balans VL '!Y9/100/3.6*1000000</f>
        <v>0.95653775088418658</v>
      </c>
      <c r="O7" s="33"/>
      <c r="P7" s="33"/>
      <c r="R7" s="32"/>
    </row>
    <row r="8" spans="1:18">
      <c r="A8" s="6" t="s">
        <v>52</v>
      </c>
      <c r="B8" s="37">
        <f t="shared" si="0"/>
        <v>4268.6407499999996</v>
      </c>
      <c r="C8" s="33"/>
      <c r="D8" s="37">
        <f>IF(ISERROR(TER_handel_gas_kWh/1000),0,TER_handel_gas_kWh/1000)*0.902</f>
        <v>3111.4572984000001</v>
      </c>
      <c r="E8" s="33">
        <f>$C$28*'E Balans VL '!I13/100/3.6*1000000</f>
        <v>154.8230736173056</v>
      </c>
      <c r="F8" s="33">
        <f>$C$28*('E Balans VL '!L13+'E Balans VL '!N13)/100/3.6*1000000</f>
        <v>822.18343118560938</v>
      </c>
      <c r="G8" s="34"/>
      <c r="H8" s="33"/>
      <c r="I8" s="33"/>
      <c r="J8" s="33">
        <f>$C$28*('E Balans VL '!D13+'E Balans VL '!E13)/100/3.6*1000000</f>
        <v>0</v>
      </c>
      <c r="K8" s="33"/>
      <c r="L8" s="33"/>
      <c r="M8" s="33"/>
      <c r="N8" s="33">
        <f>$C$28*'E Balans VL '!Y13/100/3.6*1000000</f>
        <v>5.9130496091830853</v>
      </c>
      <c r="O8" s="33"/>
      <c r="P8" s="33"/>
      <c r="R8" s="32"/>
    </row>
    <row r="9" spans="1:18">
      <c r="A9" s="32" t="s">
        <v>51</v>
      </c>
      <c r="B9" s="37">
        <f t="shared" si="0"/>
        <v>423.26</v>
      </c>
      <c r="C9" s="33"/>
      <c r="D9" s="37">
        <f>IF(ISERROR(TER_gezond_gas_kWh/1000),0,TER_gezond_gas_kWh/1000)*0.902</f>
        <v>985.64516600000002</v>
      </c>
      <c r="E9" s="33">
        <f>$C$29*'E Balans VL '!I10/100/3.6*1000000</f>
        <v>2.6500254937531286E-2</v>
      </c>
      <c r="F9" s="33">
        <f>$C$29*('E Balans VL '!L10+'E Balans VL '!N10)/100/3.6*1000000</f>
        <v>62.876561703970339</v>
      </c>
      <c r="G9" s="34"/>
      <c r="H9" s="33"/>
      <c r="I9" s="33"/>
      <c r="J9" s="33">
        <f>$C$29*('E Balans VL '!D10+'E Balans VL '!E10)/100/3.6*1000000</f>
        <v>0</v>
      </c>
      <c r="K9" s="33"/>
      <c r="L9" s="33"/>
      <c r="M9" s="33"/>
      <c r="N9" s="33">
        <f>$C$29*'E Balans VL '!Y10/100/3.6*1000000</f>
        <v>6.5470265210988963</v>
      </c>
      <c r="O9" s="33"/>
      <c r="P9" s="33"/>
      <c r="R9" s="32"/>
    </row>
    <row r="10" spans="1:18">
      <c r="A10" s="32" t="s">
        <v>50</v>
      </c>
      <c r="B10" s="37">
        <f t="shared" si="0"/>
        <v>2005.845881</v>
      </c>
      <c r="C10" s="33"/>
      <c r="D10" s="37">
        <f>IF(ISERROR(TER_ander_gas_kWh/1000),0,TER_ander_gas_kWh/1000)*0.902</f>
        <v>3418.576048338</v>
      </c>
      <c r="E10" s="33">
        <f>$C$30*'E Balans VL '!I14/100/3.6*1000000</f>
        <v>2.3908966133314671</v>
      </c>
      <c r="F10" s="33">
        <f>$C$30*('E Balans VL '!L14+'E Balans VL '!N14)/100/3.6*1000000</f>
        <v>524.81845537354911</v>
      </c>
      <c r="G10" s="34"/>
      <c r="H10" s="33"/>
      <c r="I10" s="33"/>
      <c r="J10" s="33">
        <f>$C$30*('E Balans VL '!D14+'E Balans VL '!E14)/100/3.6*1000000</f>
        <v>4.3539051377760991E-2</v>
      </c>
      <c r="K10" s="33"/>
      <c r="L10" s="33"/>
      <c r="M10" s="33"/>
      <c r="N10" s="33">
        <f>$C$30*'E Balans VL '!Y14/100/3.6*1000000</f>
        <v>1703.315239787375</v>
      </c>
      <c r="O10" s="33"/>
      <c r="P10" s="33"/>
      <c r="R10" s="32"/>
    </row>
    <row r="11" spans="1:18">
      <c r="A11" s="32" t="s">
        <v>55</v>
      </c>
      <c r="B11" s="37">
        <f t="shared" si="0"/>
        <v>315.08957199999998</v>
      </c>
      <c r="C11" s="33"/>
      <c r="D11" s="37">
        <f>IF(ISERROR(TER_onderwijs_gas_kWh/1000),0,TER_onderwijs_gas_kWh/1000)*0.902</f>
        <v>1522.2621040000001</v>
      </c>
      <c r="E11" s="33">
        <f>$C$31*'E Balans VL '!I11/100/3.6*1000000</f>
        <v>4.7541941414662734</v>
      </c>
      <c r="F11" s="33">
        <f>$C$31*('E Balans VL '!L11+'E Balans VL '!N11)/100/3.6*1000000</f>
        <v>55.208726720063758</v>
      </c>
      <c r="G11" s="34"/>
      <c r="H11" s="33"/>
      <c r="I11" s="33"/>
      <c r="J11" s="33">
        <f>$C$31*('E Balans VL '!D11+'E Balans VL '!E11)/100/3.6*1000000</f>
        <v>0</v>
      </c>
      <c r="K11" s="33"/>
      <c r="L11" s="33"/>
      <c r="M11" s="33"/>
      <c r="N11" s="33">
        <f>$C$31*'E Balans VL '!Y11/100/3.6*1000000</f>
        <v>0.88668600962947741</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13239.032517</v>
      </c>
      <c r="C16" s="21">
        <f t="shared" ca="1" si="1"/>
        <v>0</v>
      </c>
      <c r="D16" s="21">
        <f t="shared" ca="1" si="1"/>
        <v>25418.43333711</v>
      </c>
      <c r="E16" s="21">
        <f t="shared" si="1"/>
        <v>209.65983120592711</v>
      </c>
      <c r="F16" s="21">
        <f t="shared" ca="1" si="1"/>
        <v>2322.0551901903318</v>
      </c>
      <c r="G16" s="21">
        <f t="shared" si="1"/>
        <v>0</v>
      </c>
      <c r="H16" s="21">
        <f t="shared" si="1"/>
        <v>0</v>
      </c>
      <c r="I16" s="21">
        <f t="shared" si="1"/>
        <v>0</v>
      </c>
      <c r="J16" s="21">
        <f t="shared" si="1"/>
        <v>4.3539051377760991E-2</v>
      </c>
      <c r="K16" s="21">
        <f t="shared" si="1"/>
        <v>0</v>
      </c>
      <c r="L16" s="21">
        <f t="shared" ca="1" si="1"/>
        <v>0</v>
      </c>
      <c r="M16" s="21">
        <f t="shared" si="1"/>
        <v>0</v>
      </c>
      <c r="N16" s="21">
        <f t="shared" ca="1" si="1"/>
        <v>1720.3908630708397</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0.192098331529581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2543.1960575815692</v>
      </c>
      <c r="C20" s="23">
        <f t="shared" ref="C20:P20" ca="1" si="2">C16*C18</f>
        <v>0</v>
      </c>
      <c r="D20" s="23">
        <f t="shared" ca="1" si="2"/>
        <v>5134.5235340962199</v>
      </c>
      <c r="E20" s="23">
        <f t="shared" si="2"/>
        <v>47.592781683745457</v>
      </c>
      <c r="F20" s="23">
        <f t="shared" ca="1" si="2"/>
        <v>619.98873578081862</v>
      </c>
      <c r="G20" s="23">
        <f t="shared" si="2"/>
        <v>0</v>
      </c>
      <c r="H20" s="23">
        <f t="shared" si="2"/>
        <v>0</v>
      </c>
      <c r="I20" s="23">
        <f t="shared" si="2"/>
        <v>0</v>
      </c>
      <c r="J20" s="23">
        <f t="shared" si="2"/>
        <v>1.541282418772739E-2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2898.853314</v>
      </c>
      <c r="C26" s="39">
        <f>IF(ISERROR(B26*3.6/1000000/'E Balans VL '!Z12*100),0,B26*3.6/1000000/'E Balans VL '!Z12*100)</f>
        <v>6.1277166903379018E-2</v>
      </c>
      <c r="D26" s="237" t="s">
        <v>754</v>
      </c>
      <c r="F26" s="6"/>
    </row>
    <row r="27" spans="1:18">
      <c r="A27" s="231" t="s">
        <v>53</v>
      </c>
      <c r="B27" s="33">
        <f>IF(ISERROR(TER_horeca_ele_kWh/1000),0,TER_horeca_ele_kWh/1000)</f>
        <v>3327.3429999999998</v>
      </c>
      <c r="C27" s="39">
        <f>IF(ISERROR(B27*3.6/1000000/'E Balans VL '!Z9*100),0,B27*3.6/1000000/'E Balans VL '!Z9*100)</f>
        <v>0.26229320852595123</v>
      </c>
      <c r="D27" s="237" t="s">
        <v>754</v>
      </c>
      <c r="F27" s="6"/>
    </row>
    <row r="28" spans="1:18">
      <c r="A28" s="171" t="s">
        <v>52</v>
      </c>
      <c r="B28" s="33">
        <f>IF(ISERROR(TER_handel_ele_kWh/1000),0,TER_handel_ele_kWh/1000)</f>
        <v>4268.6407499999996</v>
      </c>
      <c r="C28" s="39">
        <f>IF(ISERROR(B28*3.6/1000000/'E Balans VL '!Z13*100),0,B28*3.6/1000000/'E Balans VL '!Z13*100)</f>
        <v>0.12389320180628866</v>
      </c>
      <c r="D28" s="237" t="s">
        <v>754</v>
      </c>
      <c r="F28" s="6"/>
    </row>
    <row r="29" spans="1:18">
      <c r="A29" s="231" t="s">
        <v>51</v>
      </c>
      <c r="B29" s="33">
        <f>IF(ISERROR(TER_gezond_ele_kWh/1000),0,TER_gezond_ele_kWh/1000)</f>
        <v>423.26</v>
      </c>
      <c r="C29" s="39">
        <f>IF(ISERROR(B29*3.6/1000000/'E Balans VL '!Z10*100),0,B29*3.6/1000000/'E Balans VL '!Z10*100)</f>
        <v>4.4576228112656116E-2</v>
      </c>
      <c r="D29" s="237" t="s">
        <v>754</v>
      </c>
      <c r="F29" s="6"/>
    </row>
    <row r="30" spans="1:18">
      <c r="A30" s="231" t="s">
        <v>50</v>
      </c>
      <c r="B30" s="33">
        <f>IF(ISERROR(TER_ander_ele_kWh/1000),0,TER_ander_ele_kWh/1000)</f>
        <v>2005.845881</v>
      </c>
      <c r="C30" s="39">
        <f>IF(ISERROR(B30*3.6/1000000/'E Balans VL '!Z14*100),0,B30*3.6/1000000/'E Balans VL '!Z14*100)</f>
        <v>0.14795162785011817</v>
      </c>
      <c r="D30" s="237" t="s">
        <v>754</v>
      </c>
      <c r="F30" s="6"/>
    </row>
    <row r="31" spans="1:18">
      <c r="A31" s="231" t="s">
        <v>55</v>
      </c>
      <c r="B31" s="33">
        <f>IF(ISERROR(TER_onderwijs_ele_kWh/1000),0,TER_onderwijs_ele_kWh/1000)</f>
        <v>315.08957199999998</v>
      </c>
      <c r="C31" s="39">
        <f>IF(ISERROR(B31*3.6/1000000/'E Balans VL '!Z11*100),0,B31*3.6/1000000/'E Balans VL '!Z11*100)</f>
        <v>7.8251500392379533E-2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40339.493066999996</v>
      </c>
      <c r="C5" s="17">
        <f>IF(ISERROR('Eigen informatie GS &amp; warmtenet'!B59),0,'Eigen informatie GS &amp; warmtenet'!B59)</f>
        <v>0</v>
      </c>
      <c r="D5" s="30">
        <f>SUM(D6:D15)</f>
        <v>139470.36073960003</v>
      </c>
      <c r="E5" s="17">
        <f>SUM(E6:E15)</f>
        <v>309.2495365671806</v>
      </c>
      <c r="F5" s="17">
        <f>SUM(F6:F15)</f>
        <v>1060.1502603514816</v>
      </c>
      <c r="G5" s="18"/>
      <c r="H5" s="17"/>
      <c r="I5" s="17"/>
      <c r="J5" s="17">
        <f>SUM(J6:J15)</f>
        <v>0.16880365150478613</v>
      </c>
      <c r="K5" s="17"/>
      <c r="L5" s="17"/>
      <c r="M5" s="17"/>
      <c r="N5" s="17">
        <f>SUM(N6:N15)</f>
        <v>1401.6688106687623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215.42166699999999</v>
      </c>
      <c r="C8" s="33"/>
      <c r="D8" s="37">
        <f>IF( ISERROR(IND_metaal_Gas_kWH/1000),0,IND_metaal_Gas_kWH/1000)*0.902</f>
        <v>146.244868</v>
      </c>
      <c r="E8" s="33">
        <f>C30*'E Balans VL '!I18/100/3.6*1000000</f>
        <v>1.9805941718403903</v>
      </c>
      <c r="F8" s="33">
        <f>C30*'E Balans VL '!L18/100/3.6*1000000+C30*'E Balans VL '!N18/100/3.6*1000000</f>
        <v>20.199380251311378</v>
      </c>
      <c r="G8" s="34"/>
      <c r="H8" s="33"/>
      <c r="I8" s="33"/>
      <c r="J8" s="40">
        <f>C30*'E Balans VL '!D18/100/3.6*1000000+C30*'E Balans VL '!E18/100/3.6*1000000</f>
        <v>0</v>
      </c>
      <c r="K8" s="33"/>
      <c r="L8" s="33"/>
      <c r="M8" s="33"/>
      <c r="N8" s="33">
        <f>C30*'E Balans VL '!Y18/100/3.6*1000000</f>
        <v>3.0733460790512201</v>
      </c>
      <c r="O8" s="33"/>
      <c r="P8" s="33"/>
      <c r="R8" s="32"/>
    </row>
    <row r="9" spans="1:18">
      <c r="A9" s="6" t="s">
        <v>33</v>
      </c>
      <c r="B9" s="37">
        <f t="shared" si="0"/>
        <v>712.49739999999997</v>
      </c>
      <c r="C9" s="33"/>
      <c r="D9" s="37">
        <f>IF( ISERROR(IND_andere_gas_kWh/1000),0,IND_andere_gas_kWh/1000)*0.902</f>
        <v>652.72490360000006</v>
      </c>
      <c r="E9" s="33">
        <f>C31*'E Balans VL '!I19/100/3.6*1000000</f>
        <v>208.27686070833977</v>
      </c>
      <c r="F9" s="33">
        <f>C31*'E Balans VL '!L19/100/3.6*1000000+C31*'E Balans VL '!N19/100/3.6*1000000</f>
        <v>572.54559199767129</v>
      </c>
      <c r="G9" s="34"/>
      <c r="H9" s="33"/>
      <c r="I9" s="33"/>
      <c r="J9" s="40">
        <f>C31*'E Balans VL '!D19/100/3.6*1000000+C31*'E Balans VL '!E19/100/3.6*1000000</f>
        <v>0</v>
      </c>
      <c r="K9" s="33"/>
      <c r="L9" s="33"/>
      <c r="M9" s="33"/>
      <c r="N9" s="33">
        <f>C31*'E Balans VL '!Y19/100/3.6*1000000</f>
        <v>235.42019101122474</v>
      </c>
      <c r="O9" s="33"/>
      <c r="P9" s="33"/>
      <c r="R9" s="32"/>
    </row>
    <row r="10" spans="1:18">
      <c r="A10" s="6" t="s">
        <v>41</v>
      </c>
      <c r="B10" s="37">
        <f t="shared" si="0"/>
        <v>682.42600000000004</v>
      </c>
      <c r="C10" s="33"/>
      <c r="D10" s="37">
        <f>IF( ISERROR(IND_voed_gas_kWh/1000),0,IND_voed_gas_kWh/1000)*0.902</f>
        <v>585.68754200000001</v>
      </c>
      <c r="E10" s="33">
        <f>C32*'E Balans VL '!I20/100/3.6*1000000</f>
        <v>1.4436827841404516</v>
      </c>
      <c r="F10" s="33">
        <f>C32*'E Balans VL '!L20/100/3.6*1000000+C32*'E Balans VL '!N20/100/3.6*1000000</f>
        <v>43.389342157717515</v>
      </c>
      <c r="G10" s="34"/>
      <c r="H10" s="33"/>
      <c r="I10" s="33"/>
      <c r="J10" s="40">
        <f>C32*'E Balans VL '!D20/100/3.6*1000000+C32*'E Balans VL '!E20/100/3.6*1000000</f>
        <v>0</v>
      </c>
      <c r="K10" s="33"/>
      <c r="L10" s="33"/>
      <c r="M10" s="33"/>
      <c r="N10" s="33">
        <f>C32*'E Balans VL '!Y20/100/3.6*1000000</f>
        <v>47.094128344318896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84.028000000000006</v>
      </c>
      <c r="C13" s="33"/>
      <c r="D13" s="37">
        <f>IF( ISERROR(IND_papier_gas_kWh/1000),0,IND_papier_gas_kWh/1000)*0.902</f>
        <v>0</v>
      </c>
      <c r="E13" s="33">
        <f>C35*'E Balans VL '!I23/100/3.6*1000000</f>
        <v>0.11921651494558162</v>
      </c>
      <c r="F13" s="33">
        <f>C35*'E Balans VL '!L23/100/3.6*1000000+C35*'E Balans VL '!N23/100/3.6*1000000</f>
        <v>2.0514394456516989</v>
      </c>
      <c r="G13" s="34"/>
      <c r="H13" s="33"/>
      <c r="I13" s="33"/>
      <c r="J13" s="40">
        <f>C35*'E Balans VL '!D23/100/3.6*1000000+C35*'E Balans VL '!E23/100/3.6*1000000</f>
        <v>1.2995719102937738E-2</v>
      </c>
      <c r="K13" s="33"/>
      <c r="L13" s="33"/>
      <c r="M13" s="33"/>
      <c r="N13" s="33">
        <f>C35*'E Balans VL '!Y23/100/3.6*1000000</f>
        <v>244.2495052061698</v>
      </c>
      <c r="O13" s="33"/>
      <c r="P13" s="33"/>
      <c r="R13" s="32"/>
    </row>
    <row r="14" spans="1:18">
      <c r="A14" s="6" t="s">
        <v>34</v>
      </c>
      <c r="B14" s="37">
        <f t="shared" si="0"/>
        <v>38601.597999999998</v>
      </c>
      <c r="C14" s="33"/>
      <c r="D14" s="37">
        <f>IF( ISERROR(IND_chemie_gas_kWh/1000),0,IND_chemie_gas_kWh/1000)*0.902</f>
        <v>0</v>
      </c>
      <c r="E14" s="33">
        <f>C36*'E Balans VL '!I24/100/3.6*1000000</f>
        <v>95.026074192233111</v>
      </c>
      <c r="F14" s="33">
        <f>C36*'E Balans VL '!L24/100/3.6*1000000+C36*'E Balans VL '!N24/100/3.6*1000000</f>
        <v>413.34410093483513</v>
      </c>
      <c r="G14" s="34"/>
      <c r="H14" s="33"/>
      <c r="I14" s="33"/>
      <c r="J14" s="40">
        <f>C36*'E Balans VL '!D24/100/3.6*1000000+C36*'E Balans VL '!E24/100/3.6*1000000</f>
        <v>0</v>
      </c>
      <c r="K14" s="33"/>
      <c r="L14" s="33"/>
      <c r="M14" s="33"/>
      <c r="N14" s="33">
        <f>C36*'E Balans VL '!Y24/100/3.6*1000000</f>
        <v>862.06897228088542</v>
      </c>
      <c r="O14" s="33"/>
      <c r="P14" s="33"/>
      <c r="R14" s="32"/>
    </row>
    <row r="15" spans="1:18">
      <c r="A15" s="6" t="s">
        <v>270</v>
      </c>
      <c r="B15" s="37">
        <f t="shared" si="0"/>
        <v>43.521999999999998</v>
      </c>
      <c r="C15" s="33"/>
      <c r="D15" s="37">
        <f>IF( ISERROR(IND_rest_gas_kWh/1000),0,IND_rest_gas_kWh/1000)*0.902</f>
        <v>138085.70342600002</v>
      </c>
      <c r="E15" s="33">
        <f>C37*'E Balans VL '!I15/100/3.6*1000000</f>
        <v>2.4031081956813045</v>
      </c>
      <c r="F15" s="33">
        <f>C37*'E Balans VL '!L15/100/3.6*1000000+C37*'E Balans VL '!N15/100/3.6*1000000</f>
        <v>8.62040556429465</v>
      </c>
      <c r="G15" s="34"/>
      <c r="H15" s="33"/>
      <c r="I15" s="33"/>
      <c r="J15" s="40">
        <f>C37*'E Balans VL '!D15/100/3.6*1000000+C37*'E Balans VL '!E15/100/3.6*1000000</f>
        <v>0.1558079324018484</v>
      </c>
      <c r="K15" s="33"/>
      <c r="L15" s="33"/>
      <c r="M15" s="33"/>
      <c r="N15" s="33">
        <f>C37*'E Balans VL '!Y15/100/3.6*1000000</f>
        <v>9.7626677471123546</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40339.493066999996</v>
      </c>
      <c r="C18" s="21">
        <f>C5+C16</f>
        <v>0</v>
      </c>
      <c r="D18" s="21">
        <f>MAX((D5+D16),0)</f>
        <v>139470.36073960003</v>
      </c>
      <c r="E18" s="21">
        <f>MAX((E5+E16),0)</f>
        <v>309.2495365671806</v>
      </c>
      <c r="F18" s="21">
        <f>MAX((F5+F16),0)</f>
        <v>1060.1502603514816</v>
      </c>
      <c r="G18" s="21"/>
      <c r="H18" s="21"/>
      <c r="I18" s="21"/>
      <c r="J18" s="21">
        <f>MAX((J5+J16),0)</f>
        <v>0.16880365150478613</v>
      </c>
      <c r="K18" s="21"/>
      <c r="L18" s="21">
        <f>MAX((L5+L16),0)</f>
        <v>0</v>
      </c>
      <c r="M18" s="21"/>
      <c r="N18" s="21">
        <f>MAX((N5+N16),0)</f>
        <v>1401.6688106687623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0.192098331529581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7749.1493129197997</v>
      </c>
      <c r="C22" s="23">
        <f ca="1">C18*C20</f>
        <v>0</v>
      </c>
      <c r="D22" s="23">
        <f>D18*D20</f>
        <v>28173.012869399208</v>
      </c>
      <c r="E22" s="23">
        <f>E18*E20</f>
        <v>70.199644800749994</v>
      </c>
      <c r="F22" s="23">
        <f>F18*F20</f>
        <v>283.06011951384562</v>
      </c>
      <c r="G22" s="23"/>
      <c r="H22" s="23"/>
      <c r="I22" s="23"/>
      <c r="J22" s="23">
        <f>J18*J20</f>
        <v>5.9756492632694287E-2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215.42166699999999</v>
      </c>
      <c r="C30" s="39">
        <f>IF(ISERROR(B30*3.6/1000000/'E Balans VL '!Z18*100),0,B30*3.6/1000000/'E Balans VL '!Z18*100)</f>
        <v>1.2208498246172334E-2</v>
      </c>
      <c r="D30" s="237" t="s">
        <v>754</v>
      </c>
    </row>
    <row r="31" spans="1:18">
      <c r="A31" s="6" t="s">
        <v>33</v>
      </c>
      <c r="B31" s="37">
        <f>IF( ISERROR(IND_ander_ele_kWh/1000),0,IND_ander_ele_kWh/1000)</f>
        <v>712.49739999999997</v>
      </c>
      <c r="C31" s="39">
        <f>IF(ISERROR(B31*3.6/1000000/'E Balans VL '!Z19*100),0,B31*3.6/1000000/'E Balans VL '!Z19*100)</f>
        <v>3.231591527646243E-2</v>
      </c>
      <c r="D31" s="237" t="s">
        <v>754</v>
      </c>
    </row>
    <row r="32" spans="1:18">
      <c r="A32" s="171" t="s">
        <v>41</v>
      </c>
      <c r="B32" s="37">
        <f>IF( ISERROR(IND_voed_ele_kWh/1000),0,IND_voed_ele_kWh/1000)</f>
        <v>682.42600000000004</v>
      </c>
      <c r="C32" s="39">
        <f>IF(ISERROR(B32*3.6/1000000/'E Balans VL '!Z20*100),0,B32*3.6/1000000/'E Balans VL '!Z20*100)</f>
        <v>2.1110534132462857E-2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84.028000000000006</v>
      </c>
      <c r="C35" s="39">
        <f>IF(ISERROR(B35*3.6/1000000/'E Balans VL '!Z22*100),0,B35*3.6/1000000/'E Balans VL '!Z22*100)</f>
        <v>1.5114015556593247E-2</v>
      </c>
      <c r="D35" s="237" t="s">
        <v>754</v>
      </c>
    </row>
    <row r="36" spans="1:5">
      <c r="A36" s="171" t="s">
        <v>34</v>
      </c>
      <c r="B36" s="37">
        <f>IF( ISERROR(IND_chemie_ele_kWh/1000),0,IND_chemie_ele_kWh/1000)</f>
        <v>38601.597999999998</v>
      </c>
      <c r="C36" s="39">
        <f>IF(ISERROR(B36*3.6/1000000/'E Balans VL '!Z24*100),0,B36*3.6/1000000/'E Balans VL '!Z24*100)</f>
        <v>1.1771180893506445</v>
      </c>
      <c r="D36" s="237" t="s">
        <v>754</v>
      </c>
    </row>
    <row r="37" spans="1:5">
      <c r="A37" s="171" t="s">
        <v>270</v>
      </c>
      <c r="B37" s="37">
        <f>IF( ISERROR(IND_rest_ele_kWh/1000),0,IND_rest_ele_kWh/1000)</f>
        <v>43.521999999999998</v>
      </c>
      <c r="C37" s="39">
        <f>IF(ISERROR(B37*3.6/1000000/'E Balans VL '!Z15*100),0,B37*3.6/1000000/'E Balans VL '!Z15*100)</f>
        <v>3.4496530009936173E-4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288.81512099999998</v>
      </c>
      <c r="C5" s="17">
        <f>'Eigen informatie GS &amp; warmtenet'!B60</f>
        <v>0</v>
      </c>
      <c r="D5" s="30">
        <f>IF(ISERROR(SUM(LB_lb_gas_kWh,LB_rest_gas_kWh)/1000),0,SUM(LB_lb_gas_kWh,LB_rest_gas_kWh)/1000)*0.902</f>
        <v>45.941566000000002</v>
      </c>
      <c r="E5" s="17">
        <f>B17*'E Balans VL '!I25/3.6*1000000/100</f>
        <v>8.4891585493878239</v>
      </c>
      <c r="F5" s="17">
        <f>B17*('E Balans VL '!L25/3.6*1000000+'E Balans VL '!N25/3.6*1000000)/100</f>
        <v>1203.188187336023</v>
      </c>
      <c r="G5" s="18"/>
      <c r="H5" s="17"/>
      <c r="I5" s="17"/>
      <c r="J5" s="17">
        <f>('E Balans VL '!D25+'E Balans VL '!E25)/3.6*1000000*landbouw!B17/100</f>
        <v>41.843108657178625</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288.81512099999998</v>
      </c>
      <c r="C8" s="21">
        <f>C5+C6</f>
        <v>0</v>
      </c>
      <c r="D8" s="21">
        <f>MAX((D5+D6),0)</f>
        <v>45.941566000000002</v>
      </c>
      <c r="E8" s="21">
        <f>MAX((E5+E6),0)</f>
        <v>8.4891585493878239</v>
      </c>
      <c r="F8" s="21">
        <f>MAX((F5+F6),0)</f>
        <v>1203.188187336023</v>
      </c>
      <c r="G8" s="21"/>
      <c r="H8" s="21"/>
      <c r="I8" s="21"/>
      <c r="J8" s="21">
        <f>MAX((J5+J6),0)</f>
        <v>41.843108657178625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0.192098331529581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55.480902864614045</v>
      </c>
      <c r="C12" s="23">
        <f ca="1">C8*C10</f>
        <v>0</v>
      </c>
      <c r="D12" s="23">
        <f>D8*D10</f>
        <v>9.2801963320000009</v>
      </c>
      <c r="E12" s="23">
        <f>E8*E10</f>
        <v>1.9270389907110361</v>
      </c>
      <c r="F12" s="23">
        <f>F8*F10</f>
        <v>321.25124601871818</v>
      </c>
      <c r="G12" s="23"/>
      <c r="H12" s="23"/>
      <c r="I12" s="23"/>
      <c r="J12" s="23">
        <f>J8*J10</f>
        <v>14.812460464641232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4.0983771799707996E-2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37.434072100305983</v>
      </c>
      <c r="C26" s="247">
        <f>B26*'GWP N2O_CH4'!B5</f>
        <v>786.11551410642562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9.7020213934550359</v>
      </c>
      <c r="C27" s="247">
        <f>B27*'GWP N2O_CH4'!B5</f>
        <v>203.74244926255577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0.46514823219364626</v>
      </c>
      <c r="C28" s="247">
        <f>B28*'GWP N2O_CH4'!B4</f>
        <v>144.19595198003034</v>
      </c>
      <c r="D28" s="50"/>
    </row>
    <row r="29" spans="1:4">
      <c r="A29" s="41" t="s">
        <v>277</v>
      </c>
      <c r="B29" s="247">
        <f>B34*'ha_N2O bodem landbouw'!B4</f>
        <v>2.996449009320616</v>
      </c>
      <c r="C29" s="247">
        <f>B29*'GWP N2O_CH4'!B4</f>
        <v>928.89919288939097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6.83779337704295E-4</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1.4670160201320166E-4</v>
      </c>
      <c r="C5" s="463" t="s">
        <v>211</v>
      </c>
      <c r="D5" s="448">
        <f>SUM(D6:D11)</f>
        <v>4.7957272580963477E-4</v>
      </c>
      <c r="E5" s="448">
        <f>SUM(E6:E11)</f>
        <v>7.1691350102162633E-4</v>
      </c>
      <c r="F5" s="461" t="s">
        <v>211</v>
      </c>
      <c r="G5" s="448">
        <f>SUM(G6:G11)</f>
        <v>0.32019980099187484</v>
      </c>
      <c r="H5" s="448">
        <f>SUM(H6:H11)</f>
        <v>5.5341491590691114E-2</v>
      </c>
      <c r="I5" s="463" t="s">
        <v>211</v>
      </c>
      <c r="J5" s="463" t="s">
        <v>211</v>
      </c>
      <c r="K5" s="463" t="s">
        <v>211</v>
      </c>
      <c r="L5" s="463" t="s">
        <v>211</v>
      </c>
      <c r="M5" s="448">
        <f>SUM(M6:M11)</f>
        <v>2.0340544191229284E-2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6.8220090619544143E-5</v>
      </c>
      <c r="C6" s="449"/>
      <c r="D6" s="892">
        <f>vkm_2011_GW_PW*SUMIFS(TableVerdeelsleutelVkm[CNG],TableVerdeelsleutelVkm[Voertuigtype],"Lichte voertuigen")*SUMIFS(TableECFTransport[EnergieConsumptieFactor (PJ per km)],TableECFTransport[Index],CONCATENATE($A6,"_CNG_CNG"))</f>
        <v>2.0462111708817343E-4</v>
      </c>
      <c r="E6" s="892">
        <f>vkm_2011_GW_PW*SUMIFS(TableVerdeelsleutelVkm[LPG],TableVerdeelsleutelVkm[Voertuigtype],"Lichte voertuigen")*SUMIFS(TableECFTransport[EnergieConsumptieFactor (PJ per km)],TableECFTransport[Index],CONCATENATE($A6,"_LPG_LPG"))</f>
        <v>2.7954183831739208E-4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7.2276704991838969E-2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2.3273297588569272E-2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4.9092890195260586E-3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6.7381179148246789E-2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2.0536414211868219E-5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3.9375287782287627E-3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1.307850023134936E-5</v>
      </c>
      <c r="C8" s="449"/>
      <c r="D8" s="451">
        <f>vkm_2011_NGW_PW*SUMIFS(TableVerdeelsleutelVkm[CNG],TableVerdeelsleutelVkm[Voertuigtype],"Lichte voertuigen")*SUMIFS(TableECFTransport[EnergieConsumptieFactor (PJ per km)],TableECFTransport[Index],CONCATENATE($A8,"_CNG_CNG"))</f>
        <v>6.9747813342968491E-5</v>
      </c>
      <c r="E8" s="451">
        <f>vkm_2011_NGW_PW*SUMIFS(TableVerdeelsleutelVkm[LPG],TableVerdeelsleutelVkm[Voertuigtype],"Lichte voertuigen")*SUMIFS(TableECFTransport[EnergieConsumptieFactor (PJ per km)],TableECFTransport[Index],CONCATENATE($A8,"_LPG_LPG"))</f>
        <v>8.8245214866601026E-5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2.1262253814934264E-2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7.709149342890906E-3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1.4696468505306062E-3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9.1398713547061162E-4</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2.6224459348355346E-7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5.3409843297587871E-5</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6.5403011162308149E-5</v>
      </c>
      <c r="C10" s="449"/>
      <c r="D10" s="451">
        <f>vkm_2011_SW_PW*SUMIFS(TableVerdeelsleutelVkm[CNG],TableVerdeelsleutelVkm[Voertuigtype],"Lichte voertuigen")*SUMIFS(TableECFTransport[EnergieConsumptieFactor (PJ per km)],TableECFTransport[Index],CONCATENATE($A10,"_CNG_CNG"))</f>
        <v>2.052037953784928E-4</v>
      </c>
      <c r="E10" s="451">
        <f>vkm_2011_SW_PW*SUMIFS(TableVerdeelsleutelVkm[LPG],TableVerdeelsleutelVkm[Voertuigtype],"Lichte voertuigen")*SUMIFS(TableECFTransport[EnergieConsumptieFactor (PJ per km)],TableECFTransport[Index],CONCATENATE($A10,"_LPG_LPG"))</f>
        <v>3.491264478376333E-4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8.0474437241525004E-2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2.4312609771217811E-2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5.4189125726734275E-3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7.7891238659859169E-2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2.5636229207770273E-5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4.5517571269728455E-3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40.750445003667124</v>
      </c>
      <c r="C14" s="21"/>
      <c r="D14" s="21">
        <f t="shared" ref="D14:M14" si="0">((D5)*10^9/3600)+D12</f>
        <v>133.21464605823189</v>
      </c>
      <c r="E14" s="21">
        <f t="shared" si="0"/>
        <v>199.14263917267397</v>
      </c>
      <c r="F14" s="21"/>
      <c r="G14" s="21">
        <f t="shared" si="0"/>
        <v>88944.389164409673</v>
      </c>
      <c r="H14" s="21">
        <f t="shared" si="0"/>
        <v>15372.636552969754</v>
      </c>
      <c r="I14" s="21"/>
      <c r="J14" s="21"/>
      <c r="K14" s="21"/>
      <c r="L14" s="21"/>
      <c r="M14" s="21">
        <f t="shared" si="0"/>
        <v>5650.1511642303567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0.192098331529581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7.8280924942924051</v>
      </c>
      <c r="C18" s="23"/>
      <c r="D18" s="23">
        <f t="shared" ref="D18:M18" si="1">D14*D16</f>
        <v>26.909358503762842</v>
      </c>
      <c r="E18" s="23">
        <f t="shared" si="1"/>
        <v>45.205379092196992</v>
      </c>
      <c r="F18" s="23"/>
      <c r="G18" s="23">
        <f t="shared" si="1"/>
        <v>23748.151906897383</v>
      </c>
      <c r="H18" s="23">
        <f t="shared" si="1"/>
        <v>3827.7865016894689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2.0884275182814303E-3</v>
      </c>
      <c r="H50" s="321">
        <f t="shared" si="2"/>
        <v>0</v>
      </c>
      <c r="I50" s="321">
        <f t="shared" si="2"/>
        <v>0</v>
      </c>
      <c r="J50" s="321">
        <f t="shared" si="2"/>
        <v>0</v>
      </c>
      <c r="K50" s="321">
        <f t="shared" si="2"/>
        <v>0</v>
      </c>
      <c r="L50" s="321">
        <f t="shared" si="2"/>
        <v>0</v>
      </c>
      <c r="M50" s="321">
        <f t="shared" si="2"/>
        <v>1.1861346351558214E-4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2.0884275182814303E-3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1.1861346351558214E-4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580.11875507817501</v>
      </c>
      <c r="H54" s="21">
        <f t="shared" si="3"/>
        <v>0</v>
      </c>
      <c r="I54" s="21">
        <f t="shared" si="3"/>
        <v>0</v>
      </c>
      <c r="J54" s="21">
        <f t="shared" si="3"/>
        <v>0</v>
      </c>
      <c r="K54" s="21">
        <f t="shared" si="3"/>
        <v>0</v>
      </c>
      <c r="L54" s="21">
        <f t="shared" si="3"/>
        <v>0</v>
      </c>
      <c r="M54" s="21">
        <f t="shared" si="3"/>
        <v>32.948184309883928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0.192098331529581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154.89170760587274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13779.685517</v>
      </c>
      <c r="D10" s="1013">
        <f ca="1">tertiair!C16</f>
        <v>0</v>
      </c>
      <c r="E10" s="1013">
        <f ca="1">tertiair!D16</f>
        <v>25418.43333711</v>
      </c>
      <c r="F10" s="1013">
        <f>tertiair!E16</f>
        <v>209.65983120592711</v>
      </c>
      <c r="G10" s="1013">
        <f ca="1">tertiair!F16</f>
        <v>2322.0551901903318</v>
      </c>
      <c r="H10" s="1013">
        <f>tertiair!G16</f>
        <v>0</v>
      </c>
      <c r="I10" s="1013">
        <f>tertiair!H16</f>
        <v>0</v>
      </c>
      <c r="J10" s="1013">
        <f>tertiair!I16</f>
        <v>0</v>
      </c>
      <c r="K10" s="1013">
        <f>tertiair!J16</f>
        <v>4.3539051377760991E-2</v>
      </c>
      <c r="L10" s="1013">
        <f>tertiair!K16</f>
        <v>0</v>
      </c>
      <c r="M10" s="1013">
        <f ca="1">tertiair!L16</f>
        <v>0</v>
      </c>
      <c r="N10" s="1013">
        <f>tertiair!M16</f>
        <v>0</v>
      </c>
      <c r="O10" s="1013">
        <f ca="1">tertiair!N16</f>
        <v>1720.3908630708397</v>
      </c>
      <c r="P10" s="1013">
        <f>tertiair!O16</f>
        <v>3.1266666666666669</v>
      </c>
      <c r="Q10" s="1014">
        <f>tertiair!P16</f>
        <v>0</v>
      </c>
      <c r="R10" s="700">
        <f ca="1">SUM(C10:Q10)</f>
        <v>43453.394944295142</v>
      </c>
      <c r="S10" s="67"/>
    </row>
    <row r="11" spans="1:19" s="473" customFormat="1">
      <c r="A11" s="809" t="s">
        <v>225</v>
      </c>
      <c r="B11" s="814"/>
      <c r="C11" s="1013">
        <f>huishoudens!B8</f>
        <v>19893.672903466399</v>
      </c>
      <c r="D11" s="1013">
        <f>huishoudens!C8</f>
        <v>0</v>
      </c>
      <c r="E11" s="1013">
        <f>huishoudens!D8</f>
        <v>46363.845778800001</v>
      </c>
      <c r="F11" s="1013">
        <f>huishoudens!E8</f>
        <v>1267.7234563503309</v>
      </c>
      <c r="G11" s="1013">
        <f>huishoudens!F8</f>
        <v>24909.709406445279</v>
      </c>
      <c r="H11" s="1013">
        <f>huishoudens!G8</f>
        <v>0</v>
      </c>
      <c r="I11" s="1013">
        <f>huishoudens!H8</f>
        <v>0</v>
      </c>
      <c r="J11" s="1013">
        <f>huishoudens!I8</f>
        <v>0</v>
      </c>
      <c r="K11" s="1013">
        <f>huishoudens!J8</f>
        <v>63.468588541575613</v>
      </c>
      <c r="L11" s="1013">
        <f>huishoudens!K8</f>
        <v>0</v>
      </c>
      <c r="M11" s="1013">
        <f>huishoudens!L8</f>
        <v>0</v>
      </c>
      <c r="N11" s="1013">
        <f>huishoudens!M8</f>
        <v>0</v>
      </c>
      <c r="O11" s="1013">
        <f>huishoudens!N8</f>
        <v>3510.2703340436956</v>
      </c>
      <c r="P11" s="1013">
        <f>huishoudens!O8</f>
        <v>117.25</v>
      </c>
      <c r="Q11" s="1014">
        <f>huishoudens!P8</f>
        <v>19.066666666666666</v>
      </c>
      <c r="R11" s="700">
        <f>SUM(C11:Q11)</f>
        <v>96145.007134313957</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40339.493066999996</v>
      </c>
      <c r="D13" s="1013">
        <f>industrie!C18</f>
        <v>0</v>
      </c>
      <c r="E13" s="1013">
        <f>industrie!D18</f>
        <v>139470.36073960003</v>
      </c>
      <c r="F13" s="1013">
        <f>industrie!E18</f>
        <v>309.2495365671806</v>
      </c>
      <c r="G13" s="1013">
        <f>industrie!F18</f>
        <v>1060.1502603514816</v>
      </c>
      <c r="H13" s="1013">
        <f>industrie!G18</f>
        <v>0</v>
      </c>
      <c r="I13" s="1013">
        <f>industrie!H18</f>
        <v>0</v>
      </c>
      <c r="J13" s="1013">
        <f>industrie!I18</f>
        <v>0</v>
      </c>
      <c r="K13" s="1013">
        <f>industrie!J18</f>
        <v>0.16880365150478613</v>
      </c>
      <c r="L13" s="1013">
        <f>industrie!K18</f>
        <v>0</v>
      </c>
      <c r="M13" s="1013">
        <f>industrie!L18</f>
        <v>0</v>
      </c>
      <c r="N13" s="1013">
        <f>industrie!M18</f>
        <v>0</v>
      </c>
      <c r="O13" s="1013">
        <f>industrie!N18</f>
        <v>1401.6688106687623</v>
      </c>
      <c r="P13" s="1013">
        <f>industrie!O18</f>
        <v>0</v>
      </c>
      <c r="Q13" s="1014">
        <f>industrie!P18</f>
        <v>0</v>
      </c>
      <c r="R13" s="700">
        <f>SUM(C13:Q13)</f>
        <v>182581.09121783896</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74012.851487466396</v>
      </c>
      <c r="D16" s="732">
        <f t="shared" ref="D16:R16" ca="1" si="0">SUM(D9:D15)</f>
        <v>0</v>
      </c>
      <c r="E16" s="732">
        <f t="shared" ca="1" si="0"/>
        <v>211252.63985551003</v>
      </c>
      <c r="F16" s="732">
        <f t="shared" si="0"/>
        <v>1786.6328241234387</v>
      </c>
      <c r="G16" s="732">
        <f t="shared" ca="1" si="0"/>
        <v>28291.914856987092</v>
      </c>
      <c r="H16" s="732">
        <f t="shared" si="0"/>
        <v>0</v>
      </c>
      <c r="I16" s="732">
        <f t="shared" si="0"/>
        <v>0</v>
      </c>
      <c r="J16" s="732">
        <f t="shared" si="0"/>
        <v>0</v>
      </c>
      <c r="K16" s="732">
        <f t="shared" si="0"/>
        <v>63.680931244458165</v>
      </c>
      <c r="L16" s="732">
        <f t="shared" si="0"/>
        <v>0</v>
      </c>
      <c r="M16" s="732">
        <f t="shared" ca="1" si="0"/>
        <v>0</v>
      </c>
      <c r="N16" s="732">
        <f t="shared" si="0"/>
        <v>0</v>
      </c>
      <c r="O16" s="732">
        <f t="shared" ca="1" si="0"/>
        <v>6632.3300077832982</v>
      </c>
      <c r="P16" s="732">
        <f t="shared" si="0"/>
        <v>120.37666666666667</v>
      </c>
      <c r="Q16" s="732">
        <f t="shared" si="0"/>
        <v>19.066666666666666</v>
      </c>
      <c r="R16" s="732">
        <f t="shared" ca="1" si="0"/>
        <v>322179.49329644802</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580.11875507817501</v>
      </c>
      <c r="I19" s="1013">
        <f>transport!H54</f>
        <v>0</v>
      </c>
      <c r="J19" s="1013">
        <f>transport!I54</f>
        <v>0</v>
      </c>
      <c r="K19" s="1013">
        <f>transport!J54</f>
        <v>0</v>
      </c>
      <c r="L19" s="1013">
        <f>transport!K54</f>
        <v>0</v>
      </c>
      <c r="M19" s="1013">
        <f>transport!L54</f>
        <v>0</v>
      </c>
      <c r="N19" s="1013">
        <f>transport!M54</f>
        <v>32.948184309883928</v>
      </c>
      <c r="O19" s="1013">
        <f>transport!N54</f>
        <v>0</v>
      </c>
      <c r="P19" s="1013">
        <f>transport!O54</f>
        <v>0</v>
      </c>
      <c r="Q19" s="1014">
        <f>transport!P54</f>
        <v>0</v>
      </c>
      <c r="R19" s="700">
        <f>SUM(C19:Q19)</f>
        <v>613.06693938805893</v>
      </c>
      <c r="S19" s="67"/>
    </row>
    <row r="20" spans="1:19" s="473" customFormat="1">
      <c r="A20" s="809" t="s">
        <v>307</v>
      </c>
      <c r="B20" s="814"/>
      <c r="C20" s="1013">
        <f>transport!B14</f>
        <v>40.750445003667124</v>
      </c>
      <c r="D20" s="1013">
        <f>transport!C14</f>
        <v>0</v>
      </c>
      <c r="E20" s="1013">
        <f>transport!D14</f>
        <v>133.21464605823189</v>
      </c>
      <c r="F20" s="1013">
        <f>transport!E14</f>
        <v>199.14263917267397</v>
      </c>
      <c r="G20" s="1013">
        <f>transport!F14</f>
        <v>0</v>
      </c>
      <c r="H20" s="1013">
        <f>transport!G14</f>
        <v>88944.389164409673</v>
      </c>
      <c r="I20" s="1013">
        <f>transport!H14</f>
        <v>15372.636552969754</v>
      </c>
      <c r="J20" s="1013">
        <f>transport!I14</f>
        <v>0</v>
      </c>
      <c r="K20" s="1013">
        <f>transport!J14</f>
        <v>0</v>
      </c>
      <c r="L20" s="1013">
        <f>transport!K14</f>
        <v>0</v>
      </c>
      <c r="M20" s="1013">
        <f>transport!L14</f>
        <v>0</v>
      </c>
      <c r="N20" s="1013">
        <f>transport!M14</f>
        <v>5650.1511642303567</v>
      </c>
      <c r="O20" s="1013">
        <f>transport!N14</f>
        <v>0</v>
      </c>
      <c r="P20" s="1013">
        <f>transport!O14</f>
        <v>0</v>
      </c>
      <c r="Q20" s="1014">
        <f>transport!P14</f>
        <v>0</v>
      </c>
      <c r="R20" s="700">
        <f>SUM(C20:Q20)</f>
        <v>110340.28461184436</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40.750445003667124</v>
      </c>
      <c r="D22" s="812">
        <f t="shared" ref="D22:R22" si="1">SUM(D18:D21)</f>
        <v>0</v>
      </c>
      <c r="E22" s="812">
        <f t="shared" si="1"/>
        <v>133.21464605823189</v>
      </c>
      <c r="F22" s="812">
        <f t="shared" si="1"/>
        <v>199.14263917267397</v>
      </c>
      <c r="G22" s="812">
        <f t="shared" si="1"/>
        <v>0</v>
      </c>
      <c r="H22" s="812">
        <f t="shared" si="1"/>
        <v>89524.507919487849</v>
      </c>
      <c r="I22" s="812">
        <f t="shared" si="1"/>
        <v>15372.636552969754</v>
      </c>
      <c r="J22" s="812">
        <f t="shared" si="1"/>
        <v>0</v>
      </c>
      <c r="K22" s="812">
        <f t="shared" si="1"/>
        <v>0</v>
      </c>
      <c r="L22" s="812">
        <f t="shared" si="1"/>
        <v>0</v>
      </c>
      <c r="M22" s="812">
        <f t="shared" si="1"/>
        <v>0</v>
      </c>
      <c r="N22" s="812">
        <f t="shared" si="1"/>
        <v>5683.0993485402405</v>
      </c>
      <c r="O22" s="812">
        <f t="shared" si="1"/>
        <v>0</v>
      </c>
      <c r="P22" s="812">
        <f t="shared" si="1"/>
        <v>0</v>
      </c>
      <c r="Q22" s="812">
        <f t="shared" si="1"/>
        <v>0</v>
      </c>
      <c r="R22" s="812">
        <f t="shared" si="1"/>
        <v>110953.35155123241</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288.81512099999998</v>
      </c>
      <c r="D24" s="1013">
        <f>+landbouw!C8</f>
        <v>0</v>
      </c>
      <c r="E24" s="1013">
        <f>+landbouw!D8</f>
        <v>45.941566000000002</v>
      </c>
      <c r="F24" s="1013">
        <f>+landbouw!E8</f>
        <v>8.4891585493878239</v>
      </c>
      <c r="G24" s="1013">
        <f>+landbouw!F8</f>
        <v>1203.188187336023</v>
      </c>
      <c r="H24" s="1013">
        <f>+landbouw!G8</f>
        <v>0</v>
      </c>
      <c r="I24" s="1013">
        <f>+landbouw!H8</f>
        <v>0</v>
      </c>
      <c r="J24" s="1013">
        <f>+landbouw!I8</f>
        <v>0</v>
      </c>
      <c r="K24" s="1013">
        <f>+landbouw!J8</f>
        <v>41.843108657178625</v>
      </c>
      <c r="L24" s="1013">
        <f>+landbouw!K8</f>
        <v>0</v>
      </c>
      <c r="M24" s="1013">
        <f>+landbouw!L8</f>
        <v>0</v>
      </c>
      <c r="N24" s="1013">
        <f>+landbouw!M8</f>
        <v>0</v>
      </c>
      <c r="O24" s="1013">
        <f>+landbouw!N8</f>
        <v>0</v>
      </c>
      <c r="P24" s="1013">
        <f>+landbouw!O8</f>
        <v>0</v>
      </c>
      <c r="Q24" s="1014">
        <f>+landbouw!P8</f>
        <v>0</v>
      </c>
      <c r="R24" s="700">
        <f>SUM(C24:Q24)</f>
        <v>1588.2771415425896</v>
      </c>
      <c r="S24" s="67"/>
    </row>
    <row r="25" spans="1:19" s="473" customFormat="1" ht="15" thickBot="1">
      <c r="A25" s="831" t="s">
        <v>836</v>
      </c>
      <c r="B25" s="1016"/>
      <c r="C25" s="1017">
        <f>IF(Onbekend_ele_kWh="---",0,Onbekend_ele_kWh)/1000+IF(REST_rest_ele_kWh="---",0,REST_rest_ele_kWh)/1000</f>
        <v>885.90569999999991</v>
      </c>
      <c r="D25" s="1017"/>
      <c r="E25" s="1017">
        <f>IF(onbekend_gas_kWh="---",0,onbekend_gas_kWh)/1000+IF(REST_rest_gas_kWh="---",0,REST_rest_gas_kWh)/1000</f>
        <v>2911.687097</v>
      </c>
      <c r="F25" s="1017"/>
      <c r="G25" s="1017"/>
      <c r="H25" s="1017"/>
      <c r="I25" s="1017"/>
      <c r="J25" s="1017"/>
      <c r="K25" s="1017"/>
      <c r="L25" s="1017"/>
      <c r="M25" s="1017"/>
      <c r="N25" s="1017"/>
      <c r="O25" s="1017"/>
      <c r="P25" s="1017"/>
      <c r="Q25" s="1018"/>
      <c r="R25" s="700">
        <f>SUM(C25:Q25)</f>
        <v>3797.5927969999998</v>
      </c>
      <c r="S25" s="67"/>
    </row>
    <row r="26" spans="1:19" s="473" customFormat="1" ht="15.75" thickBot="1">
      <c r="A26" s="705" t="s">
        <v>837</v>
      </c>
      <c r="B26" s="817"/>
      <c r="C26" s="812">
        <f>SUM(C24:C25)</f>
        <v>1174.7208209999999</v>
      </c>
      <c r="D26" s="812">
        <f t="shared" ref="D26:R26" si="2">SUM(D24:D25)</f>
        <v>0</v>
      </c>
      <c r="E26" s="812">
        <f t="shared" si="2"/>
        <v>2957.628663</v>
      </c>
      <c r="F26" s="812">
        <f t="shared" si="2"/>
        <v>8.4891585493878239</v>
      </c>
      <c r="G26" s="812">
        <f t="shared" si="2"/>
        <v>1203.188187336023</v>
      </c>
      <c r="H26" s="812">
        <f t="shared" si="2"/>
        <v>0</v>
      </c>
      <c r="I26" s="812">
        <f t="shared" si="2"/>
        <v>0</v>
      </c>
      <c r="J26" s="812">
        <f t="shared" si="2"/>
        <v>0</v>
      </c>
      <c r="K26" s="812">
        <f t="shared" si="2"/>
        <v>41.843108657178625</v>
      </c>
      <c r="L26" s="812">
        <f t="shared" si="2"/>
        <v>0</v>
      </c>
      <c r="M26" s="812">
        <f t="shared" si="2"/>
        <v>0</v>
      </c>
      <c r="N26" s="812">
        <f t="shared" si="2"/>
        <v>0</v>
      </c>
      <c r="O26" s="812">
        <f t="shared" si="2"/>
        <v>0</v>
      </c>
      <c r="P26" s="812">
        <f t="shared" si="2"/>
        <v>0</v>
      </c>
      <c r="Q26" s="812">
        <f t="shared" si="2"/>
        <v>0</v>
      </c>
      <c r="R26" s="812">
        <f t="shared" si="2"/>
        <v>5385.8699385425898</v>
      </c>
      <c r="S26" s="67"/>
    </row>
    <row r="27" spans="1:19" s="473" customFormat="1" ht="17.25" thickTop="1" thickBot="1">
      <c r="A27" s="706" t="s">
        <v>116</v>
      </c>
      <c r="B27" s="805"/>
      <c r="C27" s="707">
        <f ca="1">C22+C16+C26</f>
        <v>75228.322753470056</v>
      </c>
      <c r="D27" s="707">
        <f t="shared" ref="D27:R27" ca="1" si="3">D22+D16+D26</f>
        <v>0</v>
      </c>
      <c r="E27" s="707">
        <f t="shared" ca="1" si="3"/>
        <v>214343.48316456829</v>
      </c>
      <c r="F27" s="707">
        <f t="shared" si="3"/>
        <v>1994.2646218455006</v>
      </c>
      <c r="G27" s="707">
        <f t="shared" ca="1" si="3"/>
        <v>29495.103044323114</v>
      </c>
      <c r="H27" s="707">
        <f t="shared" si="3"/>
        <v>89524.507919487849</v>
      </c>
      <c r="I27" s="707">
        <f t="shared" si="3"/>
        <v>15372.636552969754</v>
      </c>
      <c r="J27" s="707">
        <f t="shared" si="3"/>
        <v>0</v>
      </c>
      <c r="K27" s="707">
        <f t="shared" si="3"/>
        <v>105.5240399016368</v>
      </c>
      <c r="L27" s="707">
        <f t="shared" si="3"/>
        <v>0</v>
      </c>
      <c r="M27" s="707">
        <f t="shared" ca="1" si="3"/>
        <v>0</v>
      </c>
      <c r="N27" s="707">
        <f t="shared" si="3"/>
        <v>5683.0993485402405</v>
      </c>
      <c r="O27" s="707">
        <f t="shared" ca="1" si="3"/>
        <v>6632.3300077832982</v>
      </c>
      <c r="P27" s="707">
        <f t="shared" si="3"/>
        <v>120.37666666666667</v>
      </c>
      <c r="Q27" s="707">
        <f t="shared" si="3"/>
        <v>19.066666666666666</v>
      </c>
      <c r="R27" s="707">
        <f t="shared" ca="1" si="3"/>
        <v>438518.71478622302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2647.0545968180318</v>
      </c>
      <c r="D40" s="1013">
        <f ca="1">tertiair!C20</f>
        <v>0</v>
      </c>
      <c r="E40" s="1013">
        <f ca="1">tertiair!D20</f>
        <v>5134.5235340962199</v>
      </c>
      <c r="F40" s="1013">
        <f>tertiair!E20</f>
        <v>47.592781683745457</v>
      </c>
      <c r="G40" s="1013">
        <f ca="1">tertiair!F20</f>
        <v>619.98873578081862</v>
      </c>
      <c r="H40" s="1013">
        <f>tertiair!G20</f>
        <v>0</v>
      </c>
      <c r="I40" s="1013">
        <f>tertiair!H20</f>
        <v>0</v>
      </c>
      <c r="J40" s="1013">
        <f>tertiair!I20</f>
        <v>0</v>
      </c>
      <c r="K40" s="1013">
        <f>tertiair!J20</f>
        <v>1.541282418772739E-2</v>
      </c>
      <c r="L40" s="1013">
        <f>tertiair!K20</f>
        <v>0</v>
      </c>
      <c r="M40" s="1013">
        <f ca="1">tertiair!L20</f>
        <v>0</v>
      </c>
      <c r="N40" s="1013">
        <f>tertiair!M20</f>
        <v>0</v>
      </c>
      <c r="O40" s="1013">
        <f ca="1">tertiair!N20</f>
        <v>0</v>
      </c>
      <c r="P40" s="1013">
        <f>tertiair!O20</f>
        <v>0</v>
      </c>
      <c r="Q40" s="774">
        <f>tertiair!P20</f>
        <v>0</v>
      </c>
      <c r="R40" s="850">
        <f t="shared" ca="1" si="4"/>
        <v>8449.1750612030046</v>
      </c>
    </row>
    <row r="41" spans="1:18">
      <c r="A41" s="822" t="s">
        <v>225</v>
      </c>
      <c r="B41" s="829"/>
      <c r="C41" s="1013">
        <f ca="1">huishoudens!B12</f>
        <v>3821.5413727511304</v>
      </c>
      <c r="D41" s="1013">
        <f ca="1">huishoudens!C12</f>
        <v>0</v>
      </c>
      <c r="E41" s="1013">
        <f>huishoudens!D12</f>
        <v>9365.4968473176014</v>
      </c>
      <c r="F41" s="1013">
        <f>huishoudens!E12</f>
        <v>287.77322459152515</v>
      </c>
      <c r="G41" s="1013">
        <f>huishoudens!F12</f>
        <v>6650.8924115208902</v>
      </c>
      <c r="H41" s="1013">
        <f>huishoudens!G12</f>
        <v>0</v>
      </c>
      <c r="I41" s="1013">
        <f>huishoudens!H12</f>
        <v>0</v>
      </c>
      <c r="J41" s="1013">
        <f>huishoudens!I12</f>
        <v>0</v>
      </c>
      <c r="K41" s="1013">
        <f>huishoudens!J12</f>
        <v>22.467880343717766</v>
      </c>
      <c r="L41" s="1013">
        <f>huishoudens!K12</f>
        <v>0</v>
      </c>
      <c r="M41" s="1013">
        <f>huishoudens!L12</f>
        <v>0</v>
      </c>
      <c r="N41" s="1013">
        <f>huishoudens!M12</f>
        <v>0</v>
      </c>
      <c r="O41" s="1013">
        <f>huishoudens!N12</f>
        <v>0</v>
      </c>
      <c r="P41" s="1013">
        <f>huishoudens!O12</f>
        <v>0</v>
      </c>
      <c r="Q41" s="774">
        <f>huishoudens!P12</f>
        <v>0</v>
      </c>
      <c r="R41" s="850">
        <f t="shared" ca="1" si="4"/>
        <v>20148.171736524862</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7749.1493129197997</v>
      </c>
      <c r="D43" s="1013">
        <f ca="1">industrie!C22</f>
        <v>0</v>
      </c>
      <c r="E43" s="1013">
        <f>industrie!D22</f>
        <v>28173.012869399208</v>
      </c>
      <c r="F43" s="1013">
        <f>industrie!E22</f>
        <v>70.199644800749994</v>
      </c>
      <c r="G43" s="1013">
        <f>industrie!F22</f>
        <v>283.06011951384562</v>
      </c>
      <c r="H43" s="1013">
        <f>industrie!G22</f>
        <v>0</v>
      </c>
      <c r="I43" s="1013">
        <f>industrie!H22</f>
        <v>0</v>
      </c>
      <c r="J43" s="1013">
        <f>industrie!I22</f>
        <v>0</v>
      </c>
      <c r="K43" s="1013">
        <f>industrie!J22</f>
        <v>5.9756492632694287E-2</v>
      </c>
      <c r="L43" s="1013">
        <f>industrie!K22</f>
        <v>0</v>
      </c>
      <c r="M43" s="1013">
        <f>industrie!L22</f>
        <v>0</v>
      </c>
      <c r="N43" s="1013">
        <f>industrie!M22</f>
        <v>0</v>
      </c>
      <c r="O43" s="1013">
        <f>industrie!N22</f>
        <v>0</v>
      </c>
      <c r="P43" s="1013">
        <f>industrie!O22</f>
        <v>0</v>
      </c>
      <c r="Q43" s="774">
        <f>industrie!P22</f>
        <v>0</v>
      </c>
      <c r="R43" s="849">
        <f t="shared" ca="1" si="4"/>
        <v>36275.481703126236</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14217.745282488962</v>
      </c>
      <c r="D46" s="732">
        <f t="shared" ref="D46:Q46" ca="1" si="5">SUM(D39:D45)</f>
        <v>0</v>
      </c>
      <c r="E46" s="732">
        <f t="shared" ca="1" si="5"/>
        <v>42673.03325081303</v>
      </c>
      <c r="F46" s="732">
        <f t="shared" si="5"/>
        <v>405.56565107602057</v>
      </c>
      <c r="G46" s="732">
        <f t="shared" ca="1" si="5"/>
        <v>7553.9412668155546</v>
      </c>
      <c r="H46" s="732">
        <f t="shared" si="5"/>
        <v>0</v>
      </c>
      <c r="I46" s="732">
        <f t="shared" si="5"/>
        <v>0</v>
      </c>
      <c r="J46" s="732">
        <f t="shared" si="5"/>
        <v>0</v>
      </c>
      <c r="K46" s="732">
        <f t="shared" si="5"/>
        <v>22.543049660538188</v>
      </c>
      <c r="L46" s="732">
        <f t="shared" si="5"/>
        <v>0</v>
      </c>
      <c r="M46" s="732">
        <f t="shared" ca="1" si="5"/>
        <v>0</v>
      </c>
      <c r="N46" s="732">
        <f t="shared" si="5"/>
        <v>0</v>
      </c>
      <c r="O46" s="732">
        <f t="shared" ca="1" si="5"/>
        <v>0</v>
      </c>
      <c r="P46" s="732">
        <f t="shared" si="5"/>
        <v>0</v>
      </c>
      <c r="Q46" s="732">
        <f t="shared" si="5"/>
        <v>0</v>
      </c>
      <c r="R46" s="732">
        <f ca="1">SUM(R39:R45)</f>
        <v>64872.828500854099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154.89170760587274</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154.89170760587274</v>
      </c>
    </row>
    <row r="50" spans="1:18">
      <c r="A50" s="825" t="s">
        <v>307</v>
      </c>
      <c r="B50" s="835"/>
      <c r="C50" s="703">
        <f ca="1">transport!B18</f>
        <v>7.8280924942924051</v>
      </c>
      <c r="D50" s="703">
        <f>transport!C18</f>
        <v>0</v>
      </c>
      <c r="E50" s="703">
        <f>transport!D18</f>
        <v>26.909358503762842</v>
      </c>
      <c r="F50" s="703">
        <f>transport!E18</f>
        <v>45.205379092196992</v>
      </c>
      <c r="G50" s="703">
        <f>transport!F18</f>
        <v>0</v>
      </c>
      <c r="H50" s="703">
        <f>transport!G18</f>
        <v>23748.151906897383</v>
      </c>
      <c r="I50" s="703">
        <f>transport!H18</f>
        <v>3827.7865016894689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27655.881238677102</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7.8280924942924051</v>
      </c>
      <c r="D52" s="732">
        <f t="shared" ref="D52:Q52" ca="1" si="6">SUM(D48:D51)</f>
        <v>0</v>
      </c>
      <c r="E52" s="732">
        <f t="shared" si="6"/>
        <v>26.909358503762842</v>
      </c>
      <c r="F52" s="732">
        <f t="shared" si="6"/>
        <v>45.205379092196992</v>
      </c>
      <c r="G52" s="732">
        <f t="shared" si="6"/>
        <v>0</v>
      </c>
      <c r="H52" s="732">
        <f t="shared" si="6"/>
        <v>23903.043614503255</v>
      </c>
      <c r="I52" s="732">
        <f t="shared" si="6"/>
        <v>3827.7865016894689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27810.772946282974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55.480902864614045</v>
      </c>
      <c r="D54" s="703">
        <f ca="1">+landbouw!C12</f>
        <v>0</v>
      </c>
      <c r="E54" s="703">
        <f>+landbouw!D12</f>
        <v>9.2801963320000009</v>
      </c>
      <c r="F54" s="703">
        <f>+landbouw!E12</f>
        <v>1.9270389907110361</v>
      </c>
      <c r="G54" s="703">
        <f>+landbouw!F12</f>
        <v>321.25124601871818</v>
      </c>
      <c r="H54" s="703">
        <f>+landbouw!G12</f>
        <v>0</v>
      </c>
      <c r="I54" s="703">
        <f>+landbouw!H12</f>
        <v>0</v>
      </c>
      <c r="J54" s="703">
        <f>+landbouw!I12</f>
        <v>0</v>
      </c>
      <c r="K54" s="703">
        <f>+landbouw!J12</f>
        <v>14.812460464641232</v>
      </c>
      <c r="L54" s="703">
        <f>+landbouw!K12</f>
        <v>0</v>
      </c>
      <c r="M54" s="703">
        <f>+landbouw!L12</f>
        <v>0</v>
      </c>
      <c r="N54" s="703">
        <f>+landbouw!M12</f>
        <v>0</v>
      </c>
      <c r="O54" s="703">
        <f>+landbouw!N12</f>
        <v>0</v>
      </c>
      <c r="P54" s="703">
        <f>+landbouw!O12</f>
        <v>0</v>
      </c>
      <c r="Q54" s="704">
        <f>+landbouw!P12</f>
        <v>0</v>
      </c>
      <c r="R54" s="731">
        <f ca="1">SUM(C54:Q54)</f>
        <v>402.75184467068448</v>
      </c>
    </row>
    <row r="55" spans="1:18" ht="15" thickBot="1">
      <c r="A55" s="825" t="s">
        <v>836</v>
      </c>
      <c r="B55" s="835"/>
      <c r="C55" s="703">
        <f ca="1">C25*'EF ele_warmte'!B12</f>
        <v>170.1810068625455</v>
      </c>
      <c r="D55" s="703"/>
      <c r="E55" s="703">
        <f>E25*EF_CO2_aardgas</f>
        <v>588.16079359399998</v>
      </c>
      <c r="F55" s="703"/>
      <c r="G55" s="703"/>
      <c r="H55" s="703"/>
      <c r="I55" s="703"/>
      <c r="J55" s="703"/>
      <c r="K55" s="703"/>
      <c r="L55" s="703"/>
      <c r="M55" s="703"/>
      <c r="N55" s="703"/>
      <c r="O55" s="703"/>
      <c r="P55" s="703"/>
      <c r="Q55" s="704"/>
      <c r="R55" s="731">
        <f ca="1">SUM(C55:Q55)</f>
        <v>758.34180045654546</v>
      </c>
    </row>
    <row r="56" spans="1:18" ht="15.75" thickBot="1">
      <c r="A56" s="823" t="s">
        <v>837</v>
      </c>
      <c r="B56" s="836"/>
      <c r="C56" s="732">
        <f ca="1">SUM(C54:C55)</f>
        <v>225.66190972715955</v>
      </c>
      <c r="D56" s="732">
        <f t="shared" ref="D56:Q56" ca="1" si="7">SUM(D54:D55)</f>
        <v>0</v>
      </c>
      <c r="E56" s="732">
        <f t="shared" si="7"/>
        <v>597.44098992599993</v>
      </c>
      <c r="F56" s="732">
        <f t="shared" si="7"/>
        <v>1.9270389907110361</v>
      </c>
      <c r="G56" s="732">
        <f t="shared" si="7"/>
        <v>321.25124601871818</v>
      </c>
      <c r="H56" s="732">
        <f t="shared" si="7"/>
        <v>0</v>
      </c>
      <c r="I56" s="732">
        <f t="shared" si="7"/>
        <v>0</v>
      </c>
      <c r="J56" s="732">
        <f t="shared" si="7"/>
        <v>0</v>
      </c>
      <c r="K56" s="732">
        <f t="shared" si="7"/>
        <v>14.812460464641232</v>
      </c>
      <c r="L56" s="732">
        <f t="shared" si="7"/>
        <v>0</v>
      </c>
      <c r="M56" s="732">
        <f t="shared" si="7"/>
        <v>0</v>
      </c>
      <c r="N56" s="732">
        <f t="shared" si="7"/>
        <v>0</v>
      </c>
      <c r="O56" s="732">
        <f t="shared" si="7"/>
        <v>0</v>
      </c>
      <c r="P56" s="732">
        <f t="shared" si="7"/>
        <v>0</v>
      </c>
      <c r="Q56" s="733">
        <f t="shared" si="7"/>
        <v>0</v>
      </c>
      <c r="R56" s="734">
        <f ca="1">SUM(R54:R55)</f>
        <v>1161.09364512723</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14451.235284710414</v>
      </c>
      <c r="D61" s="740">
        <f t="shared" ref="D61:Q61" ca="1" si="8">D46+D52+D56</f>
        <v>0</v>
      </c>
      <c r="E61" s="740">
        <f t="shared" ca="1" si="8"/>
        <v>43297.383599242792</v>
      </c>
      <c r="F61" s="740">
        <f t="shared" si="8"/>
        <v>452.6980691589286</v>
      </c>
      <c r="G61" s="740">
        <f t="shared" ca="1" si="8"/>
        <v>7875.1925128342727</v>
      </c>
      <c r="H61" s="740">
        <f t="shared" si="8"/>
        <v>23903.043614503255</v>
      </c>
      <c r="I61" s="740">
        <f t="shared" si="8"/>
        <v>3827.7865016894689</v>
      </c>
      <c r="J61" s="740">
        <f t="shared" si="8"/>
        <v>0</v>
      </c>
      <c r="K61" s="740">
        <f t="shared" si="8"/>
        <v>37.355510125179421</v>
      </c>
      <c r="L61" s="740">
        <f t="shared" si="8"/>
        <v>0</v>
      </c>
      <c r="M61" s="740">
        <f t="shared" ca="1" si="8"/>
        <v>0</v>
      </c>
      <c r="N61" s="740">
        <f t="shared" si="8"/>
        <v>0</v>
      </c>
      <c r="O61" s="740">
        <f t="shared" ca="1" si="8"/>
        <v>0</v>
      </c>
      <c r="P61" s="740">
        <f t="shared" si="8"/>
        <v>0</v>
      </c>
      <c r="Q61" s="740">
        <f t="shared" si="8"/>
        <v>0</v>
      </c>
      <c r="R61" s="740">
        <f ca="1">R46+R52+R56</f>
        <v>93844.695092264301</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0.19209833152958103</v>
      </c>
      <c r="D63" s="781">
        <f t="shared" ca="1" si="9"/>
        <v>0</v>
      </c>
      <c r="E63" s="1024">
        <f t="shared" ca="1" si="9"/>
        <v>0.20199999999999999</v>
      </c>
      <c r="F63" s="781">
        <f t="shared" si="9"/>
        <v>0.22699999999999998</v>
      </c>
      <c r="G63" s="781">
        <f t="shared" ca="1" si="9"/>
        <v>0.26700000000000007</v>
      </c>
      <c r="H63" s="781">
        <f t="shared" si="9"/>
        <v>0.26699999999999996</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9838.117845278146</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9838.117845278146</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9838.117845278146</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9838.117845278146</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19893.672903466399</v>
      </c>
      <c r="C4" s="477">
        <f>huishoudens!C8</f>
        <v>0</v>
      </c>
      <c r="D4" s="477">
        <f>huishoudens!D8</f>
        <v>46363.845778800001</v>
      </c>
      <c r="E4" s="477">
        <f>huishoudens!E8</f>
        <v>1267.7234563503309</v>
      </c>
      <c r="F4" s="477">
        <f>huishoudens!F8</f>
        <v>24909.709406445279</v>
      </c>
      <c r="G4" s="477">
        <f>huishoudens!G8</f>
        <v>0</v>
      </c>
      <c r="H4" s="477">
        <f>huishoudens!H8</f>
        <v>0</v>
      </c>
      <c r="I4" s="477">
        <f>huishoudens!I8</f>
        <v>0</v>
      </c>
      <c r="J4" s="477">
        <f>huishoudens!J8</f>
        <v>63.468588541575613</v>
      </c>
      <c r="K4" s="477">
        <f>huishoudens!K8</f>
        <v>0</v>
      </c>
      <c r="L4" s="477">
        <f>huishoudens!L8</f>
        <v>0</v>
      </c>
      <c r="M4" s="477">
        <f>huishoudens!M8</f>
        <v>0</v>
      </c>
      <c r="N4" s="477">
        <f>huishoudens!N8</f>
        <v>3510.2703340436956</v>
      </c>
      <c r="O4" s="477">
        <f>huishoudens!O8</f>
        <v>117.25</v>
      </c>
      <c r="P4" s="478">
        <f>huishoudens!P8</f>
        <v>19.066666666666666</v>
      </c>
      <c r="Q4" s="479">
        <f>SUM(B4:P4)</f>
        <v>96145.007134313957</v>
      </c>
    </row>
    <row r="5" spans="1:17">
      <c r="A5" s="476" t="s">
        <v>156</v>
      </c>
      <c r="B5" s="477">
        <f ca="1">tertiair!B16</f>
        <v>13239.032517</v>
      </c>
      <c r="C5" s="477">
        <f ca="1">tertiair!C16</f>
        <v>0</v>
      </c>
      <c r="D5" s="477">
        <f ca="1">tertiair!D16</f>
        <v>25418.43333711</v>
      </c>
      <c r="E5" s="477">
        <f>tertiair!E16</f>
        <v>209.65983120592711</v>
      </c>
      <c r="F5" s="477">
        <f ca="1">tertiair!F16</f>
        <v>2322.0551901903318</v>
      </c>
      <c r="G5" s="477">
        <f>tertiair!G16</f>
        <v>0</v>
      </c>
      <c r="H5" s="477">
        <f>tertiair!H16</f>
        <v>0</v>
      </c>
      <c r="I5" s="477">
        <f>tertiair!I16</f>
        <v>0</v>
      </c>
      <c r="J5" s="477">
        <f>tertiair!J16</f>
        <v>4.3539051377760991E-2</v>
      </c>
      <c r="K5" s="477">
        <f>tertiair!K16</f>
        <v>0</v>
      </c>
      <c r="L5" s="477">
        <f ca="1">tertiair!L16</f>
        <v>0</v>
      </c>
      <c r="M5" s="477">
        <f>tertiair!M16</f>
        <v>0</v>
      </c>
      <c r="N5" s="477">
        <f ca="1">tertiair!N16</f>
        <v>1720.3908630708397</v>
      </c>
      <c r="O5" s="477">
        <f>tertiair!O16</f>
        <v>3.1266666666666669</v>
      </c>
      <c r="P5" s="478">
        <f>tertiair!P16</f>
        <v>0</v>
      </c>
      <c r="Q5" s="476">
        <f t="shared" ref="Q5:Q14" ca="1" si="0">SUM(B5:P5)</f>
        <v>42912.741944295143</v>
      </c>
    </row>
    <row r="6" spans="1:17">
      <c r="A6" s="476" t="s">
        <v>194</v>
      </c>
      <c r="B6" s="477">
        <f>'openbare verlichting'!B8</f>
        <v>540.65300000000002</v>
      </c>
      <c r="C6" s="477"/>
      <c r="D6" s="477"/>
      <c r="E6" s="477"/>
      <c r="F6" s="477"/>
      <c r="G6" s="477"/>
      <c r="H6" s="477"/>
      <c r="I6" s="477"/>
      <c r="J6" s="477"/>
      <c r="K6" s="477"/>
      <c r="L6" s="477"/>
      <c r="M6" s="477"/>
      <c r="N6" s="477"/>
      <c r="O6" s="477"/>
      <c r="P6" s="478"/>
      <c r="Q6" s="476">
        <f t="shared" si="0"/>
        <v>540.65300000000002</v>
      </c>
    </row>
    <row r="7" spans="1:17">
      <c r="A7" s="476" t="s">
        <v>112</v>
      </c>
      <c r="B7" s="477">
        <f>landbouw!B8</f>
        <v>288.81512099999998</v>
      </c>
      <c r="C7" s="477">
        <f>landbouw!C8</f>
        <v>0</v>
      </c>
      <c r="D7" s="477">
        <f>landbouw!D8</f>
        <v>45.941566000000002</v>
      </c>
      <c r="E7" s="477">
        <f>landbouw!E8</f>
        <v>8.4891585493878239</v>
      </c>
      <c r="F7" s="477">
        <f>landbouw!F8</f>
        <v>1203.188187336023</v>
      </c>
      <c r="G7" s="477">
        <f>landbouw!G8</f>
        <v>0</v>
      </c>
      <c r="H7" s="477">
        <f>landbouw!H8</f>
        <v>0</v>
      </c>
      <c r="I7" s="477">
        <f>landbouw!I8</f>
        <v>0</v>
      </c>
      <c r="J7" s="477">
        <f>landbouw!J8</f>
        <v>41.843108657178625</v>
      </c>
      <c r="K7" s="477">
        <f>landbouw!K8</f>
        <v>0</v>
      </c>
      <c r="L7" s="477">
        <f>landbouw!L8</f>
        <v>0</v>
      </c>
      <c r="M7" s="477">
        <f>landbouw!M8</f>
        <v>0</v>
      </c>
      <c r="N7" s="477">
        <f>landbouw!N8</f>
        <v>0</v>
      </c>
      <c r="O7" s="477">
        <f>landbouw!O8</f>
        <v>0</v>
      </c>
      <c r="P7" s="478">
        <f>landbouw!P8</f>
        <v>0</v>
      </c>
      <c r="Q7" s="476">
        <f t="shared" si="0"/>
        <v>1588.2771415425896</v>
      </c>
    </row>
    <row r="8" spans="1:17">
      <c r="A8" s="476" t="s">
        <v>635</v>
      </c>
      <c r="B8" s="477">
        <f>industrie!B18</f>
        <v>40339.493066999996</v>
      </c>
      <c r="C8" s="477">
        <f>industrie!C18</f>
        <v>0</v>
      </c>
      <c r="D8" s="477">
        <f>industrie!D18</f>
        <v>139470.36073960003</v>
      </c>
      <c r="E8" s="477">
        <f>industrie!E18</f>
        <v>309.2495365671806</v>
      </c>
      <c r="F8" s="477">
        <f>industrie!F18</f>
        <v>1060.1502603514816</v>
      </c>
      <c r="G8" s="477">
        <f>industrie!G18</f>
        <v>0</v>
      </c>
      <c r="H8" s="477">
        <f>industrie!H18</f>
        <v>0</v>
      </c>
      <c r="I8" s="477">
        <f>industrie!I18</f>
        <v>0</v>
      </c>
      <c r="J8" s="477">
        <f>industrie!J18</f>
        <v>0.16880365150478613</v>
      </c>
      <c r="K8" s="477">
        <f>industrie!K18</f>
        <v>0</v>
      </c>
      <c r="L8" s="477">
        <f>industrie!L18</f>
        <v>0</v>
      </c>
      <c r="M8" s="477">
        <f>industrie!M18</f>
        <v>0</v>
      </c>
      <c r="N8" s="477">
        <f>industrie!N18</f>
        <v>1401.6688106687623</v>
      </c>
      <c r="O8" s="477">
        <f>industrie!O18</f>
        <v>0</v>
      </c>
      <c r="P8" s="478">
        <f>industrie!P18</f>
        <v>0</v>
      </c>
      <c r="Q8" s="476">
        <f t="shared" si="0"/>
        <v>182581.09121783896</v>
      </c>
    </row>
    <row r="9" spans="1:17" s="482" customFormat="1">
      <c r="A9" s="480" t="s">
        <v>561</v>
      </c>
      <c r="B9" s="481">
        <f>transport!B14</f>
        <v>40.750445003667124</v>
      </c>
      <c r="C9" s="481">
        <f>transport!C14</f>
        <v>0</v>
      </c>
      <c r="D9" s="481">
        <f>transport!D14</f>
        <v>133.21464605823189</v>
      </c>
      <c r="E9" s="481">
        <f>transport!E14</f>
        <v>199.14263917267397</v>
      </c>
      <c r="F9" s="481">
        <f>transport!F14</f>
        <v>0</v>
      </c>
      <c r="G9" s="481">
        <f>transport!G14</f>
        <v>88944.389164409673</v>
      </c>
      <c r="H9" s="481">
        <f>transport!H14</f>
        <v>15372.636552969754</v>
      </c>
      <c r="I9" s="481">
        <f>transport!I14</f>
        <v>0</v>
      </c>
      <c r="J9" s="481">
        <f>transport!J14</f>
        <v>0</v>
      </c>
      <c r="K9" s="481">
        <f>transport!K14</f>
        <v>0</v>
      </c>
      <c r="L9" s="481">
        <f>transport!L14</f>
        <v>0</v>
      </c>
      <c r="M9" s="481">
        <f>transport!M14</f>
        <v>5650.1511642303567</v>
      </c>
      <c r="N9" s="481">
        <f>transport!N14</f>
        <v>0</v>
      </c>
      <c r="O9" s="481">
        <f>transport!O14</f>
        <v>0</v>
      </c>
      <c r="P9" s="481">
        <f>transport!P14</f>
        <v>0</v>
      </c>
      <c r="Q9" s="480">
        <f>SUM(B9:P9)</f>
        <v>110340.28461184436</v>
      </c>
    </row>
    <row r="10" spans="1:17">
      <c r="A10" s="476" t="s">
        <v>551</v>
      </c>
      <c r="B10" s="477">
        <f>transport!B54</f>
        <v>0</v>
      </c>
      <c r="C10" s="477">
        <f>transport!C54</f>
        <v>0</v>
      </c>
      <c r="D10" s="477">
        <f>transport!D54</f>
        <v>0</v>
      </c>
      <c r="E10" s="477">
        <f>transport!E54</f>
        <v>0</v>
      </c>
      <c r="F10" s="477">
        <f>transport!F54</f>
        <v>0</v>
      </c>
      <c r="G10" s="477">
        <f>transport!G54</f>
        <v>580.11875507817501</v>
      </c>
      <c r="H10" s="477">
        <f>transport!H54</f>
        <v>0</v>
      </c>
      <c r="I10" s="477">
        <f>transport!I54</f>
        <v>0</v>
      </c>
      <c r="J10" s="477">
        <f>transport!J54</f>
        <v>0</v>
      </c>
      <c r="K10" s="477">
        <f>transport!K54</f>
        <v>0</v>
      </c>
      <c r="L10" s="477">
        <f>transport!L54</f>
        <v>0</v>
      </c>
      <c r="M10" s="477">
        <f>transport!M54</f>
        <v>32.948184309883928</v>
      </c>
      <c r="N10" s="477">
        <f>transport!N54</f>
        <v>0</v>
      </c>
      <c r="O10" s="477">
        <f>transport!O54</f>
        <v>0</v>
      </c>
      <c r="P10" s="478">
        <f>transport!P54</f>
        <v>0</v>
      </c>
      <c r="Q10" s="476">
        <f t="shared" si="0"/>
        <v>613.06693938805893</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885.90569999999991</v>
      </c>
      <c r="C14" s="484"/>
      <c r="D14" s="484">
        <f>'SEAP template'!E25</f>
        <v>2911.687097</v>
      </c>
      <c r="E14" s="484"/>
      <c r="F14" s="484"/>
      <c r="G14" s="484"/>
      <c r="H14" s="484"/>
      <c r="I14" s="484"/>
      <c r="J14" s="484"/>
      <c r="K14" s="484"/>
      <c r="L14" s="484"/>
      <c r="M14" s="484"/>
      <c r="N14" s="484"/>
      <c r="O14" s="484"/>
      <c r="P14" s="485"/>
      <c r="Q14" s="476">
        <f t="shared" si="0"/>
        <v>3797.5927969999998</v>
      </c>
    </row>
    <row r="15" spans="1:17" s="486" customFormat="1">
      <c r="A15" s="1039" t="s">
        <v>555</v>
      </c>
      <c r="B15" s="987">
        <f ca="1">SUM(B4:B14)</f>
        <v>75228.322753470056</v>
      </c>
      <c r="C15" s="987">
        <f t="shared" ref="C15:Q15" ca="1" si="1">SUM(C4:C14)</f>
        <v>0</v>
      </c>
      <c r="D15" s="987">
        <f t="shared" ca="1" si="1"/>
        <v>214343.48316456826</v>
      </c>
      <c r="E15" s="987">
        <f t="shared" si="1"/>
        <v>1994.2646218455006</v>
      </c>
      <c r="F15" s="987">
        <f t="shared" ca="1" si="1"/>
        <v>29495.103044323114</v>
      </c>
      <c r="G15" s="987">
        <f t="shared" si="1"/>
        <v>89524.507919487849</v>
      </c>
      <c r="H15" s="987">
        <f t="shared" si="1"/>
        <v>15372.636552969754</v>
      </c>
      <c r="I15" s="987">
        <f t="shared" si="1"/>
        <v>0</v>
      </c>
      <c r="J15" s="987">
        <f t="shared" si="1"/>
        <v>105.5240399016368</v>
      </c>
      <c r="K15" s="987">
        <f t="shared" si="1"/>
        <v>0</v>
      </c>
      <c r="L15" s="987">
        <f t="shared" ca="1" si="1"/>
        <v>0</v>
      </c>
      <c r="M15" s="987">
        <f t="shared" si="1"/>
        <v>5683.0993485402405</v>
      </c>
      <c r="N15" s="987">
        <f t="shared" ca="1" si="1"/>
        <v>6632.3300077832982</v>
      </c>
      <c r="O15" s="987">
        <f t="shared" si="1"/>
        <v>120.37666666666667</v>
      </c>
      <c r="P15" s="987">
        <f t="shared" si="1"/>
        <v>19.066666666666666</v>
      </c>
      <c r="Q15" s="987">
        <f t="shared" ca="1" si="1"/>
        <v>438518.71478622308</v>
      </c>
    </row>
    <row r="17" spans="1:17">
      <c r="A17" s="487" t="s">
        <v>556</v>
      </c>
      <c r="B17" s="786">
        <f ca="1">huishoudens!B10</f>
        <v>0.192098331529581</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3821.5413727511304</v>
      </c>
      <c r="C22" s="477">
        <f t="shared" ref="C22:C32" ca="1" si="3">C4*$C$17</f>
        <v>0</v>
      </c>
      <c r="D22" s="477">
        <f t="shared" ref="D22:D32" si="4">D4*$D$17</f>
        <v>9365.4968473176014</v>
      </c>
      <c r="E22" s="477">
        <f t="shared" ref="E22:E32" si="5">E4*$E$17</f>
        <v>287.77322459152515</v>
      </c>
      <c r="F22" s="477">
        <f t="shared" ref="F22:F32" si="6">F4*$F$17</f>
        <v>6650.8924115208902</v>
      </c>
      <c r="G22" s="477">
        <f t="shared" ref="G22:G32" si="7">G4*$G$17</f>
        <v>0</v>
      </c>
      <c r="H22" s="477">
        <f t="shared" ref="H22:H32" si="8">H4*$H$17</f>
        <v>0</v>
      </c>
      <c r="I22" s="477">
        <f t="shared" ref="I22:I32" si="9">I4*$I$17</f>
        <v>0</v>
      </c>
      <c r="J22" s="477">
        <f t="shared" ref="J22:J32" si="10">J4*$J$17</f>
        <v>22.467880343717766</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20148.171736524862</v>
      </c>
    </row>
    <row r="23" spans="1:17">
      <c r="A23" s="476" t="s">
        <v>156</v>
      </c>
      <c r="B23" s="477">
        <f t="shared" ca="1" si="2"/>
        <v>2543.1960575815692</v>
      </c>
      <c r="C23" s="477">
        <f t="shared" ca="1" si="3"/>
        <v>0</v>
      </c>
      <c r="D23" s="477">
        <f t="shared" ca="1" si="4"/>
        <v>5134.5235340962199</v>
      </c>
      <c r="E23" s="477">
        <f t="shared" si="5"/>
        <v>47.592781683745457</v>
      </c>
      <c r="F23" s="477">
        <f t="shared" ca="1" si="6"/>
        <v>619.98873578081862</v>
      </c>
      <c r="G23" s="477">
        <f t="shared" si="7"/>
        <v>0</v>
      </c>
      <c r="H23" s="477">
        <f t="shared" si="8"/>
        <v>0</v>
      </c>
      <c r="I23" s="477">
        <f t="shared" si="9"/>
        <v>0</v>
      </c>
      <c r="J23" s="477">
        <f t="shared" si="10"/>
        <v>1.541282418772739E-2</v>
      </c>
      <c r="K23" s="477">
        <f t="shared" si="11"/>
        <v>0</v>
      </c>
      <c r="L23" s="477">
        <f t="shared" ca="1" si="12"/>
        <v>0</v>
      </c>
      <c r="M23" s="477">
        <f t="shared" si="13"/>
        <v>0</v>
      </c>
      <c r="N23" s="477">
        <f t="shared" ca="1" si="14"/>
        <v>0</v>
      </c>
      <c r="O23" s="477">
        <f t="shared" si="15"/>
        <v>0</v>
      </c>
      <c r="P23" s="478">
        <f t="shared" si="16"/>
        <v>0</v>
      </c>
      <c r="Q23" s="476">
        <f t="shared" ref="Q23:Q32" ca="1" si="17">SUM(B23:P23)</f>
        <v>8345.3165219665425</v>
      </c>
    </row>
    <row r="24" spans="1:17">
      <c r="A24" s="476" t="s">
        <v>194</v>
      </c>
      <c r="B24" s="477">
        <f t="shared" ca="1" si="2"/>
        <v>103.85853923646256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103.85853923646256</v>
      </c>
    </row>
    <row r="25" spans="1:17">
      <c r="A25" s="476" t="s">
        <v>112</v>
      </c>
      <c r="B25" s="477">
        <f t="shared" ca="1" si="2"/>
        <v>55.480902864614045</v>
      </c>
      <c r="C25" s="477">
        <f t="shared" ca="1" si="3"/>
        <v>0</v>
      </c>
      <c r="D25" s="477">
        <f t="shared" si="4"/>
        <v>9.2801963320000009</v>
      </c>
      <c r="E25" s="477">
        <f t="shared" si="5"/>
        <v>1.9270389907110361</v>
      </c>
      <c r="F25" s="477">
        <f t="shared" si="6"/>
        <v>321.25124601871818</v>
      </c>
      <c r="G25" s="477">
        <f t="shared" si="7"/>
        <v>0</v>
      </c>
      <c r="H25" s="477">
        <f t="shared" si="8"/>
        <v>0</v>
      </c>
      <c r="I25" s="477">
        <f t="shared" si="9"/>
        <v>0</v>
      </c>
      <c r="J25" s="477">
        <f t="shared" si="10"/>
        <v>14.812460464641232</v>
      </c>
      <c r="K25" s="477">
        <f t="shared" si="11"/>
        <v>0</v>
      </c>
      <c r="L25" s="477">
        <f t="shared" si="12"/>
        <v>0</v>
      </c>
      <c r="M25" s="477">
        <f t="shared" si="13"/>
        <v>0</v>
      </c>
      <c r="N25" s="477">
        <f t="shared" si="14"/>
        <v>0</v>
      </c>
      <c r="O25" s="477">
        <f t="shared" si="15"/>
        <v>0</v>
      </c>
      <c r="P25" s="478">
        <f t="shared" si="16"/>
        <v>0</v>
      </c>
      <c r="Q25" s="476">
        <f t="shared" ca="1" si="17"/>
        <v>402.75184467068448</v>
      </c>
    </row>
    <row r="26" spans="1:17">
      <c r="A26" s="476" t="s">
        <v>635</v>
      </c>
      <c r="B26" s="477">
        <f t="shared" ca="1" si="2"/>
        <v>7749.1493129197997</v>
      </c>
      <c r="C26" s="477">
        <f t="shared" ca="1" si="3"/>
        <v>0</v>
      </c>
      <c r="D26" s="477">
        <f t="shared" si="4"/>
        <v>28173.012869399208</v>
      </c>
      <c r="E26" s="477">
        <f t="shared" si="5"/>
        <v>70.199644800749994</v>
      </c>
      <c r="F26" s="477">
        <f t="shared" si="6"/>
        <v>283.06011951384562</v>
      </c>
      <c r="G26" s="477">
        <f t="shared" si="7"/>
        <v>0</v>
      </c>
      <c r="H26" s="477">
        <f t="shared" si="8"/>
        <v>0</v>
      </c>
      <c r="I26" s="477">
        <f t="shared" si="9"/>
        <v>0</v>
      </c>
      <c r="J26" s="477">
        <f t="shared" si="10"/>
        <v>5.9756492632694287E-2</v>
      </c>
      <c r="K26" s="477">
        <f t="shared" si="11"/>
        <v>0</v>
      </c>
      <c r="L26" s="477">
        <f t="shared" si="12"/>
        <v>0</v>
      </c>
      <c r="M26" s="477">
        <f t="shared" si="13"/>
        <v>0</v>
      </c>
      <c r="N26" s="477">
        <f t="shared" si="14"/>
        <v>0</v>
      </c>
      <c r="O26" s="477">
        <f t="shared" si="15"/>
        <v>0</v>
      </c>
      <c r="P26" s="478">
        <f t="shared" si="16"/>
        <v>0</v>
      </c>
      <c r="Q26" s="476">
        <f t="shared" ca="1" si="17"/>
        <v>36275.481703126236</v>
      </c>
    </row>
    <row r="27" spans="1:17" s="482" customFormat="1">
      <c r="A27" s="480" t="s">
        <v>561</v>
      </c>
      <c r="B27" s="780">
        <f t="shared" ca="1" si="2"/>
        <v>7.8280924942924051</v>
      </c>
      <c r="C27" s="481">
        <f t="shared" ca="1" si="3"/>
        <v>0</v>
      </c>
      <c r="D27" s="481">
        <f t="shared" si="4"/>
        <v>26.909358503762842</v>
      </c>
      <c r="E27" s="481">
        <f t="shared" si="5"/>
        <v>45.205379092196992</v>
      </c>
      <c r="F27" s="481">
        <f t="shared" si="6"/>
        <v>0</v>
      </c>
      <c r="G27" s="481">
        <f t="shared" si="7"/>
        <v>23748.151906897383</v>
      </c>
      <c r="H27" s="481">
        <f t="shared" si="8"/>
        <v>3827.7865016894689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27655.881238677102</v>
      </c>
    </row>
    <row r="28" spans="1:17">
      <c r="A28" s="476" t="s">
        <v>551</v>
      </c>
      <c r="B28" s="477">
        <f t="shared" ca="1" si="2"/>
        <v>0</v>
      </c>
      <c r="C28" s="477">
        <f t="shared" ca="1" si="3"/>
        <v>0</v>
      </c>
      <c r="D28" s="477">
        <f t="shared" si="4"/>
        <v>0</v>
      </c>
      <c r="E28" s="477">
        <f t="shared" si="5"/>
        <v>0</v>
      </c>
      <c r="F28" s="477">
        <f t="shared" si="6"/>
        <v>0</v>
      </c>
      <c r="G28" s="477">
        <f t="shared" si="7"/>
        <v>154.89170760587274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154.89170760587274</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170.1810068625455</v>
      </c>
      <c r="C32" s="477">
        <f t="shared" ca="1" si="3"/>
        <v>0</v>
      </c>
      <c r="D32" s="477">
        <f t="shared" si="4"/>
        <v>588.16079359399998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758.34180045654546</v>
      </c>
    </row>
    <row r="33" spans="1:17" s="486" customFormat="1">
      <c r="A33" s="1039" t="s">
        <v>555</v>
      </c>
      <c r="B33" s="987">
        <f ca="1">SUM(B22:B32)</f>
        <v>14451.235284710414</v>
      </c>
      <c r="C33" s="987">
        <f t="shared" ref="C33:Q33" ca="1" si="18">SUM(C22:C32)</f>
        <v>0</v>
      </c>
      <c r="D33" s="987">
        <f t="shared" ca="1" si="18"/>
        <v>43297.383599242792</v>
      </c>
      <c r="E33" s="987">
        <f t="shared" si="18"/>
        <v>452.6980691589286</v>
      </c>
      <c r="F33" s="987">
        <f t="shared" ca="1" si="18"/>
        <v>7875.1925128342718</v>
      </c>
      <c r="G33" s="987">
        <f t="shared" si="18"/>
        <v>23903.043614503255</v>
      </c>
      <c r="H33" s="987">
        <f t="shared" si="18"/>
        <v>3827.7865016894689</v>
      </c>
      <c r="I33" s="987">
        <f t="shared" si="18"/>
        <v>0</v>
      </c>
      <c r="J33" s="987">
        <f t="shared" si="18"/>
        <v>37.355510125179421</v>
      </c>
      <c r="K33" s="987">
        <f t="shared" si="18"/>
        <v>0</v>
      </c>
      <c r="L33" s="987">
        <f t="shared" ca="1" si="18"/>
        <v>0</v>
      </c>
      <c r="M33" s="987">
        <f t="shared" si="18"/>
        <v>0</v>
      </c>
      <c r="N33" s="987">
        <f t="shared" ca="1" si="18"/>
        <v>0</v>
      </c>
      <c r="O33" s="987">
        <f t="shared" si="18"/>
        <v>0</v>
      </c>
      <c r="P33" s="987">
        <f t="shared" si="18"/>
        <v>0</v>
      </c>
      <c r="Q33" s="987">
        <f t="shared" ca="1" si="18"/>
        <v>93844.695092264315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9838.117845278146</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9838.117845278146</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0.192098331529581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0.192098331529581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1.5633333333333335</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2019-08-12T08:34:29Z</dcterms:modified>
</cp:coreProperties>
</file>