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O89" i="14" s="1"/>
  <c r="O19" i="61" s="1"/>
  <c r="K19" i="18"/>
  <c r="N89" i="14" s="1"/>
  <c r="N19" i="61" s="1"/>
  <c r="J19" i="18"/>
  <c r="I19"/>
  <c r="I89" i="14" s="1"/>
  <c r="I19" i="61" s="1"/>
  <c r="H19" i="18"/>
  <c r="M89" i="14" s="1"/>
  <c r="M19" i="61" s="1"/>
  <c r="G19" i="18"/>
  <c r="F19"/>
  <c r="E19"/>
  <c r="F89" i="14" s="1"/>
  <c r="F19" i="61" s="1"/>
  <c r="D19" i="18"/>
  <c r="D20" s="1"/>
  <c r="C19"/>
  <c r="D89" i="14" s="1"/>
  <c r="D19" i="61" s="1"/>
  <c r="B19" i="18"/>
  <c r="N18"/>
  <c r="L88" i="14" s="1"/>
  <c r="M18" i="18"/>
  <c r="K88" i="14" s="1"/>
  <c r="L18" i="18"/>
  <c r="K18"/>
  <c r="J18"/>
  <c r="I18"/>
  <c r="H18"/>
  <c r="M88" i="14" s="1"/>
  <c r="M18" i="61" s="1"/>
  <c r="G18" i="18"/>
  <c r="H88" i="14" s="1"/>
  <c r="H18" i="61" s="1"/>
  <c r="F18" i="18"/>
  <c r="G88" i="14" s="1"/>
  <c r="G18" i="61" s="1"/>
  <c r="E18" i="18"/>
  <c r="D18"/>
  <c r="C18"/>
  <c r="B18"/>
  <c r="L9"/>
  <c r="L10" s="1"/>
  <c r="K9"/>
  <c r="K10" s="1"/>
  <c r="G9"/>
  <c r="G10" s="1"/>
  <c r="F9"/>
  <c r="E9"/>
  <c r="D9"/>
  <c r="C9"/>
  <c r="B9"/>
  <c r="K22"/>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V89"/>
  <c r="U89"/>
  <c r="T89"/>
  <c r="S89"/>
  <c r="R89"/>
  <c r="Q89"/>
  <c r="J9" s="1"/>
  <c r="J77" i="14" s="1"/>
  <c r="J9" i="61" s="1"/>
  <c r="P89" i="18"/>
  <c r="O89"/>
  <c r="N89"/>
  <c r="M89"/>
  <c r="W61"/>
  <c r="V61"/>
  <c r="N6" i="17" s="1"/>
  <c r="U61" i="18"/>
  <c r="T61"/>
  <c r="L6" i="17" s="1"/>
  <c r="S61" i="18"/>
  <c r="R61"/>
  <c r="Q61"/>
  <c r="P61"/>
  <c r="O61"/>
  <c r="C6" i="17" s="1"/>
  <c r="N61" i="18"/>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G89" i="14"/>
  <c r="G19" i="61" s="1"/>
  <c r="N88" i="14"/>
  <c r="N18" i="61" s="1"/>
  <c r="D88" i="14"/>
  <c r="D18" i="61" s="1"/>
  <c r="G12" i="18"/>
  <c r="F12"/>
  <c r="E12"/>
  <c r="D12"/>
  <c r="C12"/>
  <c r="F10"/>
  <c r="E77" i="14"/>
  <c r="E9" i="61" s="1"/>
  <c r="B8" i="18"/>
  <c r="B6"/>
  <c r="B5"/>
  <c r="B4"/>
  <c r="D6" i="17"/>
  <c r="B19" i="6"/>
  <c r="B18"/>
  <c r="B5"/>
  <c r="B6"/>
  <c r="C64" i="14" s="1"/>
  <c r="P7" i="48"/>
  <c r="P25" s="1"/>
  <c r="O7"/>
  <c r="O25" s="1"/>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O17"/>
  <c r="O31" s="1"/>
  <c r="M4"/>
  <c r="L4"/>
  <c r="K4"/>
  <c r="I4"/>
  <c r="H4"/>
  <c r="G4"/>
  <c r="P11"/>
  <c r="O11"/>
  <c r="N11"/>
  <c r="M11"/>
  <c r="L11"/>
  <c r="K11"/>
  <c r="J11"/>
  <c r="I11"/>
  <c r="H11"/>
  <c r="G11"/>
  <c r="F11"/>
  <c r="E11"/>
  <c r="D11"/>
  <c r="C11"/>
  <c r="B11"/>
  <c r="O32"/>
  <c r="O30"/>
  <c r="L89" i="14"/>
  <c r="L19" i="61" s="1"/>
  <c r="K89" i="14"/>
  <c r="K19" i="61" s="1"/>
  <c r="J89" i="14"/>
  <c r="J19" i="61" s="1"/>
  <c r="H89" i="14"/>
  <c r="H19" i="61" s="1"/>
  <c r="J88" i="14"/>
  <c r="J18" i="61" s="1"/>
  <c r="I88" i="14"/>
  <c r="I18" i="61" s="1"/>
  <c r="F88" i="14"/>
  <c r="F18" i="61" s="1"/>
  <c r="E88" i="14"/>
  <c r="O87"/>
  <c r="O17" i="61" s="1"/>
  <c r="N87" i="14"/>
  <c r="N17" i="61" s="1"/>
  <c r="L87" i="14"/>
  <c r="L17" i="61" s="1"/>
  <c r="K87" i="14"/>
  <c r="K17" i="61" s="1"/>
  <c r="H87" i="14"/>
  <c r="H17" i="61" s="1"/>
  <c r="H20" s="1"/>
  <c r="G87" i="14"/>
  <c r="G17" i="61" s="1"/>
  <c r="G20" s="1"/>
  <c r="E87" i="14"/>
  <c r="E17" i="61" s="1"/>
  <c r="L77" i="14"/>
  <c r="L9" i="61" s="1"/>
  <c r="K77" i="14"/>
  <c r="K9" i="61" s="1"/>
  <c r="G77" i="14"/>
  <c r="G9" i="61" s="1"/>
  <c r="O76" i="14"/>
  <c r="O8" i="61" s="1"/>
  <c r="N76" i="14"/>
  <c r="N8" i="61" s="1"/>
  <c r="L76" i="14"/>
  <c r="K76"/>
  <c r="H76"/>
  <c r="H8" i="61" s="1"/>
  <c r="G76" i="14"/>
  <c r="G8" i="61" s="1"/>
  <c r="E76" i="14"/>
  <c r="E8" i="61" s="1"/>
  <c r="B75" i="14"/>
  <c r="B7" i="61" s="1"/>
  <c r="B74" i="14"/>
  <c r="B6" i="61" s="1"/>
  <c r="B73" i="14"/>
  <c r="B5" i="61" s="1"/>
  <c r="B72" i="14"/>
  <c r="B4" i="61" s="1"/>
  <c r="C29" i="14"/>
  <c r="Q54"/>
  <c r="Q56" s="1"/>
  <c r="P54"/>
  <c r="P56" s="1"/>
  <c r="L54"/>
  <c r="L56" s="1"/>
  <c r="J54"/>
  <c r="I54"/>
  <c r="H54"/>
  <c r="H56" s="1"/>
  <c r="Q24"/>
  <c r="P24"/>
  <c r="P26" s="1"/>
  <c r="N24"/>
  <c r="N26" s="1"/>
  <c r="L24"/>
  <c r="L26" s="1"/>
  <c r="J24"/>
  <c r="I24"/>
  <c r="H24"/>
  <c r="Q50"/>
  <c r="P50"/>
  <c r="P52" s="1"/>
  <c r="O50"/>
  <c r="M50"/>
  <c r="L50"/>
  <c r="K50"/>
  <c r="J50"/>
  <c r="G50"/>
  <c r="D50"/>
  <c r="Q49"/>
  <c r="P49"/>
  <c r="Q20"/>
  <c r="P20"/>
  <c r="O20"/>
  <c r="M20"/>
  <c r="L20"/>
  <c r="K20"/>
  <c r="J20"/>
  <c r="G20"/>
  <c r="D20"/>
  <c r="Q19"/>
  <c r="P19"/>
  <c r="O19"/>
  <c r="O22" s="1"/>
  <c r="M19"/>
  <c r="L19"/>
  <c r="K19"/>
  <c r="K22" s="1"/>
  <c r="J19"/>
  <c r="I19"/>
  <c r="G19"/>
  <c r="G22" s="1"/>
  <c r="F19"/>
  <c r="E19"/>
  <c r="D19"/>
  <c r="Q48"/>
  <c r="P48"/>
  <c r="O48"/>
  <c r="M48"/>
  <c r="L48"/>
  <c r="K48"/>
  <c r="J48"/>
  <c r="G48"/>
  <c r="D48"/>
  <c r="Q18"/>
  <c r="Q22" s="1"/>
  <c r="P18"/>
  <c r="O18"/>
  <c r="M18"/>
  <c r="L18"/>
  <c r="L22" s="1"/>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J56"/>
  <c r="I56"/>
  <c r="R44"/>
  <c r="Q26"/>
  <c r="J26"/>
  <c r="I26"/>
  <c r="E25"/>
  <c r="D14" i="48" s="1"/>
  <c r="C25" i="14"/>
  <c r="B14" i="48" s="1"/>
  <c r="Q14" s="1"/>
  <c r="H26" i="14"/>
  <c r="M22"/>
  <c r="D5" i="17"/>
  <c r="K18" i="61" l="1"/>
  <c r="K20" s="1"/>
  <c r="K90" i="14"/>
  <c r="L78"/>
  <c r="L8" i="61"/>
  <c r="L10" s="1"/>
  <c r="E18"/>
  <c r="E20" s="1"/>
  <c r="K78" i="14"/>
  <c r="K8" i="61"/>
  <c r="K10" s="1"/>
  <c r="L90" i="14"/>
  <c r="L18" i="61"/>
  <c r="L20" s="1"/>
  <c r="I77" i="14"/>
  <c r="I9" i="61" s="1"/>
  <c r="O9" i="18"/>
  <c r="Q11" i="48"/>
  <c r="L20" i="18"/>
  <c r="C98"/>
  <c r="C101" s="1"/>
  <c r="O77" i="14"/>
  <c r="O9" i="61" s="1"/>
  <c r="O10" s="1"/>
  <c r="N20"/>
  <c r="Q52" i="14"/>
  <c r="N77"/>
  <c r="E89"/>
  <c r="E19" i="61" s="1"/>
  <c r="F6" i="17"/>
  <c r="I9" i="18"/>
  <c r="P27" i="48"/>
  <c r="B10" i="18"/>
  <c r="M77" i="14"/>
  <c r="M9" i="61" s="1"/>
  <c r="H9" i="18"/>
  <c r="G10" i="61"/>
  <c r="P31" i="48"/>
  <c r="J22" i="14"/>
  <c r="P22"/>
  <c r="E10" i="61"/>
  <c r="B17" i="18"/>
  <c r="B20" s="1"/>
  <c r="F13" i="15"/>
  <c r="L13"/>
  <c r="B13"/>
  <c r="H90" i="14"/>
  <c r="N13" i="15"/>
  <c r="F77" i="14"/>
  <c r="F9" i="61" s="1"/>
  <c r="B101" i="18"/>
  <c r="C8" s="1"/>
  <c r="I102"/>
  <c r="H17" s="1"/>
  <c r="E102"/>
  <c r="E17" s="1"/>
  <c r="C102"/>
  <c r="B102"/>
  <c r="C17" s="1"/>
  <c r="H102"/>
  <c r="D102"/>
  <c r="G102"/>
  <c r="F102"/>
  <c r="N90" i="14"/>
  <c r="O18" i="18"/>
  <c r="F20"/>
  <c r="D77" i="14"/>
  <c r="D9" i="61" s="1"/>
  <c r="H77" i="14"/>
  <c r="G90"/>
  <c r="O88"/>
  <c r="G20" i="18"/>
  <c r="K20"/>
  <c r="O19"/>
  <c r="D10"/>
  <c r="O29" i="48"/>
  <c r="O27"/>
  <c r="P29"/>
  <c r="P32"/>
  <c r="O24"/>
  <c r="P24"/>
  <c r="P30"/>
  <c r="G78" i="14"/>
  <c r="R9"/>
  <c r="D22"/>
  <c r="E55"/>
  <c r="R25"/>
  <c r="E78"/>
  <c r="O90" l="1"/>
  <c r="O18" i="61"/>
  <c r="O20" s="1"/>
  <c r="H78" i="14"/>
  <c r="H9" i="61"/>
  <c r="H10" s="1"/>
  <c r="N78" i="14"/>
  <c r="N9" i="61"/>
  <c r="N10" s="1"/>
  <c r="I101" i="18"/>
  <c r="H8" s="1"/>
  <c r="B89" i="14"/>
  <c r="B19" i="61" s="1"/>
  <c r="E101" i="18"/>
  <c r="E8" s="1"/>
  <c r="E10" s="1"/>
  <c r="C89" i="14"/>
  <c r="C19" i="61" s="1"/>
  <c r="G101" i="18"/>
  <c r="I8" s="1"/>
  <c r="E90" i="14"/>
  <c r="F101" i="18"/>
  <c r="O78" i="14"/>
  <c r="D10" i="61"/>
  <c r="H101" i="18"/>
  <c r="J8" s="1"/>
  <c r="D101"/>
  <c r="Q89" i="14"/>
  <c r="P19" i="61" s="1"/>
  <c r="B88" i="14"/>
  <c r="B18" i="61" s="1"/>
  <c r="B77" i="14"/>
  <c r="B9" i="61" s="1"/>
  <c r="Q77" i="14"/>
  <c r="P9" i="61" s="1"/>
  <c r="J17" i="18"/>
  <c r="H20"/>
  <c r="M87" i="14"/>
  <c r="M76"/>
  <c r="H10" i="18"/>
  <c r="E20"/>
  <c r="F87" i="14"/>
  <c r="C77"/>
  <c r="C9" i="61" s="1"/>
  <c r="C20" i="18"/>
  <c r="D87" i="14"/>
  <c r="D17" i="61" s="1"/>
  <c r="D20" s="1"/>
  <c r="D76" i="14"/>
  <c r="D8" i="61" s="1"/>
  <c r="C10" i="18"/>
  <c r="C88" i="14"/>
  <c r="C18" i="61" s="1"/>
  <c r="I17" i="18"/>
  <c r="I10"/>
  <c r="I76" i="14"/>
  <c r="I8" i="61" s="1"/>
  <c r="I10" s="1"/>
  <c r="Q88" i="14"/>
  <c r="P18" i="61" s="1"/>
  <c r="AC15" i="5"/>
  <c r="M90" i="14" l="1"/>
  <c r="M17" i="61"/>
  <c r="M20" s="1"/>
  <c r="M78" i="14"/>
  <c r="M8" i="61"/>
  <c r="M10" s="1"/>
  <c r="F90" i="14"/>
  <c r="F17" i="61"/>
  <c r="F20" s="1"/>
  <c r="O8" i="18"/>
  <c r="O10" s="1"/>
  <c r="F76" i="14"/>
  <c r="I78"/>
  <c r="D78"/>
  <c r="J87"/>
  <c r="J20" i="18"/>
  <c r="I87" i="14"/>
  <c r="I17" i="61" s="1"/>
  <c r="I20" s="1"/>
  <c r="I20" i="18"/>
  <c r="O17"/>
  <c r="O20" s="1"/>
  <c r="Q87" i="14"/>
  <c r="D90"/>
  <c r="J10" i="18"/>
  <c r="J76" i="14"/>
  <c r="D5" i="13"/>
  <c r="F78" i="14" l="1"/>
  <c r="F8" i="61"/>
  <c r="F10" s="1"/>
  <c r="Q90" i="14"/>
  <c r="B17" i="6" s="1"/>
  <c r="P17" i="61"/>
  <c r="P20" s="1"/>
  <c r="J78" i="14"/>
  <c r="J8" i="61"/>
  <c r="J10" s="1"/>
  <c r="J90" i="14"/>
  <c r="J17" i="61"/>
  <c r="J20" s="1"/>
  <c r="Q76" i="14"/>
  <c r="I90"/>
  <c r="B87"/>
  <c r="C87"/>
  <c r="C76"/>
  <c r="B76"/>
  <c r="B26" i="17"/>
  <c r="Q78" i="14" l="1"/>
  <c r="B9" i="6" s="1"/>
  <c r="P8" i="61"/>
  <c r="P10" s="1"/>
  <c r="B90" i="14"/>
  <c r="B17" i="61"/>
  <c r="B20" s="1"/>
  <c r="C90" i="14"/>
  <c r="C17" i="61"/>
  <c r="C20" s="1"/>
  <c r="C78" i="14"/>
  <c r="C8" i="61"/>
  <c r="C10" s="1"/>
  <c r="B78" i="14"/>
  <c r="B4" i="6" s="1"/>
  <c r="B8" i="61"/>
  <c r="B10" s="1"/>
  <c r="H14" i="15"/>
  <c r="H16" s="1"/>
  <c r="G14"/>
  <c r="G16" s="1"/>
  <c r="I10" i="14" l="1"/>
  <c r="I16" s="1"/>
  <c r="H5" i="48"/>
  <c r="H10" i="14"/>
  <c r="H16" s="1"/>
  <c r="G5" i="48"/>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30" i="48" l="1"/>
  <c r="J32"/>
  <c r="J24"/>
  <c r="J31"/>
  <c r="J29"/>
  <c r="J28"/>
  <c r="J27"/>
  <c r="Q11" i="14"/>
  <c r="P4" i="48"/>
  <c r="P11" i="14"/>
  <c r="O4" i="48"/>
  <c r="I29"/>
  <c r="I28"/>
  <c r="I30"/>
  <c r="I22"/>
  <c r="I32"/>
  <c r="I26"/>
  <c r="I25"/>
  <c r="I27"/>
  <c r="I31"/>
  <c r="I24"/>
  <c r="D4"/>
  <c r="D22" s="1"/>
  <c r="E11" i="14"/>
  <c r="H29" i="48"/>
  <c r="H32"/>
  <c r="H25"/>
  <c r="H30"/>
  <c r="H24"/>
  <c r="H22"/>
  <c r="H28"/>
  <c r="H26"/>
  <c r="H23"/>
  <c r="C4"/>
  <c r="D11" i="14"/>
  <c r="G23" i="48"/>
  <c r="G30"/>
  <c r="G32"/>
  <c r="G26"/>
  <c r="G22"/>
  <c r="G29"/>
  <c r="G25"/>
  <c r="G24"/>
  <c r="C11" i="14"/>
  <c r="B4" i="48"/>
  <c r="F30"/>
  <c r="F32"/>
  <c r="F24"/>
  <c r="F31"/>
  <c r="F29"/>
  <c r="F28"/>
  <c r="F27"/>
  <c r="N30"/>
  <c r="N32"/>
  <c r="N24"/>
  <c r="N27"/>
  <c r="N31"/>
  <c r="N28"/>
  <c r="N29"/>
  <c r="C19" i="14"/>
  <c r="B10" i="48"/>
  <c r="E31"/>
  <c r="E29"/>
  <c r="E24"/>
  <c r="E30"/>
  <c r="E28"/>
  <c r="E32"/>
  <c r="M29"/>
  <c r="M26"/>
  <c r="M24"/>
  <c r="M30"/>
  <c r="M32"/>
  <c r="M25"/>
  <c r="M22"/>
  <c r="M23"/>
  <c r="K5"/>
  <c r="L10" i="14"/>
  <c r="L16" s="1"/>
  <c r="L27" s="1"/>
  <c r="D30" i="48"/>
  <c r="D28"/>
  <c r="D32"/>
  <c r="D24"/>
  <c r="D29"/>
  <c r="D31"/>
  <c r="L29"/>
  <c r="L27"/>
  <c r="L32"/>
  <c r="L28"/>
  <c r="L24"/>
  <c r="L22"/>
  <c r="L31"/>
  <c r="L30"/>
  <c r="Q10" i="14"/>
  <c r="P5" i="48"/>
  <c r="P23" s="1"/>
  <c r="K32"/>
  <c r="K24"/>
  <c r="K27"/>
  <c r="K31"/>
  <c r="K26"/>
  <c r="K22"/>
  <c r="K29"/>
  <c r="K25"/>
  <c r="K30"/>
  <c r="K28"/>
  <c r="C24" i="14"/>
  <c r="C26" s="1"/>
  <c r="B7" i="48"/>
  <c r="B8" i="9"/>
  <c r="B6" i="48" s="1"/>
  <c r="Q6" s="1"/>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L46" s="1"/>
  <c r="L61" s="1"/>
  <c r="L63"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B9" i="48" l="1"/>
  <c r="C20" i="14"/>
  <c r="J7" i="48"/>
  <c r="J25" s="1"/>
  <c r="K24" i="14"/>
  <c r="K26" s="1"/>
  <c r="F4" i="48"/>
  <c r="F22" s="1"/>
  <c r="G11" i="14"/>
  <c r="I5" i="48"/>
  <c r="J10" i="14"/>
  <c r="J16" s="1"/>
  <c r="J27" s="1"/>
  <c r="J63" s="1"/>
  <c r="P22" i="48"/>
  <c r="P33" s="1"/>
  <c r="P15"/>
  <c r="G13"/>
  <c r="G31" s="1"/>
  <c r="H18" i="14"/>
  <c r="K23" i="48"/>
  <c r="K15"/>
  <c r="C22" i="14"/>
  <c r="O22" i="48"/>
  <c r="E9"/>
  <c r="E27" s="1"/>
  <c r="F20" i="14"/>
  <c r="F22" s="1"/>
  <c r="Q13"/>
  <c r="Q16" s="1"/>
  <c r="Q27" s="1"/>
  <c r="P8" i="48"/>
  <c r="P26" s="1"/>
  <c r="D9"/>
  <c r="D27" s="1"/>
  <c r="E20" i="14"/>
  <c r="E22" s="1"/>
  <c r="P10"/>
  <c r="O5" i="48"/>
  <c r="O23" s="1"/>
  <c r="K33"/>
  <c r="I20" i="15"/>
  <c r="J40" i="14" s="1"/>
  <c r="J46" s="1"/>
  <c r="J61"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H19" i="14" l="1"/>
  <c r="G10" i="48"/>
  <c r="F24" i="14"/>
  <c r="F26" s="1"/>
  <c r="E7" i="48"/>
  <c r="E25" s="1"/>
  <c r="E4"/>
  <c r="F11" i="14"/>
  <c r="O8" i="48"/>
  <c r="P13" i="14"/>
  <c r="P16" s="1"/>
  <c r="P27" s="1"/>
  <c r="K11"/>
  <c r="J4" i="48"/>
  <c r="N4"/>
  <c r="N22" s="1"/>
  <c r="O11" i="14"/>
  <c r="M10" i="48"/>
  <c r="M28" s="1"/>
  <c r="N19" i="14"/>
  <c r="N22" s="1"/>
  <c r="N27" s="1"/>
  <c r="I15" i="48"/>
  <c r="I23"/>
  <c r="I33" s="1"/>
  <c r="P46" i="14"/>
  <c r="P61" s="1"/>
  <c r="Q63"/>
  <c r="E12" i="17"/>
  <c r="F54" i="14" s="1"/>
  <c r="F56" s="1"/>
  <c r="M14" i="22"/>
  <c r="H14"/>
  <c r="H9" i="48" s="1"/>
  <c r="M9"/>
  <c r="N20" i="14"/>
  <c r="R18"/>
  <c r="H31" i="48"/>
  <c r="Q13"/>
  <c r="N12" i="17"/>
  <c r="O54" i="14" s="1"/>
  <c r="O56" s="1"/>
  <c r="N7" i="48"/>
  <c r="N25" s="1"/>
  <c r="O24" i="14"/>
  <c r="O26" s="1"/>
  <c r="L12" i="17"/>
  <c r="M54" i="14" s="1"/>
  <c r="M56" s="1"/>
  <c r="M24"/>
  <c r="M26" s="1"/>
  <c r="L7" i="48"/>
  <c r="L25" s="1"/>
  <c r="Q7"/>
  <c r="D26" i="14"/>
  <c r="D8" i="48"/>
  <c r="D26" s="1"/>
  <c r="E13" i="14"/>
  <c r="B8" i="48"/>
  <c r="C13" i="14"/>
  <c r="O10"/>
  <c r="N5" i="48"/>
  <c r="C10" i="14"/>
  <c r="B5" i="48"/>
  <c r="G10" i="14"/>
  <c r="F5" i="48"/>
  <c r="E10" i="14"/>
  <c r="D5" i="48"/>
  <c r="O22" i="16"/>
  <c r="P43" i="14" s="1"/>
  <c r="E12" i="13"/>
  <c r="F41" i="14" s="1"/>
  <c r="D22" i="16"/>
  <c r="E43" i="14" s="1"/>
  <c r="D20" i="15"/>
  <c r="E40" i="14" s="1"/>
  <c r="G14" i="22"/>
  <c r="J16" i="15"/>
  <c r="E16"/>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H52" l="1"/>
  <c r="H61" s="1"/>
  <c r="H63" s="1"/>
  <c r="H22"/>
  <c r="H27" s="1"/>
  <c r="R19"/>
  <c r="G9" i="48"/>
  <c r="H20" i="14"/>
  <c r="J22" i="48"/>
  <c r="G28"/>
  <c r="Q10"/>
  <c r="J5"/>
  <c r="J23" s="1"/>
  <c r="K10" i="14"/>
  <c r="F10"/>
  <c r="E5" i="48"/>
  <c r="E23" s="1"/>
  <c r="E22"/>
  <c r="Q4"/>
  <c r="O26"/>
  <c r="O33" s="1"/>
  <c r="O15"/>
  <c r="I20" i="14"/>
  <c r="I22" s="1"/>
  <c r="I27" s="1"/>
  <c r="P63"/>
  <c r="R11"/>
  <c r="M15" i="48"/>
  <c r="M27"/>
  <c r="M33" s="1"/>
  <c r="Q9"/>
  <c r="H15"/>
  <c r="H27"/>
  <c r="H33" s="1"/>
  <c r="N63" i="14"/>
  <c r="R20"/>
  <c r="R22" s="1"/>
  <c r="R24"/>
  <c r="R26" s="1"/>
  <c r="N18" i="16"/>
  <c r="E20" i="15"/>
  <c r="F40" i="14" s="1"/>
  <c r="F18" i="16"/>
  <c r="J18"/>
  <c r="E18"/>
  <c r="G18" i="22"/>
  <c r="H50" i="14" s="1"/>
  <c r="H18" i="22"/>
  <c r="I50" i="14" s="1"/>
  <c r="I52" s="1"/>
  <c r="I61" s="1"/>
  <c r="I63" s="1"/>
  <c r="J8" i="48" l="1"/>
  <c r="K13" i="14"/>
  <c r="F13"/>
  <c r="E8" i="48"/>
  <c r="G27"/>
  <c r="G33" s="1"/>
  <c r="G15"/>
  <c r="K16" i="14"/>
  <c r="K27" s="1"/>
  <c r="K63" s="1"/>
  <c r="F16"/>
  <c r="F27" s="1"/>
  <c r="N8" i="48"/>
  <c r="N26" s="1"/>
  <c r="O13" i="14"/>
  <c r="F8" i="48"/>
  <c r="G13" i="14"/>
  <c r="R13" s="1"/>
  <c r="E22" i="16"/>
  <c r="F43" i="14" s="1"/>
  <c r="F46" s="1"/>
  <c r="F61" s="1"/>
  <c r="F22" i="16"/>
  <c r="G43" i="14" s="1"/>
  <c r="N22" i="16"/>
  <c r="O43" i="14" s="1"/>
  <c r="J22" i="16"/>
  <c r="K43" i="14" s="1"/>
  <c r="K46" s="1"/>
  <c r="K61" s="1"/>
  <c r="J26" i="48" l="1"/>
  <c r="J33" s="1"/>
  <c r="J15"/>
  <c r="E26"/>
  <c r="E33" s="1"/>
  <c r="E15"/>
  <c r="F63" i="14"/>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<sst xmlns="http://schemas.openxmlformats.org/spreadsheetml/2006/main" count="2392" uniqueCount="887">
  <si>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</si>
  <si>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</si>
  <si>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</si>
  <si>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</si>
  <si>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</si>
  <si>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</si>
  <si>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</si>
  <si>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</si>
  <si>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</si>
  <si>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</si>
  <si>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</si>
  <si>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</si>
  <si>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</si>
  <si>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</si>
  <si>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</si>
  <si>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</si>
  <si>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</si>
  <si>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</si>
  <si>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</si>
  <si>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</si>
  <si>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</si>
  <si>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</si>
  <si>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</si>
  <si>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</si>
  <si>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</si>
  <si>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</si>
  <si>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</si>
  <si>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</si>
  <si>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</si>
  <si>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</si>
  <si>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</si>
  <si>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</si>
  <si>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</si>
  <si>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</si>
  <si>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</si>
  <si>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</si>
  <si>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</si>
  <si>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</si>
  <si>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</si>
  <si>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</si>
  <si>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</si>
  <si>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</si>
  <si>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</si>
  <si>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</si>
  <si>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</si>
  <si>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</si>
  <si>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</si>
  <si>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</si>
  <si>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</si>
  <si>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</si>
  <si>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</si>
  <si>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</si>
  <si>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</si>
  <si>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</si>
  <si>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</si>
  <si>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</si>
  <si>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</si>
  <si>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</si>
  <si>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</si>
  <si>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</si>
  <si>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</si>
  <si>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</si>
  <si>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</si>
  <si>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</si>
  <si>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</si>
  <si>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</si>
  <si>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</si>
  <si>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</si>
  <si>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</si>
  <si>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</si>
  <si>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</si>
  <si>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</si>
  <si>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</si>
  <si>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</si>
  <si>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</si>
  <si>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</si>
  <si>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</si>
  <si>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</si>
  <si>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</si>
  <si>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</si>
  <si>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</si>
  <si>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</si>
  <si>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</si>
  <si>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</si>
  <si>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</si>
  <si>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</si>
  <si>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</si>
  <si>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</si>
  <si>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</si>
  <si>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</si>
  <si>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</si>
  <si>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</si>
  <si>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</si>
  <si>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</si>
  <si>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</si>
  <si>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</si>
  <si>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</si>
  <si>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</si>
  <si>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</si>
  <si>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</si>
  <si>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</si>
  <si>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</si>
  <si>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</si>
  <si>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</si>
  <si>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</si>
  <si>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</si>
  <si>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</si>
  <si>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</si>
  <si>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</si>
  <si>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</si>
  <si>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</si>
  <si>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</si>
  <si>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</si>
  <si>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</si>
  <si>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</si>
  <si>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</si>
  <si>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</si>
  <si>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</si>
  <si>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</si>
  <si>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</si>
  <si>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</si>
  <si>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</si>
  <si>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</si>
  <si>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</si>
  <si>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</si>
  <si>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</si>
  <si>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</si>
  <si>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</si>
  <si>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</si>
  <si>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</si>
  <si>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</si>
  <si>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</si>
  <si>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</si>
  <si>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</si>
  <si>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</si>
  <si>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</si>
  <si>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</si>
  <si>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</si>
  <si>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</si>
  <si>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</si>
  <si>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</si>
  <si>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</si>
  <si>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</si>
  <si>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</si>
  <si>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</si>
  <si>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</si>
  <si>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</si>
  <si>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</si>
  <si>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</si>
  <si>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</si>
  <si>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</si>
  <si>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</si>
  <si>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</si>
  <si>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</si>
  <si>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</si>
  <si>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</si>
  <si>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</si>
  <si>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</si>
  <si>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</si>
  <si>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</si>
  <si>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</si>
  <si>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</si>
  <si>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</si>
  <si>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</si>
  <si>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</si>
  <si>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</si>
  <si>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</si>
  <si>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</si>
  <si>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</si>
  <si>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</si>
  <si>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</si>
  <si>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</si>
  <si>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</si>
  <si>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</si>
  <si>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</si>
  <si>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</si>
  <si>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</si>
  <si>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</si>
  <si>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</si>
  <si>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</si>
  <si>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</si>
  <si>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</si>
  <si>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</si>
  <si>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</si>
  <si>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</si>
  <si>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</si>
  <si>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</si>
  <si>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</si>
  <si>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</si>
  <si>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</si>
  <si>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</si>
  <si>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</si>
  <si>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</si>
  <si>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</si>
  <si>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</si>
  <si>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</si>
  <si>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</si>
  <si>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</si>
  <si>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</si>
  <si>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</si>
  <si>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</si>
  <si>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</si>
  <si>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</si>
  <si>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</si>
  <si>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</si>
  <si>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</si>
  <si>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</si>
  <si>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</si>
  <si>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</si>
  <si>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</si>
  <si>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</si>
  <si>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</si>
  <si>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</si>
  <si>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</si>
  <si>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</si>
  <si>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</si>
  <si>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</si>
  <si>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</si>
  <si>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</si>
  <si>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</si>
  <si>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</si>
  <si>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</si>
  <si>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</si>
  <si>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</si>
  <si>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</si>
  <si>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</si>
  <si>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</si>
  <si>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</si>
  <si>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</si>
  <si>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</si>
  <si>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</si>
  <si>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</si>
  <si>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</si>
  <si>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</si>
  <si>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</si>
  <si>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</si>
  <si>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</si>
  <si>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</si>
  <si>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</si>
  <si>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</si>
  <si>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</si>
  <si>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</si>
  <si>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</si>
  <si>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</si>
  <si>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</si>
  <si>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</si>
  <si>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</si>
  <si>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</si>
  <si>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</si>
  <si>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</si>
  <si>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</si>
  <si>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</si>
  <si>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</si>
  <si>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</si>
  <si>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</si>
  <si>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</si>
  <si>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</si>
  <si>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</si>
  <si>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</si>
  <si>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</si>
  <si>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</si>
  <si>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</si>
  <si>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</si>
  <si>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</si>
  <si>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</si>
  <si>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</si>
  <si>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</si>
  <si>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</si>
  <si>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</si>
  <si>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</si>
  <si>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</si>
  <si>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</si>
  <si>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</si>
  <si>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</si>
  <si>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</si>
  <si>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</si>
  <si>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</si>
  <si>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</si>
  <si>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</si>
  <si>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</si>
  <si>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</si>
  <si>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</si>
  <si>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</si>
  <si>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</si>
  <si>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</si>
  <si>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</si>
  <si>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</si>
  <si>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</si>
  <si>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</si>
  <si>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</si>
  <si>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</si>
  <si>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</si>
  <si>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</si>
  <si>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</si>
  <si>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</si>
  <si>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</si>
  <si>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</si>
  <si>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</si>
  <si>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</si>
  <si>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</si>
  <si>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</si>
  <si>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</si>
  <si>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</si>
  <si>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</si>
  <si>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</si>
  <si>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</si>
  <si>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</si>
  <si>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</si>
  <si>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</si>
  <si>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</si>
  <si>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</si>
  <si>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</si>
  <si>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</si>
  <si>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</si>
  <si>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</si>
  <si>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</si>
  <si>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</si>
  <si>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</si>
  <si>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</si>
  <si>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</si>
  <si>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</si>
  <si>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</si>
  <si>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</si>
  <si>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</si>
  <si>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</si>
  <si>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</si>
  <si>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</si>
  <si>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</si>
  <si>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</si>
  <si>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</si>
  <si>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</si>
  <si>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</si>
  <si>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</si>
  <si>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</si>
  <si>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</si>
  <si>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</si>
  <si>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</si>
  <si>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</si>
  <si>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</si>
  <si>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</si>
  <si>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</si>
  <si>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</si>
  <si>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</si>
  <si>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</si>
  <si>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</si>
  <si>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</si>
  <si>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</si>
  <si>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</si>
  <si>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</si>
  <si>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</si>
  <si>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</si>
  <si>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</si>
  <si>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</si>
  <si>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</si>
  <si>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</si>
  <si>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</si>
  <si>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</si>
  <si>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</si>
  <si>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</si>
  <si>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</si>
  <si>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</si>
  <si>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</si>
  <si>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</si>
  <si>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</si>
  <si>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</si>
  <si>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</si>
  <si>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</si>
  <si>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</si>
  <si>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</si>
  <si>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</si>
  <si>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</si>
  <si>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</si>
  <si>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</si>
  <si>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</si>
  <si>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</si>
  <si>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</si>
  <si>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</si>
  <si>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</si>
  <si>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</si>
  <si>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</si>
  <si>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</si>
  <si>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</si>
  <si>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</si>
  <si>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</si>
  <si>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</si>
  <si>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</si>
  <si>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</si>
  <si>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</si>
  <si>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</si>
  <si>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</si>
  <si>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</si>
  <si>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</si>
  <si>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</si>
  <si>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</si>
  <si>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</si>
  <si>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</si>
  <si>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</si>
  <si>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</si>
  <si>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</si>
  <si>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</si>
  <si>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</si>
  <si>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</si>
  <si>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</si>
  <si>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</si>
  <si>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</si>
  <si>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</si>
  <si>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</si>
  <si>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</si>
  <si>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</si>
  <si>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</si>
  <si>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</si>
  <si>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</si>
  <si>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</si>
  <si>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</si>
  <si>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</si>
  <si>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</si>
  <si>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</si>
  <si>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</si>
  <si>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</si>
  <si>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</si>
  <si>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</si>
  <si>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</si>
  <si>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</si>
  <si>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</si>
  <si>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</si>
  <si>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</si>
  <si>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</si>
  <si>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</si>
  <si>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</si>
  <si>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</si>
  <si>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</si>
  <si>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</si>
  <si>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</si>
  <si>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</si>
  <si>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</si>
  <si>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</si>
  <si>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</si>
  <si>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</si>
  <si>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</si>
  <si>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</si>
  <si>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</si>
  <si>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</si>
  <si>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</si>
  <si>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</si>
  <si>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</si>
  <si>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</si>
  <si>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</si>
  <si>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</si>
  <si>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</si>
  <si>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</si>
  <si>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</si>
  <si>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</si>
  <si>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</si>
  <si>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</si>
  <si>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</si>
  <si>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</si>
  <si>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</si>
  <si>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</si>
  <si>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</si>
  <si>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</si>
  <si>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</si>
  <si>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</si>
  <si>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</si>
  <si>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</si>
  <si>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</si>
  <si>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</si>
  <si>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</si>
  <si>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</si>
  <si>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</si>
  <si>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</si>
  <si>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</si>
  <si>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</si>
  <si>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</si>
  <si>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</si>
  <si>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</si>
  <si>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</si>
  <si>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</si>
  <si>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</si>
  <si>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</si>
  <si>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</si>
  <si>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</si>
  <si>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</si>
  <si>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</si>
  <si>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</si>
  <si>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</si>
  <si>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</si>
  <si>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</si>
  <si>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</si>
  <si>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</si>
  <si>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</si>
  <si>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</si>
  <si>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</si>
  <si>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</si>
  <si>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</si>
  <si>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</si>
  <si>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</si>
  <si>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</si>
  <si>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</si>
  <si>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</si>
  <si>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</si>
  <si>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</si>
  <si>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</si>
  <si>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</si>
  <si>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</si>
  <si>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</si>
  <si>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</si>
  <si>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</si>
  <si>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</si>
  <si>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</si>
  <si>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</si>
  <si>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</si>
  <si>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</si>
  <si>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</si>
  <si>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</si>
  <si>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</si>
  <si>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</si>
  <si>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</si>
  <si>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</si>
  <si>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</si>
  <si>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</si>
  <si>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</si>
  <si>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</si>
  <si>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</si>
  <si>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</si>
  <si>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</si>
  <si>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</si>
  <si>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</si>
  <si>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</si>
  <si>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</si>
  <si>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</si>
  <si>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</si>
  <si>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</si>
  <si>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</si>
  <si>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</si>
  <si>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</si>
  <si>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</si>
  <si>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</si>
  <si>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</si>
  <si>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</si>
  <si>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</si>
  <si>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</si>
  <si>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</si>
  <si>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</si>
  <si>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</si>
  <si>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</si>
  <si>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</si>
  <si>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</si>
  <si>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</si>
  <si>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</si>
  <si>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</si>
  <si>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</si>
  <si>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</si>
  <si>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</si>
  <si>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</si>
  <si>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</si>
  <si>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</si>
  <si>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</si>
  <si>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</si>
  <si>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</si>
  <si>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</si>
  <si>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</si>
  <si>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</si>
  <si>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</si>
  <si>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</si>
  <si>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</si>
  <si>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</si>
  <si>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</si>
  <si>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</si>
  <si>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</si>
  <si>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</si>
  <si>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</si>
  <si>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</si>
  <si>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</si>
  <si>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</si>
  <si>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</si>
  <si>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</si>
  <si>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</si>
  <si>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</si>
  <si>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</si>
  <si>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</si>
  <si>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</si>
  <si>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</si>
  <si>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</si>
  <si>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</si>
  <si>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</si>
  <si>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</si>
  <si>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</si>
  <si>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</si>
  <si>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</si>
  <si>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</si>
  <si>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</si>
  <si>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</si>
  <si>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</si>
  <si>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</si>
  <si>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</si>
  <si>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</si>
  <si>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</si>
  <si>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</si>
  <si>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</si>
  <si>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</si>
  <si>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</si>
  <si>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</si>
  <si>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</si>
  <si>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</si>
  <si>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</si>
  <si>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</si>
  <si>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</si>
  <si>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</si>
  <si>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</si>
  <si>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</si>
  <si>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</si>
  <si>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</si>
  <si>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</si>
  <si>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</si>
  <si>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</si>
  <si>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</si>
  <si>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</si>
  <si>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</si>
  <si>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</si>
  <si>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</si>
  <si>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</si>
  <si>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</si>
  <si>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</si>
  <si>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</si>
  <si>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</si>
  <si>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</si>
  <si>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</si>
  <si>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</si>
  <si>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</si>
  <si>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</si>
  <si>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</si>
  <si>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</si>
  <si>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</si>
  <si>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</si>
  <si>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</si>
  <si>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</si>
  <si>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</si>
  <si>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</si>
  <si>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</si>
  <si>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</si>
  <si>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</si>
  <si>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</si>
  <si>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</si>
  <si>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</si>
  <si>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</si>
  <si>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</si>
  <si>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</si>
  <si>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</si>
  <si>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</si>
  <si>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</si>
  <si>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</si>
  <si>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</si>
  <si>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</si>
  <si>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</si>
  <si>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</si>
  <si>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</si>
  <si>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</si>
  <si>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</si>
  <si>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</si>
  <si>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</si>
  <si>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</si>
  <si>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</si>
  <si>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</si>
  <si>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</si>
  <si>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</si>
  <si>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</si>
  <si>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</si>
  <si>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</si>
  <si>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</si>
  <si>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</si>
  <si>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</si>
  <si>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</si>
  <si>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</si>
  <si>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</si>
  <si>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</si>
  <si>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</si>
  <si>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</si>
  <si>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</si>
  <si>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</si>
  <si>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</si>
  <si>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</si>
  <si>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</si>
  <si>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</si>
  <si>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</si>
  <si>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</si>
  <si>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</si>
  <si>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</si>
  <si>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</si>
  <si>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</si>
  <si>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</si>
  <si>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</si>
  <si>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</si>
  <si>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</si>
  <si>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</si>
  <si>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</si>
  <si>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</si>
  <si>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</si>
  <si>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</si>
  <si>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</si>
  <si>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</si>
  <si>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</si>
  <si>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</si>
  <si>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</si>
  <si>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</si>
  <si>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</si>
  <si>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</si>
  <si>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</si>
  <si>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</si>
  <si>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</si>
  <si>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</si>
  <si>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</si>
  <si>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</si>
  <si>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</si>
  <si>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</si>
  <si>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</si>
  <si>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</si>
  <si>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</si>
  <si>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</si>
  <si>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</si>
  <si>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</si>
  <si>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</si>
  <si>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</si>
  <si>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</si>
  <si>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</si>
  <si>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</si>
  <si>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</si>
  <si>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</si>
  <si>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</si>
  <si>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</si>
  <si>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</si>
  <si>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</si>
  <si>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</si>
  <si>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</si>
  <si>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</si>
  <si>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</si>
  <si>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</si>
  <si>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</si>
  <si>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</si>
  <si>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</si>
  <si>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</si>
  <si>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</si>
  <si>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</si>
  <si>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</si>
  <si>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</si>
  <si>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</si>
  <si>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</si>
  <si>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</si>
  <si>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</si>
  <si>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</si>
  <si>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</si>
  <si>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</si>
  <si>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</si>
  <si>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</si>
  <si>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</si>
  <si>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</si>
  <si>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</si>
  <si>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</si>
  <si>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</si>
  <si>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</si>
  <si>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</si>
  <si>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</si>
  <si>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</si>
  <si>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</si>
  <si>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</si>
  <si>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</si>
  <si>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</si>
  <si>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</si>
  <si>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</si>
  <si>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</si>
  <si>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</si>
  <si>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</si>
  <si>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</si>
  <si>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</si>
  <si>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</si>
  <si>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</si>
  <si>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</si>
  <si>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</si>
  <si>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</si>
  <si>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</si>
  <si>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</si>
  <si>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</si>
  <si>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</si>
  <si>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</si>
  <si>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</si>
  <si>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</si>
  <si>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</si>
  <si>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</si>
  <si>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</si>
  <si>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</si>
  <si>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</si>
  <si>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</si>
  <si>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</si>
  <si>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</si>
  <si>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</si>
  <si>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</si>
  <si>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</si>
  <si>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</si>
  <si>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</si>
  <si>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</si>
  <si>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</si>
  <si>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</si>
  <si>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</si>
  <si>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</si>
  <si>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</si>
  <si>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</si>
  <si>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</si>
  <si>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</si>
  <si>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</si>
  <si>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</si>
  <si>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</si>
  <si>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</si>
  <si>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</si>
  <si>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</si>
  <si>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</si>
  <si>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</si>
  <si>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</si>
  <si>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</si>
  <si>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</si>
  <si>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</si>
  <si>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</si>
  <si>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</si>
  <si>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</si>
  <si>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</si>
  <si>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</si>
  <si>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</si>
  <si>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</si>
  <si>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</si>
  <si>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</si>
  <si>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</si>
  <si>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</si>
  <si>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</si>
  <si>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</si>
  <si>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</si>
  <si>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</si>
  <si>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</si>
  <si>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</si>
  <si>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</si>
  <si>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</si>
  <si>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</si>
  <si>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</si>
  <si>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</si>
  <si>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</si>
  <si>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</si>
  <si>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</si>
  <si>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</si>
  <si>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</si>
  <si>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</si>
  <si>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</si>
  <si>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</si>
  <si>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</si>
  <si>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</si>
  <si>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</si>
  <si>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</si>
  <si>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</si>
  <si>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</si>
  <si>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</si>
  <si>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</si>
  <si>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</si>
  <si>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</si>
  <si>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</si>
  <si>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</si>
  <si>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</si>
  <si>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</si>
  <si>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</si>
  <si>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</si>
  <si>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</si>
  <si>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</si>
  <si>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</si>
  <si>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</si>
  <si>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</si>
  <si>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</si>
  <si>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</si>
  <si>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</si>
  <si>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43010</t>
  </si>
  <si>
    <t>MALDEGEM</t>
  </si>
  <si>
    <t>Eandis (januari 2018); Infrax (juni 2018)</t>
  </si>
  <si>
    <t>MOW (september 2017)</t>
  </si>
  <si>
    <t>referentietaak LNE (2017); Jaarverslag De Lijn (2016)</t>
  </si>
  <si>
    <t>VEA (april 2018)</t>
  </si>
  <si>
    <t>VEA (januari 2017)</t>
  </si>
  <si>
    <t>VEA (juni 2018)</t>
  </si>
  <si>
    <t>Hermie LV</t>
  </si>
  <si>
    <t>Heulendonk 35 , 9991 Adegem</t>
  </si>
  <si>
    <t>WKK-0497 Hermie</t>
  </si>
  <si>
    <t>interne verbrandingsmotor</t>
  </si>
  <si>
    <t>WKK interne verbrandinsgmotor (gas)</t>
  </si>
  <si>
    <t>IMEWO</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</si>
</sst>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204614.68267346211</c:v>
                </c:pt>
                <c:pt idx="1">
                  <c:v>57862.237684050408</c:v>
                </c:pt>
                <c:pt idx="2">
                  <c:v>1542.9860000000001</c:v>
                </c:pt>
                <c:pt idx="3">
                  <c:v>27849.230776685818</c:v>
                </c:pt>
                <c:pt idx="4">
                  <c:v>78859.149894864589</c:v>
                </c:pt>
                <c:pt idx="5">
                  <c:v>224297.85934898385</c:v>
                </c:pt>
                <c:pt idx="6">
                  <c:v>1491.1286103683044</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75772288"/>
        <c:axId val="75773824"/>
      </c:barChart>
      <c:catAx>
        <c:axId val="75772288"/>
        <c:scaling>
          <c:orientation val="minMax"/>
        </c:scaling>
        <c:axPos val="b"/>
        <c:numFmt formatCode="General" sourceLinked="0"/>
        <c:tickLblPos val="nextTo"/>
        <c:crossAx val="75773824"/>
        <c:crosses val="autoZero"/>
        <c:auto val="1"/>
        <c:lblAlgn val="ctr"/>
        <c:lblOffset val="100"/>
      </c:catAx>
      <c:valAx>
        <c:axId val="75773824"/>
        <c:scaling>
          <c:orientation val="minMax"/>
        </c:scaling>
        <c:axPos val="l"/>
        <c:majorGridlines>
          <c:spPr>
            <a:ln>
              <a:noFill/>
            </a:ln>
          </c:spPr>
        </c:majorGridlines>
        <c:numFmt formatCode="#,##0" sourceLinked="1"/>
        <c:tickLblPos val="nextTo"/>
        <c:crossAx val="7577228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204614.68267346211</c:v>
                </c:pt>
                <c:pt idx="1">
                  <c:v>57862.237684050408</c:v>
                </c:pt>
                <c:pt idx="2">
                  <c:v>1542.9860000000001</c:v>
                </c:pt>
                <c:pt idx="3">
                  <c:v>27849.230776685818</c:v>
                </c:pt>
                <c:pt idx="4">
                  <c:v>78859.149894864589</c:v>
                </c:pt>
                <c:pt idx="5">
                  <c:v>224297.85934898385</c:v>
                </c:pt>
                <c:pt idx="6">
                  <c:v>1491.1286103683044</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32918.074226621124</c:v>
                </c:pt>
                <c:pt idx="2">
                  <c:v>10313.173915703177</c:v>
                </c:pt>
                <c:pt idx="3">
                  <c:v>233.78003366343671</c:v>
                </c:pt>
                <c:pt idx="4">
                  <c:v>6865.0304068966025</c:v>
                </c:pt>
                <c:pt idx="5">
                  <c:v>12911.659091091999</c:v>
                </c:pt>
                <c:pt idx="6">
                  <c:v>56155.112939597464</c:v>
                </c:pt>
                <c:pt idx="7">
                  <c:v>376.73448343252375</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56465792"/>
        <c:axId val="156467584"/>
      </c:barChart>
      <c:catAx>
        <c:axId val="156465792"/>
        <c:scaling>
          <c:orientation val="minMax"/>
        </c:scaling>
        <c:axPos val="b"/>
        <c:numFmt formatCode="General" sourceLinked="0"/>
        <c:tickLblPos val="nextTo"/>
        <c:crossAx val="156467584"/>
        <c:crosses val="autoZero"/>
        <c:auto val="1"/>
        <c:lblAlgn val="ctr"/>
        <c:lblOffset val="100"/>
      </c:catAx>
      <c:valAx>
        <c:axId val="156467584"/>
        <c:scaling>
          <c:orientation val="minMax"/>
        </c:scaling>
        <c:axPos val="l"/>
        <c:majorGridlines>
          <c:spPr>
            <a:ln>
              <a:noFill/>
            </a:ln>
          </c:spPr>
        </c:majorGridlines>
        <c:numFmt formatCode="#,##0" sourceLinked="1"/>
        <c:tickLblPos val="nextTo"/>
        <c:crossAx val="156465792"/>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32918.074226621124</c:v>
                </c:pt>
                <c:pt idx="2">
                  <c:v>10313.173915703177</c:v>
                </c:pt>
                <c:pt idx="3">
                  <c:v>233.78003366343671</c:v>
                </c:pt>
                <c:pt idx="4">
                  <c:v>6865.0304068966025</c:v>
                </c:pt>
                <c:pt idx="5">
                  <c:v>12911.659091091999</c:v>
                </c:pt>
                <c:pt idx="6">
                  <c:v>56155.112939597464</c:v>
                </c:pt>
                <c:pt idx="7">
                  <c:v>376.73448343252375</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43010</v>
      </c>
      <c r="B6" s="415"/>
      <c r="C6" s="416"/>
    </row>
    <row r="7" spans="1:7" s="413" customFormat="1" ht="15.75" customHeight="1">
      <c r="A7" s="417" t="str">
        <f>txtMunicipality</f>
        <v>MALDEGEM</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23702.105804345527</v>
      </c>
      <c r="D10" s="1013">
        <f ca="1">tertiair!C16</f>
        <v>0</v>
      </c>
      <c r="E10" s="1013">
        <f ca="1">tertiair!D16</f>
        <v>28762.140154200861</v>
      </c>
      <c r="F10" s="1013">
        <f>tertiair!E16</f>
        <v>385.28324430460606</v>
      </c>
      <c r="G10" s="1013">
        <f ca="1">tertiair!F16</f>
        <v>3963.9704962731757</v>
      </c>
      <c r="H10" s="1013">
        <f>tertiair!G16</f>
        <v>0</v>
      </c>
      <c r="I10" s="1013">
        <f>tertiair!H16</f>
        <v>0</v>
      </c>
      <c r="J10" s="1013">
        <f>tertiair!I16</f>
        <v>0</v>
      </c>
      <c r="K10" s="1013">
        <f>tertiair!J16</f>
        <v>6.2127696323075243E-2</v>
      </c>
      <c r="L10" s="1013">
        <f>tertiair!K16</f>
        <v>0</v>
      </c>
      <c r="M10" s="1013">
        <f ca="1">tertiair!L16</f>
        <v>0</v>
      </c>
      <c r="N10" s="1013">
        <f>tertiair!M16</f>
        <v>0</v>
      </c>
      <c r="O10" s="1013">
        <f ca="1">tertiair!N16</f>
        <v>2482.258523896578</v>
      </c>
      <c r="P10" s="1013">
        <f>tertiair!O16</f>
        <v>14.070000000000002</v>
      </c>
      <c r="Q10" s="1014">
        <f>tertiair!P16</f>
        <v>95.333333333333343</v>
      </c>
      <c r="R10" s="700">
        <f ca="1">SUM(C10:Q10)</f>
        <v>59405.223684050405</v>
      </c>
      <c r="S10" s="67"/>
    </row>
    <row r="11" spans="1:19" s="473" customFormat="1">
      <c r="A11" s="809" t="s">
        <v>225</v>
      </c>
      <c r="B11" s="814"/>
      <c r="C11" s="1013">
        <f>huishoudens!B8</f>
        <v>43092.647677003341</v>
      </c>
      <c r="D11" s="1013">
        <f>huishoudens!C8</f>
        <v>0</v>
      </c>
      <c r="E11" s="1013">
        <f>huishoudens!D8</f>
        <v>90718.074568698605</v>
      </c>
      <c r="F11" s="1013">
        <f>huishoudens!E8</f>
        <v>11962.51513985426</v>
      </c>
      <c r="G11" s="1013">
        <f>huishoudens!F8</f>
        <v>15693.479362073502</v>
      </c>
      <c r="H11" s="1013">
        <f>huishoudens!G8</f>
        <v>0</v>
      </c>
      <c r="I11" s="1013">
        <f>huishoudens!H8</f>
        <v>0</v>
      </c>
      <c r="J11" s="1013">
        <f>huishoudens!I8</f>
        <v>0</v>
      </c>
      <c r="K11" s="1013">
        <f>huishoudens!J8</f>
        <v>3272.1583425879298</v>
      </c>
      <c r="L11" s="1013">
        <f>huishoudens!K8</f>
        <v>0</v>
      </c>
      <c r="M11" s="1013">
        <f>huishoudens!L8</f>
        <v>0</v>
      </c>
      <c r="N11" s="1013">
        <f>huishoudens!M8</f>
        <v>0</v>
      </c>
      <c r="O11" s="1013">
        <f>huishoudens!N8</f>
        <v>37482.300916577813</v>
      </c>
      <c r="P11" s="1013">
        <f>huishoudens!O8</f>
        <v>544.04000000000008</v>
      </c>
      <c r="Q11" s="1014">
        <f>huishoudens!P8</f>
        <v>1849.4666666666667</v>
      </c>
      <c r="R11" s="700">
        <f>SUM(C11:Q11)</f>
        <v>204614.68267346211</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39338.826002513299</v>
      </c>
      <c r="D13" s="1013">
        <f>industrie!C18</f>
        <v>0</v>
      </c>
      <c r="E13" s="1013">
        <f>industrie!D18</f>
        <v>16823.258177529387</v>
      </c>
      <c r="F13" s="1013">
        <f>industrie!E18</f>
        <v>3182.4399435224905</v>
      </c>
      <c r="G13" s="1013">
        <f>industrie!F18</f>
        <v>10448.237965139171</v>
      </c>
      <c r="H13" s="1013">
        <f>industrie!G18</f>
        <v>0</v>
      </c>
      <c r="I13" s="1013">
        <f>industrie!H18</f>
        <v>0</v>
      </c>
      <c r="J13" s="1013">
        <f>industrie!I18</f>
        <v>0</v>
      </c>
      <c r="K13" s="1013">
        <f>industrie!J18</f>
        <v>115.77764344949226</v>
      </c>
      <c r="L13" s="1013">
        <f>industrie!K18</f>
        <v>0</v>
      </c>
      <c r="M13" s="1013">
        <f>industrie!L18</f>
        <v>0</v>
      </c>
      <c r="N13" s="1013">
        <f>industrie!M18</f>
        <v>0</v>
      </c>
      <c r="O13" s="1013">
        <f>industrie!N18</f>
        <v>8950.6101627107528</v>
      </c>
      <c r="P13" s="1013">
        <f>industrie!O18</f>
        <v>0</v>
      </c>
      <c r="Q13" s="1014">
        <f>industrie!P18</f>
        <v>0</v>
      </c>
      <c r="R13" s="700">
        <f>SUM(C13:Q13)</f>
        <v>78859.149894864589</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106133.57948386215</v>
      </c>
      <c r="D16" s="732">
        <f t="shared" ref="D16:R16" ca="1" si="0">SUM(D9:D15)</f>
        <v>0</v>
      </c>
      <c r="E16" s="732">
        <f t="shared" ca="1" si="0"/>
        <v>136303.47290042884</v>
      </c>
      <c r="F16" s="732">
        <f t="shared" si="0"/>
        <v>15530.238327681356</v>
      </c>
      <c r="G16" s="732">
        <f t="shared" ca="1" si="0"/>
        <v>30105.687823485849</v>
      </c>
      <c r="H16" s="732">
        <f t="shared" si="0"/>
        <v>0</v>
      </c>
      <c r="I16" s="732">
        <f t="shared" si="0"/>
        <v>0</v>
      </c>
      <c r="J16" s="732">
        <f t="shared" si="0"/>
        <v>0</v>
      </c>
      <c r="K16" s="732">
        <f t="shared" si="0"/>
        <v>3387.998113733745</v>
      </c>
      <c r="L16" s="732">
        <f t="shared" si="0"/>
        <v>0</v>
      </c>
      <c r="M16" s="732">
        <f t="shared" ca="1" si="0"/>
        <v>0</v>
      </c>
      <c r="N16" s="732">
        <f t="shared" si="0"/>
        <v>0</v>
      </c>
      <c r="O16" s="732">
        <f t="shared" ca="1" si="0"/>
        <v>48915.169603185146</v>
      </c>
      <c r="P16" s="732">
        <f t="shared" si="0"/>
        <v>558.11000000000013</v>
      </c>
      <c r="Q16" s="732">
        <f t="shared" si="0"/>
        <v>1944.8</v>
      </c>
      <c r="R16" s="732">
        <f t="shared" ca="1" si="0"/>
        <v>342879.05625237711</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1410.9905746536469</v>
      </c>
      <c r="I19" s="1013">
        <f>transport!H54</f>
        <v>0</v>
      </c>
      <c r="J19" s="1013">
        <f>transport!I54</f>
        <v>0</v>
      </c>
      <c r="K19" s="1013">
        <f>transport!J54</f>
        <v>0</v>
      </c>
      <c r="L19" s="1013">
        <f>transport!K54</f>
        <v>0</v>
      </c>
      <c r="M19" s="1013">
        <f>transport!L54</f>
        <v>0</v>
      </c>
      <c r="N19" s="1013">
        <f>transport!M54</f>
        <v>80.138035714657434</v>
      </c>
      <c r="O19" s="1013">
        <f>transport!N54</f>
        <v>0</v>
      </c>
      <c r="P19" s="1013">
        <f>transport!O54</f>
        <v>0</v>
      </c>
      <c r="Q19" s="1014">
        <f>transport!P54</f>
        <v>0</v>
      </c>
      <c r="R19" s="700">
        <f>SUM(C19:Q19)</f>
        <v>1491.1286103683044</v>
      </c>
      <c r="S19" s="67"/>
    </row>
    <row r="20" spans="1:19" s="473" customFormat="1">
      <c r="A20" s="809" t="s">
        <v>307</v>
      </c>
      <c r="B20" s="814"/>
      <c r="C20" s="1013">
        <f>transport!B14</f>
        <v>93.110695838848102</v>
      </c>
      <c r="D20" s="1013">
        <f>transport!C14</f>
        <v>0</v>
      </c>
      <c r="E20" s="1013">
        <f>transport!D14</f>
        <v>322.31734859240521</v>
      </c>
      <c r="F20" s="1013">
        <f>transport!E14</f>
        <v>435.50009493201037</v>
      </c>
      <c r="G20" s="1013">
        <f>transport!F14</f>
        <v>0</v>
      </c>
      <c r="H20" s="1013">
        <f>transport!G14</f>
        <v>175669.38066911319</v>
      </c>
      <c r="I20" s="1013">
        <f>transport!H14</f>
        <v>36439.013410433115</v>
      </c>
      <c r="J20" s="1013">
        <f>transport!I14</f>
        <v>0</v>
      </c>
      <c r="K20" s="1013">
        <f>transport!J14</f>
        <v>0</v>
      </c>
      <c r="L20" s="1013">
        <f>transport!K14</f>
        <v>0</v>
      </c>
      <c r="M20" s="1013">
        <f>transport!L14</f>
        <v>0</v>
      </c>
      <c r="N20" s="1013">
        <f>transport!M14</f>
        <v>11338.537130074272</v>
      </c>
      <c r="O20" s="1013">
        <f>transport!N14</f>
        <v>0</v>
      </c>
      <c r="P20" s="1013">
        <f>transport!O14</f>
        <v>0</v>
      </c>
      <c r="Q20" s="1014">
        <f>transport!P14</f>
        <v>0</v>
      </c>
      <c r="R20" s="700">
        <f>SUM(C20:Q20)</f>
        <v>224297.85934898385</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93.110695838848102</v>
      </c>
      <c r="D22" s="812">
        <f t="shared" ref="D22:R22" si="1">SUM(D18:D21)</f>
        <v>0</v>
      </c>
      <c r="E22" s="812">
        <f t="shared" si="1"/>
        <v>322.31734859240521</v>
      </c>
      <c r="F22" s="812">
        <f t="shared" si="1"/>
        <v>435.50009493201037</v>
      </c>
      <c r="G22" s="812">
        <f t="shared" si="1"/>
        <v>0</v>
      </c>
      <c r="H22" s="812">
        <f t="shared" si="1"/>
        <v>177080.37124376683</v>
      </c>
      <c r="I22" s="812">
        <f t="shared" si="1"/>
        <v>36439.013410433115</v>
      </c>
      <c r="J22" s="812">
        <f t="shared" si="1"/>
        <v>0</v>
      </c>
      <c r="K22" s="812">
        <f t="shared" si="1"/>
        <v>0</v>
      </c>
      <c r="L22" s="812">
        <f t="shared" si="1"/>
        <v>0</v>
      </c>
      <c r="M22" s="812">
        <f t="shared" si="1"/>
        <v>0</v>
      </c>
      <c r="N22" s="812">
        <f t="shared" si="1"/>
        <v>11418.675165788929</v>
      </c>
      <c r="O22" s="812">
        <f t="shared" si="1"/>
        <v>0</v>
      </c>
      <c r="P22" s="812">
        <f t="shared" si="1"/>
        <v>0</v>
      </c>
      <c r="Q22" s="812">
        <f t="shared" si="1"/>
        <v>0</v>
      </c>
      <c r="R22" s="812">
        <f t="shared" si="1"/>
        <v>225788.98795935215</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5151.449598707828</v>
      </c>
      <c r="D24" s="1013">
        <f>+landbouw!C8</f>
        <v>62.357142857142847</v>
      </c>
      <c r="E24" s="1013">
        <f>+landbouw!D8</f>
        <v>277.01212037391434</v>
      </c>
      <c r="F24" s="1013">
        <f>+landbouw!E8</f>
        <v>151.41683804917898</v>
      </c>
      <c r="G24" s="1013">
        <f>+landbouw!F8</f>
        <v>21460.660658491473</v>
      </c>
      <c r="H24" s="1013">
        <f>+landbouw!G8</f>
        <v>0</v>
      </c>
      <c r="I24" s="1013">
        <f>+landbouw!H8</f>
        <v>0</v>
      </c>
      <c r="J24" s="1013">
        <f>+landbouw!I8</f>
        <v>0</v>
      </c>
      <c r="K24" s="1013">
        <f>+landbouw!J8</f>
        <v>746.33441820627831</v>
      </c>
      <c r="L24" s="1013">
        <f>+landbouw!K8</f>
        <v>0</v>
      </c>
      <c r="M24" s="1013">
        <f>+landbouw!L8</f>
        <v>0</v>
      </c>
      <c r="N24" s="1013">
        <f>+landbouw!M8</f>
        <v>0</v>
      </c>
      <c r="O24" s="1013">
        <f>+landbouw!N8</f>
        <v>0</v>
      </c>
      <c r="P24" s="1013">
        <f>+landbouw!O8</f>
        <v>0</v>
      </c>
      <c r="Q24" s="1014">
        <f>+landbouw!P8</f>
        <v>0</v>
      </c>
      <c r="R24" s="700">
        <f>SUM(C24:Q24)</f>
        <v>27849.230776685818</v>
      </c>
      <c r="S24" s="67"/>
    </row>
    <row r="25" spans="1:19" s="473" customFormat="1" ht="15" thickBot="1">
      <c r="A25" s="831" t="s">
        <v>836</v>
      </c>
      <c r="B25" s="1016"/>
      <c r="C25" s="1017">
        <f>IF(Onbekend_ele_kWh="---",0,Onbekend_ele_kWh)/1000+IF(REST_rest_ele_kWh="---",0,REST_rest_ele_kWh)/1000</f>
        <v>2052.96501588913</v>
      </c>
      <c r="D25" s="1017"/>
      <c r="E25" s="1017">
        <f>IF(onbekend_gas_kWh="---",0,onbekend_gas_kWh)/1000+IF(REST_rest_gas_kWh="---",0,REST_rest_gas_kWh)/1000</f>
        <v>2539.6797560464802</v>
      </c>
      <c r="F25" s="1017"/>
      <c r="G25" s="1017"/>
      <c r="H25" s="1017"/>
      <c r="I25" s="1017"/>
      <c r="J25" s="1017"/>
      <c r="K25" s="1017"/>
      <c r="L25" s="1017"/>
      <c r="M25" s="1017"/>
      <c r="N25" s="1017"/>
      <c r="O25" s="1017"/>
      <c r="P25" s="1017"/>
      <c r="Q25" s="1018"/>
      <c r="R25" s="700">
        <f>SUM(C25:Q25)</f>
        <v>4592.6447719356102</v>
      </c>
      <c r="S25" s="67"/>
    </row>
    <row r="26" spans="1:19" s="473" customFormat="1" ht="15.75" thickBot="1">
      <c r="A26" s="705" t="s">
        <v>837</v>
      </c>
      <c r="B26" s="817"/>
      <c r="C26" s="812">
        <f>SUM(C24:C25)</f>
        <v>7204.414614596958</v>
      </c>
      <c r="D26" s="812">
        <f t="shared" ref="D26:R26" si="2">SUM(D24:D25)</f>
        <v>62.357142857142847</v>
      </c>
      <c r="E26" s="812">
        <f t="shared" si="2"/>
        <v>2816.6918764203947</v>
      </c>
      <c r="F26" s="812">
        <f t="shared" si="2"/>
        <v>151.41683804917898</v>
      </c>
      <c r="G26" s="812">
        <f t="shared" si="2"/>
        <v>21460.660658491473</v>
      </c>
      <c r="H26" s="812">
        <f t="shared" si="2"/>
        <v>0</v>
      </c>
      <c r="I26" s="812">
        <f t="shared" si="2"/>
        <v>0</v>
      </c>
      <c r="J26" s="812">
        <f t="shared" si="2"/>
        <v>0</v>
      </c>
      <c r="K26" s="812">
        <f t="shared" si="2"/>
        <v>746.33441820627831</v>
      </c>
      <c r="L26" s="812">
        <f t="shared" si="2"/>
        <v>0</v>
      </c>
      <c r="M26" s="812">
        <f t="shared" si="2"/>
        <v>0</v>
      </c>
      <c r="N26" s="812">
        <f t="shared" si="2"/>
        <v>0</v>
      </c>
      <c r="O26" s="812">
        <f t="shared" si="2"/>
        <v>0</v>
      </c>
      <c r="P26" s="812">
        <f t="shared" si="2"/>
        <v>0</v>
      </c>
      <c r="Q26" s="812">
        <f t="shared" si="2"/>
        <v>0</v>
      </c>
      <c r="R26" s="812">
        <f t="shared" si="2"/>
        <v>32441.875548621429</v>
      </c>
      <c r="S26" s="67"/>
    </row>
    <row r="27" spans="1:19" s="473" customFormat="1" ht="17.25" thickTop="1" thickBot="1">
      <c r="A27" s="706" t="s">
        <v>116</v>
      </c>
      <c r="B27" s="805"/>
      <c r="C27" s="707">
        <f ca="1">C22+C16+C26</f>
        <v>113431.10479429795</v>
      </c>
      <c r="D27" s="707">
        <f t="shared" ref="D27:R27" ca="1" si="3">D22+D16+D26</f>
        <v>62.357142857142847</v>
      </c>
      <c r="E27" s="707">
        <f t="shared" ca="1" si="3"/>
        <v>139442.48212544163</v>
      </c>
      <c r="F27" s="707">
        <f t="shared" si="3"/>
        <v>16117.155260662546</v>
      </c>
      <c r="G27" s="707">
        <f t="shared" ca="1" si="3"/>
        <v>51566.348481977322</v>
      </c>
      <c r="H27" s="707">
        <f t="shared" si="3"/>
        <v>177080.37124376683</v>
      </c>
      <c r="I27" s="707">
        <f t="shared" si="3"/>
        <v>36439.013410433115</v>
      </c>
      <c r="J27" s="707">
        <f t="shared" si="3"/>
        <v>0</v>
      </c>
      <c r="K27" s="707">
        <f t="shared" si="3"/>
        <v>4134.3325319400228</v>
      </c>
      <c r="L27" s="707">
        <f t="shared" si="3"/>
        <v>0</v>
      </c>
      <c r="M27" s="707">
        <f t="shared" ca="1" si="3"/>
        <v>0</v>
      </c>
      <c r="N27" s="707">
        <f t="shared" si="3"/>
        <v>11418.675165788929</v>
      </c>
      <c r="O27" s="707">
        <f t="shared" ca="1" si="3"/>
        <v>48915.169603185146</v>
      </c>
      <c r="P27" s="707">
        <f t="shared" si="3"/>
        <v>558.11000000000013</v>
      </c>
      <c r="Q27" s="707">
        <f t="shared" si="3"/>
        <v>1944.8</v>
      </c>
      <c r="R27" s="707">
        <f t="shared" ca="1" si="3"/>
        <v>601109.9197603506</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3591.1402260514583</v>
      </c>
      <c r="D40" s="1013">
        <f ca="1">tertiair!C20</f>
        <v>0</v>
      </c>
      <c r="E40" s="1013">
        <f ca="1">tertiair!D20</f>
        <v>5809.9523111485742</v>
      </c>
      <c r="F40" s="1013">
        <f>tertiair!E20</f>
        <v>87.459296457145584</v>
      </c>
      <c r="G40" s="1013">
        <f ca="1">tertiair!F20</f>
        <v>1058.3801225049381</v>
      </c>
      <c r="H40" s="1013">
        <f>tertiair!G20</f>
        <v>0</v>
      </c>
      <c r="I40" s="1013">
        <f>tertiair!H20</f>
        <v>0</v>
      </c>
      <c r="J40" s="1013">
        <f>tertiair!I20</f>
        <v>0</v>
      </c>
      <c r="K40" s="1013">
        <f>tertiair!J20</f>
        <v>2.1993204498368633E-2</v>
      </c>
      <c r="L40" s="1013">
        <f>tertiair!K20</f>
        <v>0</v>
      </c>
      <c r="M40" s="1013">
        <f ca="1">tertiair!L20</f>
        <v>0</v>
      </c>
      <c r="N40" s="1013">
        <f>tertiair!M20</f>
        <v>0</v>
      </c>
      <c r="O40" s="1013">
        <f ca="1">tertiair!N20</f>
        <v>0</v>
      </c>
      <c r="P40" s="1013">
        <f>tertiair!O20</f>
        <v>0</v>
      </c>
      <c r="Q40" s="774">
        <f>tertiair!P20</f>
        <v>0</v>
      </c>
      <c r="R40" s="850">
        <f t="shared" ca="1" si="4"/>
        <v>10546.953949366614</v>
      </c>
    </row>
    <row r="41" spans="1:18">
      <c r="A41" s="822" t="s">
        <v>225</v>
      </c>
      <c r="B41" s="829"/>
      <c r="C41" s="1013">
        <f ca="1">huishoudens!B12</f>
        <v>6529.0291840473328</v>
      </c>
      <c r="D41" s="1013">
        <f ca="1">huishoudens!C12</f>
        <v>0</v>
      </c>
      <c r="E41" s="1013">
        <f>huishoudens!D12</f>
        <v>18325.051062877119</v>
      </c>
      <c r="F41" s="1013">
        <f>huishoudens!E12</f>
        <v>2715.4909367469172</v>
      </c>
      <c r="G41" s="1013">
        <f>huishoudens!F12</f>
        <v>4190.158989673625</v>
      </c>
      <c r="H41" s="1013">
        <f>huishoudens!G12</f>
        <v>0</v>
      </c>
      <c r="I41" s="1013">
        <f>huishoudens!H12</f>
        <v>0</v>
      </c>
      <c r="J41" s="1013">
        <f>huishoudens!I12</f>
        <v>0</v>
      </c>
      <c r="K41" s="1013">
        <f>huishoudens!J12</f>
        <v>1158.3440532761272</v>
      </c>
      <c r="L41" s="1013">
        <f>huishoudens!K12</f>
        <v>0</v>
      </c>
      <c r="M41" s="1013">
        <f>huishoudens!L12</f>
        <v>0</v>
      </c>
      <c r="N41" s="1013">
        <f>huishoudens!M12</f>
        <v>0</v>
      </c>
      <c r="O41" s="1013">
        <f>huishoudens!N12</f>
        <v>0</v>
      </c>
      <c r="P41" s="1013">
        <f>huishoudens!O12</f>
        <v>0</v>
      </c>
      <c r="Q41" s="774">
        <f>huishoudens!P12</f>
        <v>0</v>
      </c>
      <c r="R41" s="850">
        <f t="shared" ca="1" si="4"/>
        <v>32918.074226621124</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5960.2822495781802</v>
      </c>
      <c r="D43" s="1013">
        <f ca="1">industrie!C22</f>
        <v>0</v>
      </c>
      <c r="E43" s="1013">
        <f>industrie!D22</f>
        <v>3398.2981518609363</v>
      </c>
      <c r="F43" s="1013">
        <f>industrie!E22</f>
        <v>722.4138671796054</v>
      </c>
      <c r="G43" s="1013">
        <f>industrie!F22</f>
        <v>2789.6795366921588</v>
      </c>
      <c r="H43" s="1013">
        <f>industrie!G22</f>
        <v>0</v>
      </c>
      <c r="I43" s="1013">
        <f>industrie!H22</f>
        <v>0</v>
      </c>
      <c r="J43" s="1013">
        <f>industrie!I22</f>
        <v>0</v>
      </c>
      <c r="K43" s="1013">
        <f>industrie!J22</f>
        <v>40.985285781120261</v>
      </c>
      <c r="L43" s="1013">
        <f>industrie!K22</f>
        <v>0</v>
      </c>
      <c r="M43" s="1013">
        <f>industrie!L22</f>
        <v>0</v>
      </c>
      <c r="N43" s="1013">
        <f>industrie!M22</f>
        <v>0</v>
      </c>
      <c r="O43" s="1013">
        <f>industrie!N22</f>
        <v>0</v>
      </c>
      <c r="P43" s="1013">
        <f>industrie!O22</f>
        <v>0</v>
      </c>
      <c r="Q43" s="774">
        <f>industrie!P22</f>
        <v>0</v>
      </c>
      <c r="R43" s="849">
        <f t="shared" ca="1" si="4"/>
        <v>12911.659091091999</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16080.451659676972</v>
      </c>
      <c r="D46" s="732">
        <f t="shared" ref="D46:Q46" ca="1" si="5">SUM(D39:D45)</f>
        <v>0</v>
      </c>
      <c r="E46" s="732">
        <f t="shared" ca="1" si="5"/>
        <v>27533.301525886629</v>
      </c>
      <c r="F46" s="732">
        <f t="shared" si="5"/>
        <v>3525.3641003836683</v>
      </c>
      <c r="G46" s="732">
        <f t="shared" ca="1" si="5"/>
        <v>8038.2186488707221</v>
      </c>
      <c r="H46" s="732">
        <f t="shared" si="5"/>
        <v>0</v>
      </c>
      <c r="I46" s="732">
        <f t="shared" si="5"/>
        <v>0</v>
      </c>
      <c r="J46" s="732">
        <f t="shared" si="5"/>
        <v>0</v>
      </c>
      <c r="K46" s="732">
        <f t="shared" si="5"/>
        <v>1199.3513322617457</v>
      </c>
      <c r="L46" s="732">
        <f t="shared" si="5"/>
        <v>0</v>
      </c>
      <c r="M46" s="732">
        <f t="shared" ca="1" si="5"/>
        <v>0</v>
      </c>
      <c r="N46" s="732">
        <f t="shared" si="5"/>
        <v>0</v>
      </c>
      <c r="O46" s="732">
        <f t="shared" ca="1" si="5"/>
        <v>0</v>
      </c>
      <c r="P46" s="732">
        <f t="shared" si="5"/>
        <v>0</v>
      </c>
      <c r="Q46" s="732">
        <f t="shared" si="5"/>
        <v>0</v>
      </c>
      <c r="R46" s="732">
        <f ca="1">SUM(R39:R45)</f>
        <v>56376.687267079738</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376.73448343252375</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376.73448343252375</v>
      </c>
    </row>
    <row r="50" spans="1:18">
      <c r="A50" s="825" t="s">
        <v>307</v>
      </c>
      <c r="B50" s="835"/>
      <c r="C50" s="703">
        <f ca="1">transport!B18</f>
        <v>14.107335781161932</v>
      </c>
      <c r="D50" s="703">
        <f>transport!C18</f>
        <v>0</v>
      </c>
      <c r="E50" s="703">
        <f>transport!D18</f>
        <v>65.108104415665863</v>
      </c>
      <c r="F50" s="703">
        <f>transport!E18</f>
        <v>98.858521549566362</v>
      </c>
      <c r="G50" s="703">
        <f>transport!F18</f>
        <v>0</v>
      </c>
      <c r="H50" s="703">
        <f>transport!G18</f>
        <v>46903.724638653228</v>
      </c>
      <c r="I50" s="703">
        <f>transport!H18</f>
        <v>9073.3143391978465</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56155.112939597464</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14.107335781161932</v>
      </c>
      <c r="D52" s="732">
        <f t="shared" ref="D52:Q52" ca="1" si="6">SUM(D48:D51)</f>
        <v>0</v>
      </c>
      <c r="E52" s="732">
        <f t="shared" si="6"/>
        <v>65.108104415665863</v>
      </c>
      <c r="F52" s="732">
        <f t="shared" si="6"/>
        <v>98.858521549566362</v>
      </c>
      <c r="G52" s="732">
        <f t="shared" si="6"/>
        <v>0</v>
      </c>
      <c r="H52" s="732">
        <f t="shared" si="6"/>
        <v>47280.459122085755</v>
      </c>
      <c r="I52" s="732">
        <f t="shared" si="6"/>
        <v>9073.3143391978465</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56531.847423029991</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780.5035564816618</v>
      </c>
      <c r="D54" s="703">
        <f ca="1">+landbouw!C12</f>
        <v>0</v>
      </c>
      <c r="E54" s="703">
        <f>+landbouw!D12</f>
        <v>55.9564483155307</v>
      </c>
      <c r="F54" s="703">
        <f>+landbouw!E12</f>
        <v>34.371622237163628</v>
      </c>
      <c r="G54" s="703">
        <f>+landbouw!F12</f>
        <v>5729.9963958172239</v>
      </c>
      <c r="H54" s="703">
        <f>+landbouw!G12</f>
        <v>0</v>
      </c>
      <c r="I54" s="703">
        <f>+landbouw!H12</f>
        <v>0</v>
      </c>
      <c r="J54" s="703">
        <f>+landbouw!I12</f>
        <v>0</v>
      </c>
      <c r="K54" s="703">
        <f>+landbouw!J12</f>
        <v>264.20238404502248</v>
      </c>
      <c r="L54" s="703">
        <f>+landbouw!K12</f>
        <v>0</v>
      </c>
      <c r="M54" s="703">
        <f>+landbouw!L12</f>
        <v>0</v>
      </c>
      <c r="N54" s="703">
        <f>+landbouw!M12</f>
        <v>0</v>
      </c>
      <c r="O54" s="703">
        <f>+landbouw!N12</f>
        <v>0</v>
      </c>
      <c r="P54" s="703">
        <f>+landbouw!O12</f>
        <v>0</v>
      </c>
      <c r="Q54" s="704">
        <f>+landbouw!P12</f>
        <v>0</v>
      </c>
      <c r="R54" s="731">
        <f ca="1">SUM(C54:Q54)</f>
        <v>6865.0304068966025</v>
      </c>
    </row>
    <row r="55" spans="1:18" ht="15" thickBot="1">
      <c r="A55" s="825" t="s">
        <v>836</v>
      </c>
      <c r="B55" s="835"/>
      <c r="C55" s="703">
        <f ca="1">C25*'EF ele_warmte'!B12</f>
        <v>311.04768969026202</v>
      </c>
      <c r="D55" s="703"/>
      <c r="E55" s="703">
        <f>E25*EF_CO2_aardgas</f>
        <v>513.01531072138903</v>
      </c>
      <c r="F55" s="703"/>
      <c r="G55" s="703"/>
      <c r="H55" s="703"/>
      <c r="I55" s="703"/>
      <c r="J55" s="703"/>
      <c r="K55" s="703"/>
      <c r="L55" s="703"/>
      <c r="M55" s="703"/>
      <c r="N55" s="703"/>
      <c r="O55" s="703"/>
      <c r="P55" s="703"/>
      <c r="Q55" s="704"/>
      <c r="R55" s="731">
        <f ca="1">SUM(C55:Q55)</f>
        <v>824.06300041165105</v>
      </c>
    </row>
    <row r="56" spans="1:18" ht="15.75" thickBot="1">
      <c r="A56" s="823" t="s">
        <v>837</v>
      </c>
      <c r="B56" s="836"/>
      <c r="C56" s="732">
        <f ca="1">SUM(C54:C55)</f>
        <v>1091.5512461719238</v>
      </c>
      <c r="D56" s="732">
        <f t="shared" ref="D56:Q56" ca="1" si="7">SUM(D54:D55)</f>
        <v>0</v>
      </c>
      <c r="E56" s="732">
        <f t="shared" si="7"/>
        <v>568.97175903691971</v>
      </c>
      <c r="F56" s="732">
        <f t="shared" si="7"/>
        <v>34.371622237163628</v>
      </c>
      <c r="G56" s="732">
        <f t="shared" si="7"/>
        <v>5729.9963958172239</v>
      </c>
      <c r="H56" s="732">
        <f t="shared" si="7"/>
        <v>0</v>
      </c>
      <c r="I56" s="732">
        <f t="shared" si="7"/>
        <v>0</v>
      </c>
      <c r="J56" s="732">
        <f t="shared" si="7"/>
        <v>0</v>
      </c>
      <c r="K56" s="732">
        <f t="shared" si="7"/>
        <v>264.20238404502248</v>
      </c>
      <c r="L56" s="732">
        <f t="shared" si="7"/>
        <v>0</v>
      </c>
      <c r="M56" s="732">
        <f t="shared" si="7"/>
        <v>0</v>
      </c>
      <c r="N56" s="732">
        <f t="shared" si="7"/>
        <v>0</v>
      </c>
      <c r="O56" s="732">
        <f t="shared" si="7"/>
        <v>0</v>
      </c>
      <c r="P56" s="732">
        <f t="shared" si="7"/>
        <v>0</v>
      </c>
      <c r="Q56" s="733">
        <f t="shared" si="7"/>
        <v>0</v>
      </c>
      <c r="R56" s="734">
        <f ca="1">SUM(R54:R55)</f>
        <v>7689.0934073082535</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17186.110241630056</v>
      </c>
      <c r="D61" s="740">
        <f t="shared" ref="D61:Q61" ca="1" si="8">D46+D52+D56</f>
        <v>0</v>
      </c>
      <c r="E61" s="740">
        <f t="shared" ca="1" si="8"/>
        <v>28167.381389339214</v>
      </c>
      <c r="F61" s="740">
        <f t="shared" si="8"/>
        <v>3658.5942441703983</v>
      </c>
      <c r="G61" s="740">
        <f t="shared" ca="1" si="8"/>
        <v>13768.215044687946</v>
      </c>
      <c r="H61" s="740">
        <f t="shared" si="8"/>
        <v>47280.459122085755</v>
      </c>
      <c r="I61" s="740">
        <f t="shared" si="8"/>
        <v>9073.3143391978465</v>
      </c>
      <c r="J61" s="740">
        <f t="shared" si="8"/>
        <v>0</v>
      </c>
      <c r="K61" s="740">
        <f t="shared" si="8"/>
        <v>1463.5537163067681</v>
      </c>
      <c r="L61" s="740">
        <f t="shared" si="8"/>
        <v>0</v>
      </c>
      <c r="M61" s="740">
        <f t="shared" ca="1" si="8"/>
        <v>0</v>
      </c>
      <c r="N61" s="740">
        <f t="shared" si="8"/>
        <v>0</v>
      </c>
      <c r="O61" s="740">
        <f t="shared" ca="1" si="8"/>
        <v>0</v>
      </c>
      <c r="P61" s="740">
        <f t="shared" si="8"/>
        <v>0</v>
      </c>
      <c r="Q61" s="740">
        <f t="shared" si="8"/>
        <v>0</v>
      </c>
      <c r="R61" s="740">
        <f ca="1">R46+R52+R56</f>
        <v>120597.62809741797</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0.15151144188180368</v>
      </c>
      <c r="D63" s="781">
        <f t="shared" ca="1" si="9"/>
        <v>0</v>
      </c>
      <c r="E63" s="1024">
        <f t="shared" ca="1" si="9"/>
        <v>0.20200000000000004</v>
      </c>
      <c r="F63" s="781">
        <f t="shared" si="9"/>
        <v>0.22700000000000001</v>
      </c>
      <c r="G63" s="781">
        <f t="shared" ca="1" si="9"/>
        <v>0.26700000000000002</v>
      </c>
      <c r="H63" s="781">
        <f t="shared" si="9"/>
        <v>0.26700000000000007</v>
      </c>
      <c r="I63" s="781">
        <f t="shared" si="9"/>
        <v>0.24900000000000003</v>
      </c>
      <c r="J63" s="781">
        <f t="shared" si="9"/>
        <v>0</v>
      </c>
      <c r="K63" s="781">
        <f t="shared" si="9"/>
        <v>0.35400000000000004</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27731.414816599579</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7890.835264440193</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43.649999999999991</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51.35294117647058</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35665.900081039777</v>
      </c>
      <c r="C78" s="755">
        <f>SUM(C72:C77)</f>
        <v>0</v>
      </c>
      <c r="D78" s="756">
        <f t="shared" ref="D78:H78" si="10">SUM(D76:D77)</f>
        <v>0</v>
      </c>
      <c r="E78" s="756">
        <f t="shared" si="10"/>
        <v>0</v>
      </c>
      <c r="F78" s="756">
        <f t="shared" si="10"/>
        <v>0</v>
      </c>
      <c r="G78" s="756">
        <f t="shared" si="10"/>
        <v>0</v>
      </c>
      <c r="H78" s="756">
        <f t="shared" si="10"/>
        <v>0</v>
      </c>
      <c r="I78" s="756">
        <f>SUM(I76:I77)</f>
        <v>0</v>
      </c>
      <c r="J78" s="756">
        <f>SUM(J76:J77)</f>
        <v>51.35294117647058</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62.357142857142847</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73.361344537815114</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62.357142857142847</v>
      </c>
      <c r="C90" s="755">
        <f>SUM(C87:C89)</f>
        <v>0</v>
      </c>
      <c r="D90" s="755">
        <f t="shared" ref="D90:H90" si="12">SUM(D87:D89)</f>
        <v>0</v>
      </c>
      <c r="E90" s="755">
        <f t="shared" si="12"/>
        <v>0</v>
      </c>
      <c r="F90" s="755">
        <f t="shared" si="12"/>
        <v>0</v>
      </c>
      <c r="G90" s="755">
        <f t="shared" si="12"/>
        <v>0</v>
      </c>
      <c r="H90" s="755">
        <f t="shared" si="12"/>
        <v>0</v>
      </c>
      <c r="I90" s="755">
        <f>SUM(I87:I89)</f>
        <v>0</v>
      </c>
      <c r="J90" s="755">
        <f>SUM(J87:J89)</f>
        <v>73.361344537815114</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43092.647677003341</v>
      </c>
      <c r="C4" s="477">
        <f>huishoudens!C8</f>
        <v>0</v>
      </c>
      <c r="D4" s="477">
        <f>huishoudens!D8</f>
        <v>90718.074568698605</v>
      </c>
      <c r="E4" s="477">
        <f>huishoudens!E8</f>
        <v>11962.51513985426</v>
      </c>
      <c r="F4" s="477">
        <f>huishoudens!F8</f>
        <v>15693.479362073502</v>
      </c>
      <c r="G4" s="477">
        <f>huishoudens!G8</f>
        <v>0</v>
      </c>
      <c r="H4" s="477">
        <f>huishoudens!H8</f>
        <v>0</v>
      </c>
      <c r="I4" s="477">
        <f>huishoudens!I8</f>
        <v>0</v>
      </c>
      <c r="J4" s="477">
        <f>huishoudens!J8</f>
        <v>3272.1583425879298</v>
      </c>
      <c r="K4" s="477">
        <f>huishoudens!K8</f>
        <v>0</v>
      </c>
      <c r="L4" s="477">
        <f>huishoudens!L8</f>
        <v>0</v>
      </c>
      <c r="M4" s="477">
        <f>huishoudens!M8</f>
        <v>0</v>
      </c>
      <c r="N4" s="477">
        <f>huishoudens!N8</f>
        <v>37482.300916577813</v>
      </c>
      <c r="O4" s="477">
        <f>huishoudens!O8</f>
        <v>544.04000000000008</v>
      </c>
      <c r="P4" s="478">
        <f>huishoudens!P8</f>
        <v>1849.4666666666667</v>
      </c>
      <c r="Q4" s="479">
        <f>SUM(B4:P4)</f>
        <v>204614.68267346211</v>
      </c>
    </row>
    <row r="5" spans="1:17">
      <c r="A5" s="476" t="s">
        <v>156</v>
      </c>
      <c r="B5" s="477">
        <f ca="1">tertiair!B16</f>
        <v>22159.119804345526</v>
      </c>
      <c r="C5" s="477">
        <f ca="1">tertiair!C16</f>
        <v>0</v>
      </c>
      <c r="D5" s="477">
        <f ca="1">tertiair!D16</f>
        <v>28762.140154200861</v>
      </c>
      <c r="E5" s="477">
        <f>tertiair!E16</f>
        <v>385.28324430460606</v>
      </c>
      <c r="F5" s="477">
        <f ca="1">tertiair!F16</f>
        <v>3963.9704962731757</v>
      </c>
      <c r="G5" s="477">
        <f>tertiair!G16</f>
        <v>0</v>
      </c>
      <c r="H5" s="477">
        <f>tertiair!H16</f>
        <v>0</v>
      </c>
      <c r="I5" s="477">
        <f>tertiair!I16</f>
        <v>0</v>
      </c>
      <c r="J5" s="477">
        <f>tertiair!J16</f>
        <v>6.2127696323075243E-2</v>
      </c>
      <c r="K5" s="477">
        <f>tertiair!K16</f>
        <v>0</v>
      </c>
      <c r="L5" s="477">
        <f ca="1">tertiair!L16</f>
        <v>0</v>
      </c>
      <c r="M5" s="477">
        <f>tertiair!M16</f>
        <v>0</v>
      </c>
      <c r="N5" s="477">
        <f ca="1">tertiair!N16</f>
        <v>2482.258523896578</v>
      </c>
      <c r="O5" s="477">
        <f>tertiair!O16</f>
        <v>14.070000000000002</v>
      </c>
      <c r="P5" s="478">
        <f>tertiair!P16</f>
        <v>95.333333333333343</v>
      </c>
      <c r="Q5" s="476">
        <f t="shared" ref="Q5:Q14" ca="1" si="0">SUM(B5:P5)</f>
        <v>57862.237684050408</v>
      </c>
    </row>
    <row r="6" spans="1:17">
      <c r="A6" s="476" t="s">
        <v>194</v>
      </c>
      <c r="B6" s="477">
        <f>'openbare verlichting'!B8</f>
        <v>1542.9860000000001</v>
      </c>
      <c r="C6" s="477"/>
      <c r="D6" s="477"/>
      <c r="E6" s="477"/>
      <c r="F6" s="477"/>
      <c r="G6" s="477"/>
      <c r="H6" s="477"/>
      <c r="I6" s="477"/>
      <c r="J6" s="477"/>
      <c r="K6" s="477"/>
      <c r="L6" s="477"/>
      <c r="M6" s="477"/>
      <c r="N6" s="477"/>
      <c r="O6" s="477"/>
      <c r="P6" s="478"/>
      <c r="Q6" s="476">
        <f t="shared" si="0"/>
        <v>1542.9860000000001</v>
      </c>
    </row>
    <row r="7" spans="1:17">
      <c r="A7" s="476" t="s">
        <v>112</v>
      </c>
      <c r="B7" s="477">
        <f>landbouw!B8</f>
        <v>5151.449598707828</v>
      </c>
      <c r="C7" s="477">
        <f>landbouw!C8</f>
        <v>62.357142857142847</v>
      </c>
      <c r="D7" s="477">
        <f>landbouw!D8</f>
        <v>277.01212037391434</v>
      </c>
      <c r="E7" s="477">
        <f>landbouw!E8</f>
        <v>151.41683804917898</v>
      </c>
      <c r="F7" s="477">
        <f>landbouw!F8</f>
        <v>21460.660658491473</v>
      </c>
      <c r="G7" s="477">
        <f>landbouw!G8</f>
        <v>0</v>
      </c>
      <c r="H7" s="477">
        <f>landbouw!H8</f>
        <v>0</v>
      </c>
      <c r="I7" s="477">
        <f>landbouw!I8</f>
        <v>0</v>
      </c>
      <c r="J7" s="477">
        <f>landbouw!J8</f>
        <v>746.33441820627831</v>
      </c>
      <c r="K7" s="477">
        <f>landbouw!K8</f>
        <v>0</v>
      </c>
      <c r="L7" s="477">
        <f>landbouw!L8</f>
        <v>0</v>
      </c>
      <c r="M7" s="477">
        <f>landbouw!M8</f>
        <v>0</v>
      </c>
      <c r="N7" s="477">
        <f>landbouw!N8</f>
        <v>0</v>
      </c>
      <c r="O7" s="477">
        <f>landbouw!O8</f>
        <v>0</v>
      </c>
      <c r="P7" s="478">
        <f>landbouw!P8</f>
        <v>0</v>
      </c>
      <c r="Q7" s="476">
        <f t="shared" si="0"/>
        <v>27849.230776685818</v>
      </c>
    </row>
    <row r="8" spans="1:17">
      <c r="A8" s="476" t="s">
        <v>635</v>
      </c>
      <c r="B8" s="477">
        <f>industrie!B18</f>
        <v>39338.826002513299</v>
      </c>
      <c r="C8" s="477">
        <f>industrie!C18</f>
        <v>0</v>
      </c>
      <c r="D8" s="477">
        <f>industrie!D18</f>
        <v>16823.258177529387</v>
      </c>
      <c r="E8" s="477">
        <f>industrie!E18</f>
        <v>3182.4399435224905</v>
      </c>
      <c r="F8" s="477">
        <f>industrie!F18</f>
        <v>10448.237965139171</v>
      </c>
      <c r="G8" s="477">
        <f>industrie!G18</f>
        <v>0</v>
      </c>
      <c r="H8" s="477">
        <f>industrie!H18</f>
        <v>0</v>
      </c>
      <c r="I8" s="477">
        <f>industrie!I18</f>
        <v>0</v>
      </c>
      <c r="J8" s="477">
        <f>industrie!J18</f>
        <v>115.77764344949226</v>
      </c>
      <c r="K8" s="477">
        <f>industrie!K18</f>
        <v>0</v>
      </c>
      <c r="L8" s="477">
        <f>industrie!L18</f>
        <v>0</v>
      </c>
      <c r="M8" s="477">
        <f>industrie!M18</f>
        <v>0</v>
      </c>
      <c r="N8" s="477">
        <f>industrie!N18</f>
        <v>8950.6101627107528</v>
      </c>
      <c r="O8" s="477">
        <f>industrie!O18</f>
        <v>0</v>
      </c>
      <c r="P8" s="478">
        <f>industrie!P18</f>
        <v>0</v>
      </c>
      <c r="Q8" s="476">
        <f t="shared" si="0"/>
        <v>78859.149894864589</v>
      </c>
    </row>
    <row r="9" spans="1:17" s="482" customFormat="1">
      <c r="A9" s="480" t="s">
        <v>561</v>
      </c>
      <c r="B9" s="481">
        <f>transport!B14</f>
        <v>93.110695838848102</v>
      </c>
      <c r="C9" s="481">
        <f>transport!C14</f>
        <v>0</v>
      </c>
      <c r="D9" s="481">
        <f>transport!D14</f>
        <v>322.31734859240521</v>
      </c>
      <c r="E9" s="481">
        <f>transport!E14</f>
        <v>435.50009493201037</v>
      </c>
      <c r="F9" s="481">
        <f>transport!F14</f>
        <v>0</v>
      </c>
      <c r="G9" s="481">
        <f>transport!G14</f>
        <v>175669.38066911319</v>
      </c>
      <c r="H9" s="481">
        <f>transport!H14</f>
        <v>36439.013410433115</v>
      </c>
      <c r="I9" s="481">
        <f>transport!I14</f>
        <v>0</v>
      </c>
      <c r="J9" s="481">
        <f>transport!J14</f>
        <v>0</v>
      </c>
      <c r="K9" s="481">
        <f>transport!K14</f>
        <v>0</v>
      </c>
      <c r="L9" s="481">
        <f>transport!L14</f>
        <v>0</v>
      </c>
      <c r="M9" s="481">
        <f>transport!M14</f>
        <v>11338.537130074272</v>
      </c>
      <c r="N9" s="481">
        <f>transport!N14</f>
        <v>0</v>
      </c>
      <c r="O9" s="481">
        <f>transport!O14</f>
        <v>0</v>
      </c>
      <c r="P9" s="481">
        <f>transport!P14</f>
        <v>0</v>
      </c>
      <c r="Q9" s="480">
        <f>SUM(B9:P9)</f>
        <v>224297.85934898385</v>
      </c>
    </row>
    <row r="10" spans="1:17">
      <c r="A10" s="476" t="s">
        <v>551</v>
      </c>
      <c r="B10" s="477">
        <f>transport!B54</f>
        <v>0</v>
      </c>
      <c r="C10" s="477">
        <f>transport!C54</f>
        <v>0</v>
      </c>
      <c r="D10" s="477">
        <f>transport!D54</f>
        <v>0</v>
      </c>
      <c r="E10" s="477">
        <f>transport!E54</f>
        <v>0</v>
      </c>
      <c r="F10" s="477">
        <f>transport!F54</f>
        <v>0</v>
      </c>
      <c r="G10" s="477">
        <f>transport!G54</f>
        <v>1410.9905746536469</v>
      </c>
      <c r="H10" s="477">
        <f>transport!H54</f>
        <v>0</v>
      </c>
      <c r="I10" s="477">
        <f>transport!I54</f>
        <v>0</v>
      </c>
      <c r="J10" s="477">
        <f>transport!J54</f>
        <v>0</v>
      </c>
      <c r="K10" s="477">
        <f>transport!K54</f>
        <v>0</v>
      </c>
      <c r="L10" s="477">
        <f>transport!L54</f>
        <v>0</v>
      </c>
      <c r="M10" s="477">
        <f>transport!M54</f>
        <v>80.138035714657434</v>
      </c>
      <c r="N10" s="477">
        <f>transport!N54</f>
        <v>0</v>
      </c>
      <c r="O10" s="477">
        <f>transport!O54</f>
        <v>0</v>
      </c>
      <c r="P10" s="478">
        <f>transport!P54</f>
        <v>0</v>
      </c>
      <c r="Q10" s="476">
        <f t="shared" si="0"/>
        <v>1491.1286103683044</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2052.96501588913</v>
      </c>
      <c r="C14" s="484"/>
      <c r="D14" s="484">
        <f>'SEAP template'!E25</f>
        <v>2539.6797560464802</v>
      </c>
      <c r="E14" s="484"/>
      <c r="F14" s="484"/>
      <c r="G14" s="484"/>
      <c r="H14" s="484"/>
      <c r="I14" s="484"/>
      <c r="J14" s="484"/>
      <c r="K14" s="484"/>
      <c r="L14" s="484"/>
      <c r="M14" s="484"/>
      <c r="N14" s="484"/>
      <c r="O14" s="484"/>
      <c r="P14" s="485"/>
      <c r="Q14" s="476">
        <f t="shared" si="0"/>
        <v>4592.6447719356102</v>
      </c>
    </row>
    <row r="15" spans="1:17" s="486" customFormat="1">
      <c r="A15" s="1039" t="s">
        <v>555</v>
      </c>
      <c r="B15" s="987">
        <f ca="1">SUM(B4:B14)</f>
        <v>113431.10479429796</v>
      </c>
      <c r="C15" s="987">
        <f t="shared" ref="C15:Q15" ca="1" si="1">SUM(C4:C14)</f>
        <v>62.357142857142847</v>
      </c>
      <c r="D15" s="987">
        <f t="shared" ca="1" si="1"/>
        <v>139442.48212544163</v>
      </c>
      <c r="E15" s="987">
        <f t="shared" si="1"/>
        <v>16117.155260662546</v>
      </c>
      <c r="F15" s="987">
        <f t="shared" ca="1" si="1"/>
        <v>51566.348481977315</v>
      </c>
      <c r="G15" s="987">
        <f t="shared" si="1"/>
        <v>177080.37124376683</v>
      </c>
      <c r="H15" s="987">
        <f t="shared" si="1"/>
        <v>36439.013410433115</v>
      </c>
      <c r="I15" s="987">
        <f t="shared" si="1"/>
        <v>0</v>
      </c>
      <c r="J15" s="987">
        <f t="shared" si="1"/>
        <v>4134.3325319400237</v>
      </c>
      <c r="K15" s="987">
        <f t="shared" si="1"/>
        <v>0</v>
      </c>
      <c r="L15" s="987">
        <f t="shared" ca="1" si="1"/>
        <v>0</v>
      </c>
      <c r="M15" s="987">
        <f t="shared" si="1"/>
        <v>11418.675165788929</v>
      </c>
      <c r="N15" s="987">
        <f t="shared" ca="1" si="1"/>
        <v>48915.169603185146</v>
      </c>
      <c r="O15" s="987">
        <f t="shared" si="1"/>
        <v>558.11000000000013</v>
      </c>
      <c r="P15" s="987">
        <f t="shared" si="1"/>
        <v>1944.8</v>
      </c>
      <c r="Q15" s="987">
        <f t="shared" ca="1" si="1"/>
        <v>601109.91976035084</v>
      </c>
    </row>
    <row r="17" spans="1:17">
      <c r="A17" s="487" t="s">
        <v>556</v>
      </c>
      <c r="B17" s="786">
        <f ca="1">huishoudens!B10</f>
        <v>0.15151144188180365</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6529.0291840473328</v>
      </c>
      <c r="C22" s="477">
        <f t="shared" ref="C22:C32" ca="1" si="3">C4*$C$17</f>
        <v>0</v>
      </c>
      <c r="D22" s="477">
        <f t="shared" ref="D22:D32" si="4">D4*$D$17</f>
        <v>18325.051062877119</v>
      </c>
      <c r="E22" s="477">
        <f t="shared" ref="E22:E32" si="5">E4*$E$17</f>
        <v>2715.4909367469172</v>
      </c>
      <c r="F22" s="477">
        <f t="shared" ref="F22:F32" si="6">F4*$F$17</f>
        <v>4190.158989673625</v>
      </c>
      <c r="G22" s="477">
        <f t="shared" ref="G22:G32" si="7">G4*$G$17</f>
        <v>0</v>
      </c>
      <c r="H22" s="477">
        <f t="shared" ref="H22:H32" si="8">H4*$H$17</f>
        <v>0</v>
      </c>
      <c r="I22" s="477">
        <f t="shared" ref="I22:I32" si="9">I4*$I$17</f>
        <v>0</v>
      </c>
      <c r="J22" s="477">
        <f t="shared" ref="J22:J32" si="10">J4*$J$17</f>
        <v>1158.3440532761272</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32918.074226621124</v>
      </c>
    </row>
    <row r="23" spans="1:17">
      <c r="A23" s="476" t="s">
        <v>156</v>
      </c>
      <c r="B23" s="477">
        <f t="shared" ca="1" si="2"/>
        <v>3357.3601923880215</v>
      </c>
      <c r="C23" s="477">
        <f t="shared" ca="1" si="3"/>
        <v>0</v>
      </c>
      <c r="D23" s="477">
        <f t="shared" ca="1" si="4"/>
        <v>5809.9523111485742</v>
      </c>
      <c r="E23" s="477">
        <f t="shared" si="5"/>
        <v>87.459296457145584</v>
      </c>
      <c r="F23" s="477">
        <f t="shared" ca="1" si="6"/>
        <v>1058.3801225049381</v>
      </c>
      <c r="G23" s="477">
        <f t="shared" si="7"/>
        <v>0</v>
      </c>
      <c r="H23" s="477">
        <f t="shared" si="8"/>
        <v>0</v>
      </c>
      <c r="I23" s="477">
        <f t="shared" si="9"/>
        <v>0</v>
      </c>
      <c r="J23" s="477">
        <f t="shared" si="10"/>
        <v>2.1993204498368633E-2</v>
      </c>
      <c r="K23" s="477">
        <f t="shared" si="11"/>
        <v>0</v>
      </c>
      <c r="L23" s="477">
        <f t="shared" ca="1" si="12"/>
        <v>0</v>
      </c>
      <c r="M23" s="477">
        <f t="shared" si="13"/>
        <v>0</v>
      </c>
      <c r="N23" s="477">
        <f t="shared" ca="1" si="14"/>
        <v>0</v>
      </c>
      <c r="O23" s="477">
        <f t="shared" si="15"/>
        <v>0</v>
      </c>
      <c r="P23" s="478">
        <f t="shared" si="16"/>
        <v>0</v>
      </c>
      <c r="Q23" s="476">
        <f t="shared" ref="Q23:Q32" ca="1" si="17">SUM(B23:P23)</f>
        <v>10313.173915703177</v>
      </c>
    </row>
    <row r="24" spans="1:17">
      <c r="A24" s="476" t="s">
        <v>194</v>
      </c>
      <c r="B24" s="477">
        <f t="shared" ca="1" si="2"/>
        <v>233.78003366343671</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233.78003366343671</v>
      </c>
    </row>
    <row r="25" spans="1:17">
      <c r="A25" s="476" t="s">
        <v>112</v>
      </c>
      <c r="B25" s="477">
        <f t="shared" ca="1" si="2"/>
        <v>780.5035564816618</v>
      </c>
      <c r="C25" s="477">
        <f t="shared" ca="1" si="3"/>
        <v>0</v>
      </c>
      <c r="D25" s="477">
        <f t="shared" si="4"/>
        <v>55.9564483155307</v>
      </c>
      <c r="E25" s="477">
        <f t="shared" si="5"/>
        <v>34.371622237163628</v>
      </c>
      <c r="F25" s="477">
        <f t="shared" si="6"/>
        <v>5729.9963958172239</v>
      </c>
      <c r="G25" s="477">
        <f t="shared" si="7"/>
        <v>0</v>
      </c>
      <c r="H25" s="477">
        <f t="shared" si="8"/>
        <v>0</v>
      </c>
      <c r="I25" s="477">
        <f t="shared" si="9"/>
        <v>0</v>
      </c>
      <c r="J25" s="477">
        <f t="shared" si="10"/>
        <v>264.20238404502248</v>
      </c>
      <c r="K25" s="477">
        <f t="shared" si="11"/>
        <v>0</v>
      </c>
      <c r="L25" s="477">
        <f t="shared" si="12"/>
        <v>0</v>
      </c>
      <c r="M25" s="477">
        <f t="shared" si="13"/>
        <v>0</v>
      </c>
      <c r="N25" s="477">
        <f t="shared" si="14"/>
        <v>0</v>
      </c>
      <c r="O25" s="477">
        <f t="shared" si="15"/>
        <v>0</v>
      </c>
      <c r="P25" s="478">
        <f t="shared" si="16"/>
        <v>0</v>
      </c>
      <c r="Q25" s="476">
        <f t="shared" ca="1" si="17"/>
        <v>6865.0304068966025</v>
      </c>
    </row>
    <row r="26" spans="1:17">
      <c r="A26" s="476" t="s">
        <v>635</v>
      </c>
      <c r="B26" s="477">
        <f t="shared" ca="1" si="2"/>
        <v>5960.2822495781802</v>
      </c>
      <c r="C26" s="477">
        <f t="shared" ca="1" si="3"/>
        <v>0</v>
      </c>
      <c r="D26" s="477">
        <f t="shared" si="4"/>
        <v>3398.2981518609363</v>
      </c>
      <c r="E26" s="477">
        <f t="shared" si="5"/>
        <v>722.4138671796054</v>
      </c>
      <c r="F26" s="477">
        <f t="shared" si="6"/>
        <v>2789.6795366921588</v>
      </c>
      <c r="G26" s="477">
        <f t="shared" si="7"/>
        <v>0</v>
      </c>
      <c r="H26" s="477">
        <f t="shared" si="8"/>
        <v>0</v>
      </c>
      <c r="I26" s="477">
        <f t="shared" si="9"/>
        <v>0</v>
      </c>
      <c r="J26" s="477">
        <f t="shared" si="10"/>
        <v>40.985285781120261</v>
      </c>
      <c r="K26" s="477">
        <f t="shared" si="11"/>
        <v>0</v>
      </c>
      <c r="L26" s="477">
        <f t="shared" si="12"/>
        <v>0</v>
      </c>
      <c r="M26" s="477">
        <f t="shared" si="13"/>
        <v>0</v>
      </c>
      <c r="N26" s="477">
        <f t="shared" si="14"/>
        <v>0</v>
      </c>
      <c r="O26" s="477">
        <f t="shared" si="15"/>
        <v>0</v>
      </c>
      <c r="P26" s="478">
        <f t="shared" si="16"/>
        <v>0</v>
      </c>
      <c r="Q26" s="476">
        <f t="shared" ca="1" si="17"/>
        <v>12911.659091091999</v>
      </c>
    </row>
    <row r="27" spans="1:17" s="482" customFormat="1">
      <c r="A27" s="480" t="s">
        <v>561</v>
      </c>
      <c r="B27" s="780">
        <f t="shared" ca="1" si="2"/>
        <v>14.107335781161932</v>
      </c>
      <c r="C27" s="481">
        <f t="shared" ca="1" si="3"/>
        <v>0</v>
      </c>
      <c r="D27" s="481">
        <f t="shared" si="4"/>
        <v>65.108104415665863</v>
      </c>
      <c r="E27" s="481">
        <f t="shared" si="5"/>
        <v>98.858521549566362</v>
      </c>
      <c r="F27" s="481">
        <f t="shared" si="6"/>
        <v>0</v>
      </c>
      <c r="G27" s="481">
        <f t="shared" si="7"/>
        <v>46903.724638653228</v>
      </c>
      <c r="H27" s="481">
        <f t="shared" si="8"/>
        <v>9073.3143391978465</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56155.112939597464</v>
      </c>
    </row>
    <row r="28" spans="1:17">
      <c r="A28" s="476" t="s">
        <v>551</v>
      </c>
      <c r="B28" s="477">
        <f t="shared" ca="1" si="2"/>
        <v>0</v>
      </c>
      <c r="C28" s="477">
        <f t="shared" ca="1" si="3"/>
        <v>0</v>
      </c>
      <c r="D28" s="477">
        <f t="shared" si="4"/>
        <v>0</v>
      </c>
      <c r="E28" s="477">
        <f t="shared" si="5"/>
        <v>0</v>
      </c>
      <c r="F28" s="477">
        <f t="shared" si="6"/>
        <v>0</v>
      </c>
      <c r="G28" s="477">
        <f t="shared" si="7"/>
        <v>376.73448343252375</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376.73448343252375</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311.04768969026202</v>
      </c>
      <c r="C32" s="477">
        <f t="shared" ca="1" si="3"/>
        <v>0</v>
      </c>
      <c r="D32" s="477">
        <f t="shared" si="4"/>
        <v>513.01531072138903</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824.06300041165105</v>
      </c>
    </row>
    <row r="33" spans="1:17" s="486" customFormat="1">
      <c r="A33" s="1039" t="s">
        <v>555</v>
      </c>
      <c r="B33" s="987">
        <f ca="1">SUM(B22:B32)</f>
        <v>17186.110241630056</v>
      </c>
      <c r="C33" s="987">
        <f t="shared" ref="C33:Q33" ca="1" si="18">SUM(C22:C32)</f>
        <v>0</v>
      </c>
      <c r="D33" s="987">
        <f t="shared" ca="1" si="18"/>
        <v>28167.381389339214</v>
      </c>
      <c r="E33" s="987">
        <f t="shared" si="18"/>
        <v>3658.5942441703983</v>
      </c>
      <c r="F33" s="987">
        <f t="shared" ca="1" si="18"/>
        <v>13768.215044687946</v>
      </c>
      <c r="G33" s="987">
        <f t="shared" si="18"/>
        <v>47280.459122085755</v>
      </c>
      <c r="H33" s="987">
        <f t="shared" si="18"/>
        <v>9073.3143391978465</v>
      </c>
      <c r="I33" s="987">
        <f t="shared" si="18"/>
        <v>0</v>
      </c>
      <c r="J33" s="987">
        <f t="shared" si="18"/>
        <v>1463.5537163067681</v>
      </c>
      <c r="K33" s="987">
        <f t="shared" si="18"/>
        <v>0</v>
      </c>
      <c r="L33" s="987">
        <f t="shared" ca="1" si="18"/>
        <v>0</v>
      </c>
      <c r="M33" s="987">
        <f t="shared" si="18"/>
        <v>0</v>
      </c>
      <c r="N33" s="987">
        <f t="shared" ca="1" si="18"/>
        <v>0</v>
      </c>
      <c r="O33" s="987">
        <f t="shared" si="18"/>
        <v>0</v>
      </c>
      <c r="P33" s="987">
        <f t="shared" si="18"/>
        <v>0</v>
      </c>
      <c r="Q33" s="987">
        <f t="shared" ca="1" si="18"/>
        <v>120597.62809741798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27731.414816599579</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7890.835264440193</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43.649999999999991</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51.35294117647058</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35665.900081039777</v>
      </c>
      <c r="C10" s="1060">
        <f>SUM(C4:C9)</f>
        <v>0</v>
      </c>
      <c r="D10" s="1060">
        <f t="shared" ref="D10:H10" si="0">SUM(D8:D9)</f>
        <v>0</v>
      </c>
      <c r="E10" s="1060">
        <f t="shared" si="0"/>
        <v>0</v>
      </c>
      <c r="F10" s="1060">
        <f t="shared" si="0"/>
        <v>0</v>
      </c>
      <c r="G10" s="1060">
        <f t="shared" si="0"/>
        <v>0</v>
      </c>
      <c r="H10" s="1060">
        <f t="shared" si="0"/>
        <v>0</v>
      </c>
      <c r="I10" s="1060">
        <f>SUM(I8:I9)</f>
        <v>0</v>
      </c>
      <c r="J10" s="1060">
        <f>SUM(J8:J9)</f>
        <v>51.35294117647058</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0.15151144188180365</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62.357142857142847</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73.361344537815114</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62.357142857142847</v>
      </c>
      <c r="C20" s="1060">
        <f>SUM(C17:C19)</f>
        <v>0</v>
      </c>
      <c r="D20" s="1060">
        <f t="shared" ref="D20:H20" si="2">SUM(D17:D19)</f>
        <v>0</v>
      </c>
      <c r="E20" s="1060">
        <f t="shared" si="2"/>
        <v>0</v>
      </c>
      <c r="F20" s="1060">
        <f t="shared" si="2"/>
        <v>0</v>
      </c>
      <c r="G20" s="1060">
        <f t="shared" si="2"/>
        <v>0</v>
      </c>
      <c r="H20" s="1060">
        <f t="shared" si="2"/>
        <v>0</v>
      </c>
      <c r="I20" s="1060">
        <f>SUM(I17:I19)</f>
        <v>0</v>
      </c>
      <c r="J20" s="1060">
        <f>SUM(J17:J19)</f>
        <v>73.361344537815114</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0.15151144188180365</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0.15151144188180365</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0.15151144188180365</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43010</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9930</v>
      </c>
      <c r="C9" s="342">
        <v>10006</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6477.95999999999</v>
      </c>
    </row>
    <row r="15" spans="1:6">
      <c r="A15" s="348" t="s">
        <v>184</v>
      </c>
      <c r="B15" s="334">
        <v>381</v>
      </c>
    </row>
    <row r="16" spans="1:6">
      <c r="A16" s="348" t="s">
        <v>6</v>
      </c>
      <c r="B16" s="334">
        <v>4250</v>
      </c>
    </row>
    <row r="17" spans="1:6">
      <c r="A17" s="348" t="s">
        <v>7</v>
      </c>
      <c r="B17" s="334">
        <v>2199</v>
      </c>
    </row>
    <row r="18" spans="1:6">
      <c r="A18" s="348" t="s">
        <v>8</v>
      </c>
      <c r="B18" s="334">
        <v>4265</v>
      </c>
    </row>
    <row r="19" spans="1:6">
      <c r="A19" s="348" t="s">
        <v>9</v>
      </c>
      <c r="B19" s="334">
        <v>3896</v>
      </c>
    </row>
    <row r="20" spans="1:6">
      <c r="A20" s="348" t="s">
        <v>10</v>
      </c>
      <c r="B20" s="334">
        <v>2132</v>
      </c>
    </row>
    <row r="21" spans="1:6">
      <c r="A21" s="348" t="s">
        <v>11</v>
      </c>
      <c r="B21" s="334">
        <v>14666</v>
      </c>
    </row>
    <row r="22" spans="1:6">
      <c r="A22" s="348" t="s">
        <v>12</v>
      </c>
      <c r="B22" s="334">
        <v>28495</v>
      </c>
    </row>
    <row r="23" spans="1:6">
      <c r="A23" s="348" t="s">
        <v>13</v>
      </c>
      <c r="B23" s="334">
        <v>893</v>
      </c>
    </row>
    <row r="24" spans="1:6">
      <c r="A24" s="348" t="s">
        <v>14</v>
      </c>
      <c r="B24" s="334">
        <v>28</v>
      </c>
    </row>
    <row r="25" spans="1:6">
      <c r="A25" s="348" t="s">
        <v>15</v>
      </c>
      <c r="B25" s="334">
        <v>4075</v>
      </c>
    </row>
    <row r="26" spans="1:6">
      <c r="A26" s="348" t="s">
        <v>16</v>
      </c>
      <c r="B26" s="334">
        <v>604</v>
      </c>
    </row>
    <row r="27" spans="1:6">
      <c r="A27" s="348" t="s">
        <v>17</v>
      </c>
      <c r="B27" s="334">
        <v>608</v>
      </c>
    </row>
    <row r="28" spans="1:6" s="356" customFormat="1">
      <c r="A28" s="355" t="s">
        <v>18</v>
      </c>
      <c r="B28" s="355">
        <v>63644</v>
      </c>
    </row>
    <row r="29" spans="1:6">
      <c r="A29" s="355" t="s">
        <v>744</v>
      </c>
      <c r="B29" s="355">
        <v>496</v>
      </c>
      <c r="C29" s="356"/>
      <c r="D29" s="356"/>
      <c r="E29" s="356"/>
      <c r="F29" s="356"/>
    </row>
    <row r="30" spans="1:6">
      <c r="A30" s="341" t="s">
        <v>745</v>
      </c>
      <c r="B30" s="341">
        <v>218</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2</v>
      </c>
      <c r="D38" s="334">
        <v>4455665.6821765797</v>
      </c>
      <c r="E38" s="334">
        <v>11</v>
      </c>
      <c r="F38" s="334">
        <v>501044.26421724499</v>
      </c>
    </row>
    <row r="39" spans="1:6">
      <c r="A39" s="348" t="s">
        <v>30</v>
      </c>
      <c r="B39" s="348" t="s">
        <v>31</v>
      </c>
      <c r="C39" s="334">
        <v>6276</v>
      </c>
      <c r="D39" s="334">
        <v>100574362.049555</v>
      </c>
      <c r="E39" s="334">
        <v>9308</v>
      </c>
      <c r="F39" s="334">
        <v>38470859.877285101</v>
      </c>
    </row>
    <row r="40" spans="1:6">
      <c r="A40" s="348" t="s">
        <v>30</v>
      </c>
      <c r="B40" s="348" t="s">
        <v>29</v>
      </c>
      <c r="C40" s="334">
        <v>0</v>
      </c>
      <c r="D40" s="334">
        <v>0</v>
      </c>
      <c r="E40" s="334">
        <v>0</v>
      </c>
      <c r="F40" s="334">
        <v>0</v>
      </c>
    </row>
    <row r="41" spans="1:6">
      <c r="A41" s="348" t="s">
        <v>32</v>
      </c>
      <c r="B41" s="348" t="s">
        <v>33</v>
      </c>
      <c r="C41" s="334">
        <v>141</v>
      </c>
      <c r="D41" s="334">
        <v>4915873.27751718</v>
      </c>
      <c r="E41" s="334">
        <v>321</v>
      </c>
      <c r="F41" s="334">
        <v>4737723.9603698598</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48770.184493606903</v>
      </c>
      <c r="E44" s="334">
        <v>40</v>
      </c>
      <c r="F44" s="334">
        <v>888147.27150131401</v>
      </c>
    </row>
    <row r="45" spans="1:6">
      <c r="A45" s="348" t="s">
        <v>32</v>
      </c>
      <c r="B45" s="348" t="s">
        <v>37</v>
      </c>
      <c r="C45" s="334">
        <v>0</v>
      </c>
      <c r="D45" s="334">
        <v>0</v>
      </c>
      <c r="E45" s="334">
        <v>3</v>
      </c>
      <c r="F45" s="334">
        <v>297120.79281375703</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62</v>
      </c>
      <c r="D48" s="334">
        <v>12048281.0700671</v>
      </c>
      <c r="E48" s="334">
        <v>89</v>
      </c>
      <c r="F48" s="334">
        <v>32203909.728615601</v>
      </c>
    </row>
    <row r="49" spans="1:6">
      <c r="A49" s="348" t="s">
        <v>32</v>
      </c>
      <c r="B49" s="348" t="s">
        <v>40</v>
      </c>
      <c r="C49" s="334">
        <v>0</v>
      </c>
      <c r="D49" s="334">
        <v>0</v>
      </c>
      <c r="E49" s="334">
        <v>0</v>
      </c>
      <c r="F49" s="334">
        <v>0</v>
      </c>
    </row>
    <row r="50" spans="1:6">
      <c r="A50" s="348" t="s">
        <v>32</v>
      </c>
      <c r="B50" s="348" t="s">
        <v>41</v>
      </c>
      <c r="C50" s="334">
        <v>15</v>
      </c>
      <c r="D50" s="334">
        <v>1638137.7489968201</v>
      </c>
      <c r="E50" s="334">
        <v>29</v>
      </c>
      <c r="F50" s="334">
        <v>1211924.24921277</v>
      </c>
    </row>
    <row r="51" spans="1:6">
      <c r="A51" s="348" t="s">
        <v>42</v>
      </c>
      <c r="B51" s="348" t="s">
        <v>43</v>
      </c>
      <c r="C51" s="334">
        <v>12</v>
      </c>
      <c r="D51" s="334">
        <v>131309.44055145301</v>
      </c>
      <c r="E51" s="334">
        <v>236</v>
      </c>
      <c r="F51" s="334">
        <v>4834947.2638582904</v>
      </c>
    </row>
    <row r="52" spans="1:6">
      <c r="A52" s="348" t="s">
        <v>42</v>
      </c>
      <c r="B52" s="348" t="s">
        <v>29</v>
      </c>
      <c r="C52" s="334">
        <v>10</v>
      </c>
      <c r="D52" s="334">
        <v>175799.340350891</v>
      </c>
      <c r="E52" s="334">
        <v>22</v>
      </c>
      <c r="F52" s="334">
        <v>316502.334849537</v>
      </c>
    </row>
    <row r="53" spans="1:6">
      <c r="A53" s="348" t="s">
        <v>44</v>
      </c>
      <c r="B53" s="348" t="s">
        <v>45</v>
      </c>
      <c r="C53" s="334">
        <v>172</v>
      </c>
      <c r="D53" s="334">
        <v>2539679.75604648</v>
      </c>
      <c r="E53" s="334">
        <v>374</v>
      </c>
      <c r="F53" s="334">
        <v>2052965.0158891301</v>
      </c>
    </row>
    <row r="54" spans="1:6">
      <c r="A54" s="348" t="s">
        <v>46</v>
      </c>
      <c r="B54" s="348" t="s">
        <v>47</v>
      </c>
      <c r="C54" s="334">
        <v>0</v>
      </c>
      <c r="D54" s="334">
        <v>0</v>
      </c>
      <c r="E54" s="334">
        <v>3</v>
      </c>
      <c r="F54" s="334">
        <v>1542986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51</v>
      </c>
      <c r="D57" s="334">
        <v>2516473.9063856099</v>
      </c>
      <c r="E57" s="334">
        <v>95</v>
      </c>
      <c r="F57" s="334">
        <v>2543507.54195263</v>
      </c>
    </row>
    <row r="58" spans="1:6">
      <c r="A58" s="348" t="s">
        <v>49</v>
      </c>
      <c r="B58" s="348" t="s">
        <v>51</v>
      </c>
      <c r="C58" s="334">
        <v>50</v>
      </c>
      <c r="D58" s="334">
        <v>3883651.64681077</v>
      </c>
      <c r="E58" s="334">
        <v>93</v>
      </c>
      <c r="F58" s="334">
        <v>1893438.83020774</v>
      </c>
    </row>
    <row r="59" spans="1:6">
      <c r="A59" s="348" t="s">
        <v>49</v>
      </c>
      <c r="B59" s="348" t="s">
        <v>52</v>
      </c>
      <c r="C59" s="334">
        <v>172</v>
      </c>
      <c r="D59" s="334">
        <v>7447166.4160200097</v>
      </c>
      <c r="E59" s="334">
        <v>396</v>
      </c>
      <c r="F59" s="334">
        <v>8260543.2143370695</v>
      </c>
    </row>
    <row r="60" spans="1:6">
      <c r="A60" s="348" t="s">
        <v>49</v>
      </c>
      <c r="B60" s="348" t="s">
        <v>53</v>
      </c>
      <c r="C60" s="334">
        <v>88</v>
      </c>
      <c r="D60" s="334">
        <v>3308150.0289770798</v>
      </c>
      <c r="E60" s="334">
        <v>140</v>
      </c>
      <c r="F60" s="334">
        <v>2919794.6804244402</v>
      </c>
    </row>
    <row r="61" spans="1:6">
      <c r="A61" s="348" t="s">
        <v>49</v>
      </c>
      <c r="B61" s="348" t="s">
        <v>54</v>
      </c>
      <c r="C61" s="334">
        <v>150</v>
      </c>
      <c r="D61" s="334">
        <v>3672543.2582359998</v>
      </c>
      <c r="E61" s="334">
        <v>344</v>
      </c>
      <c r="F61" s="334">
        <v>3339287.3457415001</v>
      </c>
    </row>
    <row r="62" spans="1:6">
      <c r="A62" s="348" t="s">
        <v>49</v>
      </c>
      <c r="B62" s="348" t="s">
        <v>55</v>
      </c>
      <c r="C62" s="334">
        <v>8</v>
      </c>
      <c r="D62" s="334">
        <v>542848.86324842798</v>
      </c>
      <c r="E62" s="334">
        <v>18</v>
      </c>
      <c r="F62" s="334">
        <v>345622.41729016701</v>
      </c>
    </row>
    <row r="63" spans="1:6">
      <c r="A63" s="348" t="s">
        <v>49</v>
      </c>
      <c r="B63" s="348" t="s">
        <v>29</v>
      </c>
      <c r="C63" s="334">
        <v>169</v>
      </c>
      <c r="D63" s="334">
        <v>10516239.2220082</v>
      </c>
      <c r="E63" s="334">
        <v>193</v>
      </c>
      <c r="F63" s="334">
        <v>2856925.7743919799</v>
      </c>
    </row>
    <row r="64" spans="1:6">
      <c r="A64" s="348" t="s">
        <v>56</v>
      </c>
      <c r="B64" s="348" t="s">
        <v>57</v>
      </c>
      <c r="C64" s="334">
        <v>0</v>
      </c>
      <c r="D64" s="334">
        <v>0</v>
      </c>
      <c r="E64" s="334">
        <v>0</v>
      </c>
      <c r="F64" s="334">
        <v>0</v>
      </c>
    </row>
    <row r="65" spans="1:6">
      <c r="A65" s="348" t="s">
        <v>56</v>
      </c>
      <c r="B65" s="348" t="s">
        <v>29</v>
      </c>
      <c r="C65" s="334">
        <v>4</v>
      </c>
      <c r="D65" s="334">
        <v>136979.290545511</v>
      </c>
      <c r="E65" s="334">
        <v>4</v>
      </c>
      <c r="F65" s="334">
        <v>40887.129120602403</v>
      </c>
    </row>
    <row r="66" spans="1:6">
      <c r="A66" s="348" t="s">
        <v>56</v>
      </c>
      <c r="B66" s="348" t="s">
        <v>58</v>
      </c>
      <c r="C66" s="334">
        <v>0</v>
      </c>
      <c r="D66" s="334">
        <v>0</v>
      </c>
      <c r="E66" s="334">
        <v>22</v>
      </c>
      <c r="F66" s="334">
        <v>876977.57010107196</v>
      </c>
    </row>
    <row r="67" spans="1:6">
      <c r="A67" s="355" t="s">
        <v>56</v>
      </c>
      <c r="B67" s="355" t="s">
        <v>59</v>
      </c>
      <c r="C67" s="334">
        <v>26</v>
      </c>
      <c r="D67" s="334">
        <v>2235435.4913786598</v>
      </c>
      <c r="E67" s="334">
        <v>81</v>
      </c>
      <c r="F67" s="334">
        <v>880468.50265521102</v>
      </c>
    </row>
    <row r="68" spans="1:6">
      <c r="A68" s="341" t="s">
        <v>56</v>
      </c>
      <c r="B68" s="341" t="s">
        <v>60</v>
      </c>
      <c r="C68" s="334">
        <v>10</v>
      </c>
      <c r="D68" s="334">
        <v>306974.39880115702</v>
      </c>
      <c r="E68" s="334">
        <v>26</v>
      </c>
      <c r="F68" s="334">
        <v>210318.973856695</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178551360</v>
      </c>
      <c r="E73" s="475">
        <v>199846346.66137004</v>
      </c>
    </row>
    <row r="74" spans="1:6">
      <c r="A74" s="348" t="s">
        <v>64</v>
      </c>
      <c r="B74" s="348" t="s">
        <v>657</v>
      </c>
      <c r="C74" s="1295" t="s">
        <v>659</v>
      </c>
      <c r="D74" s="475">
        <v>20183709.5</v>
      </c>
      <c r="E74" s="475">
        <v>20770724.499729294</v>
      </c>
    </row>
    <row r="75" spans="1:6">
      <c r="A75" s="348" t="s">
        <v>65</v>
      </c>
      <c r="B75" s="348" t="s">
        <v>656</v>
      </c>
      <c r="C75" s="1295" t="s">
        <v>660</v>
      </c>
      <c r="D75" s="475">
        <v>46173523</v>
      </c>
      <c r="E75" s="475">
        <v>51087896.762712181</v>
      </c>
    </row>
    <row r="76" spans="1:6">
      <c r="A76" s="348" t="s">
        <v>65</v>
      </c>
      <c r="B76" s="348" t="s">
        <v>657</v>
      </c>
      <c r="C76" s="1295" t="s">
        <v>661</v>
      </c>
      <c r="D76" s="475">
        <v>2437841.5</v>
      </c>
      <c r="E76" s="475">
        <v>2381691.752683741</v>
      </c>
    </row>
    <row r="77" spans="1:6">
      <c r="A77" s="348" t="s">
        <v>66</v>
      </c>
      <c r="B77" s="348" t="s">
        <v>656</v>
      </c>
      <c r="C77" s="1295" t="s">
        <v>662</v>
      </c>
      <c r="D77" s="475">
        <v>11955116</v>
      </c>
      <c r="E77" s="475">
        <v>12013704.009214032</v>
      </c>
    </row>
    <row r="78" spans="1:6">
      <c r="A78" s="341" t="s">
        <v>66</v>
      </c>
      <c r="B78" s="341" t="s">
        <v>657</v>
      </c>
      <c r="C78" s="341" t="s">
        <v>663</v>
      </c>
      <c r="D78" s="1296">
        <v>2081414</v>
      </c>
      <c r="E78" s="1296">
        <v>2008232.2797531392</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404419</v>
      </c>
      <c r="C83" s="475">
        <v>402866.49781702034</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27731.414816599579</v>
      </c>
    </row>
    <row r="91" spans="1:6">
      <c r="A91" s="348" t="s">
        <v>68</v>
      </c>
      <c r="B91" s="334">
        <v>4621.7877997182395</v>
      </c>
    </row>
    <row r="92" spans="1:6">
      <c r="A92" s="341" t="s">
        <v>69</v>
      </c>
      <c r="B92" s="342">
        <v>3269.0474647219539</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3634</v>
      </c>
    </row>
    <row r="98" spans="1:6">
      <c r="A98" s="348" t="s">
        <v>72</v>
      </c>
      <c r="B98" s="334">
        <v>2</v>
      </c>
    </row>
    <row r="99" spans="1:6">
      <c r="A99" s="348" t="s">
        <v>73</v>
      </c>
      <c r="B99" s="334">
        <v>273</v>
      </c>
    </row>
    <row r="100" spans="1:6">
      <c r="A100" s="348" t="s">
        <v>74</v>
      </c>
      <c r="B100" s="334">
        <v>857</v>
      </c>
    </row>
    <row r="101" spans="1:6">
      <c r="A101" s="348" t="s">
        <v>75</v>
      </c>
      <c r="B101" s="334">
        <v>251</v>
      </c>
    </row>
    <row r="102" spans="1:6">
      <c r="A102" s="348" t="s">
        <v>76</v>
      </c>
      <c r="B102" s="334">
        <v>175</v>
      </c>
    </row>
    <row r="103" spans="1:6">
      <c r="A103" s="348" t="s">
        <v>77</v>
      </c>
      <c r="B103" s="334">
        <v>357</v>
      </c>
    </row>
    <row r="104" spans="1:6">
      <c r="A104" s="348" t="s">
        <v>78</v>
      </c>
      <c r="B104" s="334">
        <v>2984</v>
      </c>
    </row>
    <row r="105" spans="1:6">
      <c r="A105" s="341" t="s">
        <v>79</v>
      </c>
      <c r="B105" s="341">
        <v>18</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58</v>
      </c>
      <c r="C123" s="334">
        <v>67</v>
      </c>
    </row>
    <row r="124" spans="1:6">
      <c r="A124" s="341" t="s">
        <v>89</v>
      </c>
      <c r="B124" s="334">
        <v>1</v>
      </c>
      <c r="C124" s="334">
        <v>1</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280</v>
      </c>
    </row>
    <row r="130" spans="1:6">
      <c r="A130" s="348" t="s">
        <v>295</v>
      </c>
      <c r="B130" s="334">
        <v>9</v>
      </c>
    </row>
    <row r="131" spans="1:6">
      <c r="A131" s="348" t="s">
        <v>296</v>
      </c>
      <c r="B131" s="334">
        <v>5</v>
      </c>
    </row>
    <row r="132" spans="1:6">
      <c r="A132" s="341" t="s">
        <v>297</v>
      </c>
      <c r="B132" s="342">
        <v>38</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113431.10479429795</v>
      </c>
      <c r="C3" s="43" t="s">
        <v>170</v>
      </c>
      <c r="D3" s="43"/>
      <c r="E3" s="154"/>
      <c r="F3" s="43"/>
      <c r="G3" s="43"/>
      <c r="H3" s="43"/>
      <c r="I3" s="43"/>
      <c r="J3" s="43"/>
      <c r="K3" s="96"/>
    </row>
    <row r="4" spans="1:11">
      <c r="A4" s="383" t="s">
        <v>171</v>
      </c>
      <c r="B4" s="49">
        <f>IF(ISERROR('SEAP template'!B78+'SEAP template'!C78),0,'SEAP template'!B78+'SEAP template'!C78)</f>
        <v>35665.900081039777</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0.15151144188180365</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62.357142857142847</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1542.9860000000001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1542.9860000000001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0.15151144188180365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233.78003366343671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38470.859877285104</v>
      </c>
      <c r="C5" s="17">
        <f>IF(ISERROR('Eigen informatie GS &amp; warmtenet'!B57),0,'Eigen informatie GS &amp; warmtenet'!B57)</f>
        <v>0</v>
      </c>
      <c r="D5" s="30">
        <f>(SUM(HH_hh_gas_kWh,HH_rest_gas_kWh)/1000)*0.902</f>
        <v>90718.074568698605</v>
      </c>
      <c r="E5" s="17">
        <f>B46*B57</f>
        <v>11962.51513985426</v>
      </c>
      <c r="F5" s="17">
        <f>B51*B62</f>
        <v>15693.479362073502</v>
      </c>
      <c r="G5" s="18"/>
      <c r="H5" s="17"/>
      <c r="I5" s="17"/>
      <c r="J5" s="17">
        <f>B50*B61+C50*C61</f>
        <v>3272.1583425879298</v>
      </c>
      <c r="K5" s="17"/>
      <c r="L5" s="17"/>
      <c r="M5" s="17"/>
      <c r="N5" s="17">
        <f>B48*B59+C48*C59</f>
        <v>37482.300916577813</v>
      </c>
      <c r="O5" s="17">
        <f>B69*B70*B71</f>
        <v>544.04000000000008</v>
      </c>
      <c r="P5" s="17">
        <f>B77*B78*B79/1000-B77*B78*B79/1000/B80</f>
        <v>1849.4666666666667</v>
      </c>
    </row>
    <row r="6" spans="1:16">
      <c r="A6" s="16" t="s">
        <v>621</v>
      </c>
      <c r="B6" s="788">
        <f>kWh_PV_kleiner_dan_10kW</f>
        <v>4621.7877997182395</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43092.647677003341</v>
      </c>
      <c r="C8" s="21">
        <f>C5</f>
        <v>0</v>
      </c>
      <c r="D8" s="21">
        <f>D5</f>
        <v>90718.074568698605</v>
      </c>
      <c r="E8" s="21">
        <f>E5</f>
        <v>11962.51513985426</v>
      </c>
      <c r="F8" s="21">
        <f>F5</f>
        <v>15693.479362073502</v>
      </c>
      <c r="G8" s="21"/>
      <c r="H8" s="21"/>
      <c r="I8" s="21"/>
      <c r="J8" s="21">
        <f>J5</f>
        <v>3272.1583425879298</v>
      </c>
      <c r="K8" s="21"/>
      <c r="L8" s="21">
        <f>L5</f>
        <v>0</v>
      </c>
      <c r="M8" s="21">
        <f>M5</f>
        <v>0</v>
      </c>
      <c r="N8" s="21">
        <f>N5</f>
        <v>37482.300916577813</v>
      </c>
      <c r="O8" s="21">
        <f>O5</f>
        <v>544.04000000000008</v>
      </c>
      <c r="P8" s="21">
        <f>P5</f>
        <v>1849.4666666666667</v>
      </c>
    </row>
    <row r="9" spans="1:16">
      <c r="B9" s="19"/>
      <c r="C9" s="19"/>
      <c r="D9" s="258"/>
      <c r="E9" s="19"/>
      <c r="F9" s="19"/>
      <c r="G9" s="19"/>
      <c r="H9" s="19"/>
      <c r="I9" s="19"/>
      <c r="J9" s="19"/>
      <c r="K9" s="19"/>
      <c r="L9" s="19"/>
      <c r="M9" s="19"/>
      <c r="N9" s="19"/>
      <c r="O9" s="19"/>
      <c r="P9" s="19"/>
    </row>
    <row r="10" spans="1:16">
      <c r="A10" s="24" t="s">
        <v>214</v>
      </c>
      <c r="B10" s="25">
        <f ca="1">'EF ele_warmte'!B12</f>
        <v>0.15151144188180365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6529.0291840473328</v>
      </c>
      <c r="C12" s="23">
        <f ca="1">C10*C8</f>
        <v>0</v>
      </c>
      <c r="D12" s="23">
        <f>D8*D10</f>
        <v>18325.051062877119</v>
      </c>
      <c r="E12" s="23">
        <f>E10*E8</f>
        <v>2715.4909367469172</v>
      </c>
      <c r="F12" s="23">
        <f>F10*F8</f>
        <v>4190.158989673625</v>
      </c>
      <c r="G12" s="23"/>
      <c r="H12" s="23"/>
      <c r="I12" s="23"/>
      <c r="J12" s="23">
        <f>J10*J8</f>
        <v>1158.3440532761272</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3634</v>
      </c>
      <c r="C18" s="166" t="s">
        <v>111</v>
      </c>
      <c r="D18" s="228"/>
      <c r="E18" s="15"/>
    </row>
    <row r="19" spans="1:7">
      <c r="A19" s="171" t="s">
        <v>72</v>
      </c>
      <c r="B19" s="37">
        <f>aantalw2001_ander</f>
        <v>2</v>
      </c>
      <c r="C19" s="166" t="s">
        <v>111</v>
      </c>
      <c r="D19" s="229"/>
      <c r="E19" s="15"/>
    </row>
    <row r="20" spans="1:7">
      <c r="A20" s="171" t="s">
        <v>73</v>
      </c>
      <c r="B20" s="37">
        <f>aantalw2001_propaan</f>
        <v>273</v>
      </c>
      <c r="C20" s="167">
        <f>IF(ISERROR(B20/SUM($B$20,$B$21,$B$22)*100),0,B20/SUM($B$20,$B$21,$B$22)*100)</f>
        <v>19.768283852280955</v>
      </c>
      <c r="D20" s="229"/>
      <c r="E20" s="15"/>
    </row>
    <row r="21" spans="1:7">
      <c r="A21" s="171" t="s">
        <v>74</v>
      </c>
      <c r="B21" s="37">
        <f>aantalw2001_elektriciteit</f>
        <v>857</v>
      </c>
      <c r="C21" s="167">
        <f>IF(ISERROR(B21/SUM($B$20,$B$21,$B$22)*100),0,B21/SUM($B$20,$B$21,$B$22)*100)</f>
        <v>62.056480811006523</v>
      </c>
      <c r="D21" s="229"/>
      <c r="E21" s="15"/>
    </row>
    <row r="22" spans="1:7">
      <c r="A22" s="171" t="s">
        <v>75</v>
      </c>
      <c r="B22" s="37">
        <f>aantalw2001_hout</f>
        <v>251</v>
      </c>
      <c r="C22" s="167">
        <f>IF(ISERROR(B22/SUM($B$20,$B$21,$B$22)*100),0,B22/SUM($B$20,$B$21,$B$22)*100)</f>
        <v>18.175235336712529</v>
      </c>
      <c r="D22" s="229"/>
      <c r="E22" s="15"/>
    </row>
    <row r="23" spans="1:7">
      <c r="A23" s="171" t="s">
        <v>76</v>
      </c>
      <c r="B23" s="37">
        <f>aantalw2001_niet_gespec</f>
        <v>175</v>
      </c>
      <c r="C23" s="166" t="s">
        <v>111</v>
      </c>
      <c r="D23" s="228"/>
      <c r="E23" s="15"/>
    </row>
    <row r="24" spans="1:7">
      <c r="A24" s="171" t="s">
        <v>77</v>
      </c>
      <c r="B24" s="37">
        <f>aantalw2001_steenkool</f>
        <v>357</v>
      </c>
      <c r="C24" s="166" t="s">
        <v>111</v>
      </c>
      <c r="D24" s="229"/>
      <c r="E24" s="15"/>
    </row>
    <row r="25" spans="1:7">
      <c r="A25" s="171" t="s">
        <v>78</v>
      </c>
      <c r="B25" s="37">
        <f>aantalw2001_stookolie</f>
        <v>2984</v>
      </c>
      <c r="C25" s="166" t="s">
        <v>111</v>
      </c>
      <c r="D25" s="228"/>
      <c r="E25" s="52"/>
    </row>
    <row r="26" spans="1:7">
      <c r="A26" s="171" t="s">
        <v>79</v>
      </c>
      <c r="B26" s="37">
        <f>aantalw2001_WP</f>
        <v>18</v>
      </c>
      <c r="C26" s="166" t="s">
        <v>111</v>
      </c>
      <c r="D26" s="228"/>
      <c r="E26" s="15"/>
    </row>
    <row r="27" spans="1:7" s="15" customFormat="1">
      <c r="A27" s="171"/>
      <c r="B27" s="29"/>
      <c r="C27" s="36"/>
      <c r="D27" s="228"/>
    </row>
    <row r="28" spans="1:7" s="15" customFormat="1">
      <c r="A28" s="230" t="s">
        <v>793</v>
      </c>
      <c r="B28" s="37">
        <f>aantalHuishoudens2011</f>
        <v>9930</v>
      </c>
      <c r="C28" s="36"/>
      <c r="D28" s="228"/>
    </row>
    <row r="29" spans="1:7" s="15" customFormat="1">
      <c r="A29" s="230" t="s">
        <v>794</v>
      </c>
      <c r="B29" s="37">
        <f>SUM(HH_hh_gas_aantal,HH_rest_gas_aantal)</f>
        <v>6276</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6276</v>
      </c>
      <c r="C32" s="167">
        <f>IF(ISERROR(B32/SUM($B$32,$B$34,$B$35,$B$36,$B$38,$B$39)*100),0,B32/SUM($B$32,$B$34,$B$35,$B$36,$B$38,$B$39)*100)</f>
        <v>63.825892403132315</v>
      </c>
      <c r="D32" s="233"/>
      <c r="G32" s="15"/>
    </row>
    <row r="33" spans="1:7">
      <c r="A33" s="171" t="s">
        <v>72</v>
      </c>
      <c r="B33" s="34" t="s">
        <v>111</v>
      </c>
      <c r="C33" s="167"/>
      <c r="D33" s="233"/>
      <c r="G33" s="15"/>
    </row>
    <row r="34" spans="1:7">
      <c r="A34" s="171" t="s">
        <v>73</v>
      </c>
      <c r="B34" s="33">
        <f>IF((($B$28-$B$32-$B$39-$B$77-$B$38)*C20/100)&lt;0,0,($B$28-$B$32-$B$39-$B$77-$B$38)*C20/100)</f>
        <v>564.97755249818965</v>
      </c>
      <c r="C34" s="167">
        <f>IF(ISERROR(B34/SUM($B$32,$B$34,$B$35,$B$36,$B$38,$B$39)*100),0,B34/SUM($B$32,$B$34,$B$35,$B$36,$B$38,$B$39)*100)</f>
        <v>5.7457292026664257</v>
      </c>
      <c r="D34" s="233"/>
      <c r="G34" s="15"/>
    </row>
    <row r="35" spans="1:7">
      <c r="A35" s="171" t="s">
        <v>74</v>
      </c>
      <c r="B35" s="33">
        <f>IF((($B$28-$B$32-$B$39-$B$77-$B$38)*C21/100)&lt;0,0,($B$28-$B$32-$B$39-$B$77-$B$38)*C21/100)</f>
        <v>1773.5742215785663</v>
      </c>
      <c r="C35" s="167">
        <f>IF(ISERROR(B35/SUM($B$32,$B$34,$B$35,$B$36,$B$38,$B$39)*100),0,B35/SUM($B$32,$B$34,$B$35,$B$36,$B$38,$B$39)*100)</f>
        <v>18.03695943840706</v>
      </c>
      <c r="D35" s="233"/>
      <c r="G35" s="15"/>
    </row>
    <row r="36" spans="1:7">
      <c r="A36" s="171" t="s">
        <v>75</v>
      </c>
      <c r="B36" s="33">
        <f>IF((($B$28-$B$32-$B$39-$B$77-$B$38)*C22/100)&lt;0,0,($B$28-$B$32-$B$39-$B$77-$B$38)*C22/100)</f>
        <v>519.44822592324408</v>
      </c>
      <c r="C36" s="167">
        <f>IF(ISERROR(B36/SUM($B$32,$B$34,$B$35,$B$36,$B$38,$B$39)*100),0,B36/SUM($B$32,$B$34,$B$35,$B$36,$B$38,$B$39)*100)</f>
        <v>5.2827034061145541</v>
      </c>
      <c r="D36" s="233"/>
      <c r="G36" s="15"/>
    </row>
    <row r="37" spans="1:7">
      <c r="A37" s="171" t="s">
        <v>76</v>
      </c>
      <c r="B37" s="34" t="s">
        <v>111</v>
      </c>
      <c r="C37" s="167"/>
      <c r="D37" s="173"/>
      <c r="G37" s="15"/>
    </row>
    <row r="38" spans="1:7">
      <c r="A38" s="171" t="s">
        <v>77</v>
      </c>
      <c r="B38" s="33">
        <f>IF((B24-(B29-B18)*0.1)&lt;0,0,B24-(B29-B18)*0.1)</f>
        <v>92.800000000000011</v>
      </c>
      <c r="C38" s="167">
        <f>IF(ISERROR(B38/SUM($B$32,$B$34,$B$35,$B$36,$B$38,$B$39)*100),0,B38/SUM($B$32,$B$34,$B$35,$B$36,$B$38,$B$39)*100)</f>
        <v>0.94376080545103236</v>
      </c>
      <c r="D38" s="234"/>
      <c r="G38" s="15"/>
    </row>
    <row r="39" spans="1:7">
      <c r="A39" s="171" t="s">
        <v>78</v>
      </c>
      <c r="B39" s="33">
        <f>IF((B25-(B29-B18))&lt;0,0,B25-(B29-B18)*0.9)</f>
        <v>606.19999999999982</v>
      </c>
      <c r="C39" s="167">
        <f>IF(ISERROR(B39/SUM($B$32,$B$34,$B$35,$B$36,$B$38,$B$39)*100),0,B39/SUM($B$32,$B$34,$B$35,$B$36,$B$38,$B$39)*100)</f>
        <v>6.1649547442286154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6276</v>
      </c>
      <c r="C44" s="34" t="s">
        <v>111</v>
      </c>
      <c r="D44" s="174"/>
    </row>
    <row r="45" spans="1:7">
      <c r="A45" s="171" t="s">
        <v>72</v>
      </c>
      <c r="B45" s="33" t="str">
        <f t="shared" si="0"/>
        <v>-</v>
      </c>
      <c r="C45" s="34" t="s">
        <v>111</v>
      </c>
      <c r="D45" s="174"/>
    </row>
    <row r="46" spans="1:7">
      <c r="A46" s="171" t="s">
        <v>73</v>
      </c>
      <c r="B46" s="33">
        <f t="shared" si="0"/>
        <v>564.97755249818965</v>
      </c>
      <c r="C46" s="34" t="s">
        <v>111</v>
      </c>
      <c r="D46" s="174"/>
    </row>
    <row r="47" spans="1:7">
      <c r="A47" s="171" t="s">
        <v>74</v>
      </c>
      <c r="B47" s="33">
        <f t="shared" si="0"/>
        <v>1773.5742215785663</v>
      </c>
      <c r="C47" s="34" t="s">
        <v>111</v>
      </c>
      <c r="D47" s="174"/>
    </row>
    <row r="48" spans="1:7">
      <c r="A48" s="171" t="s">
        <v>75</v>
      </c>
      <c r="B48" s="33">
        <f t="shared" si="0"/>
        <v>519.44822592324408</v>
      </c>
      <c r="C48" s="33">
        <f>B48*10</f>
        <v>5194.4822592324408</v>
      </c>
      <c r="D48" s="234"/>
    </row>
    <row r="49" spans="1:6">
      <c r="A49" s="171" t="s">
        <v>76</v>
      </c>
      <c r="B49" s="33" t="str">
        <f t="shared" si="0"/>
        <v>-</v>
      </c>
      <c r="C49" s="34" t="s">
        <v>111</v>
      </c>
      <c r="D49" s="234"/>
    </row>
    <row r="50" spans="1:6">
      <c r="A50" s="171" t="s">
        <v>77</v>
      </c>
      <c r="B50" s="33">
        <f t="shared" si="0"/>
        <v>92.800000000000011</v>
      </c>
      <c r="C50" s="33">
        <f>B50*2</f>
        <v>185.60000000000002</v>
      </c>
      <c r="D50" s="234"/>
    </row>
    <row r="51" spans="1:6">
      <c r="A51" s="171" t="s">
        <v>78</v>
      </c>
      <c r="B51" s="33">
        <f t="shared" si="0"/>
        <v>606.19999999999982</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348</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97</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22159.119804345526</v>
      </c>
      <c r="C5" s="17">
        <f>IF(ISERROR('Eigen informatie GS &amp; warmtenet'!B58),0,'Eigen informatie GS &amp; warmtenet'!B58)</f>
        <v>0</v>
      </c>
      <c r="D5" s="30">
        <f>SUM(D6:D12)</f>
        <v>28762.140154200861</v>
      </c>
      <c r="E5" s="17">
        <f>SUM(E6:E12)</f>
        <v>385.28324430460606</v>
      </c>
      <c r="F5" s="17">
        <f>SUM(F6:F12)</f>
        <v>3963.9704962731757</v>
      </c>
      <c r="G5" s="18"/>
      <c r="H5" s="17"/>
      <c r="I5" s="17"/>
      <c r="J5" s="17">
        <f>SUM(J6:J12)</f>
        <v>6.2127696323075243E-2</v>
      </c>
      <c r="K5" s="17"/>
      <c r="L5" s="17"/>
      <c r="M5" s="17"/>
      <c r="N5" s="17">
        <f>SUM(N6:N12)</f>
        <v>2482.258523896578</v>
      </c>
      <c r="O5" s="17">
        <f>B38*B39*B40</f>
        <v>14.070000000000002</v>
      </c>
      <c r="P5" s="17">
        <f>B46*B47*B48/1000-B46*B47*B48/1000/B49</f>
        <v>95.333333333333343</v>
      </c>
      <c r="R5" s="32"/>
    </row>
    <row r="6" spans="1:18">
      <c r="A6" s="32" t="s">
        <v>54</v>
      </c>
      <c r="B6" s="37">
        <f>B26</f>
        <v>3339.2873457415003</v>
      </c>
      <c r="C6" s="33"/>
      <c r="D6" s="37">
        <f>IF(ISERROR(TER_kantoor_gas_kWh/1000),0,TER_kantoor_gas_kWh/1000)*0.902</f>
        <v>3312.6340189288721</v>
      </c>
      <c r="E6" s="33">
        <f>$C$26*'E Balans VL '!I12/100/3.6*1000000</f>
        <v>2.0929542453536107E-2</v>
      </c>
      <c r="F6" s="33">
        <f>$C$26*('E Balans VL '!L12+'E Balans VL '!N12)/100/3.6*1000000</f>
        <v>501.80157947731624</v>
      </c>
      <c r="G6" s="34"/>
      <c r="H6" s="33"/>
      <c r="I6" s="33"/>
      <c r="J6" s="33">
        <f>$C$26*('E Balans VL '!D12+'E Balans VL '!E12)/100/3.6*1000000</f>
        <v>0</v>
      </c>
      <c r="K6" s="33"/>
      <c r="L6" s="33"/>
      <c r="M6" s="33"/>
      <c r="N6" s="33">
        <f>$C$26*'E Balans VL '!Y12/100/3.6*1000000</f>
        <v>3.1935332425179976</v>
      </c>
      <c r="O6" s="33"/>
      <c r="P6" s="33"/>
      <c r="R6" s="32"/>
    </row>
    <row r="7" spans="1:18">
      <c r="A7" s="32" t="s">
        <v>53</v>
      </c>
      <c r="B7" s="37">
        <f t="shared" ref="B7:B12" si="0">B27</f>
        <v>2919.7946804244402</v>
      </c>
      <c r="C7" s="33"/>
      <c r="D7" s="37">
        <f>IF(ISERROR(TER_horeca_gas_kWh/1000),0,TER_horeca_gas_kWh/1000)*0.902</f>
        <v>2983.9513261373259</v>
      </c>
      <c r="E7" s="33">
        <f>$C$27*'E Balans VL '!I9/100/3.6*1000000</f>
        <v>41.810973478726559</v>
      </c>
      <c r="F7" s="33">
        <f>$C$27*('E Balans VL '!L9+'E Balans VL '!N9)/100/3.6*1000000</f>
        <v>369.74230508027898</v>
      </c>
      <c r="G7" s="34"/>
      <c r="H7" s="33"/>
      <c r="I7" s="33"/>
      <c r="J7" s="33">
        <f>$C$27*('E Balans VL '!D9+'E Balans VL '!E9)/100/3.6*1000000</f>
        <v>0</v>
      </c>
      <c r="K7" s="33"/>
      <c r="L7" s="33"/>
      <c r="M7" s="33"/>
      <c r="N7" s="33">
        <f>$C$27*'E Balans VL '!Y9/100/3.6*1000000</f>
        <v>0.8393765946753331</v>
      </c>
      <c r="O7" s="33"/>
      <c r="P7" s="33"/>
      <c r="R7" s="32"/>
    </row>
    <row r="8" spans="1:18">
      <c r="A8" s="6" t="s">
        <v>52</v>
      </c>
      <c r="B8" s="37">
        <f t="shared" si="0"/>
        <v>8260.543214337069</v>
      </c>
      <c r="C8" s="33"/>
      <c r="D8" s="37">
        <f>IF(ISERROR(TER_handel_gas_kWh/1000),0,TER_handel_gas_kWh/1000)*0.902</f>
        <v>6717.3441072500491</v>
      </c>
      <c r="E8" s="33">
        <f>$C$28*'E Balans VL '!I13/100/3.6*1000000</f>
        <v>299.60888373945312</v>
      </c>
      <c r="F8" s="33">
        <f>$C$28*('E Balans VL '!L13+'E Balans VL '!N13)/100/3.6*1000000</f>
        <v>1591.0642663992405</v>
      </c>
      <c r="G8" s="34"/>
      <c r="H8" s="33"/>
      <c r="I8" s="33"/>
      <c r="J8" s="33">
        <f>$C$28*('E Balans VL '!D13+'E Balans VL '!E13)/100/3.6*1000000</f>
        <v>0</v>
      </c>
      <c r="K8" s="33"/>
      <c r="L8" s="33"/>
      <c r="M8" s="33"/>
      <c r="N8" s="33">
        <f>$C$28*'E Balans VL '!Y13/100/3.6*1000000</f>
        <v>11.442753018083282</v>
      </c>
      <c r="O8" s="33"/>
      <c r="P8" s="33"/>
      <c r="R8" s="32"/>
    </row>
    <row r="9" spans="1:18">
      <c r="A9" s="32" t="s">
        <v>51</v>
      </c>
      <c r="B9" s="37">
        <f t="shared" si="0"/>
        <v>1893.43883020774</v>
      </c>
      <c r="C9" s="33"/>
      <c r="D9" s="37">
        <f>IF(ISERROR(TER_gezond_gas_kWh/1000),0,TER_gezond_gas_kWh/1000)*0.902</f>
        <v>3503.0537854233148</v>
      </c>
      <c r="E9" s="33">
        <f>$C$29*'E Balans VL '!I10/100/3.6*1000000</f>
        <v>0.11854796510212663</v>
      </c>
      <c r="F9" s="33">
        <f>$C$29*('E Balans VL '!L10+'E Balans VL '!N10)/100/3.6*1000000</f>
        <v>281.27610319957091</v>
      </c>
      <c r="G9" s="34"/>
      <c r="H9" s="33"/>
      <c r="I9" s="33"/>
      <c r="J9" s="33">
        <f>$C$29*('E Balans VL '!D10+'E Balans VL '!E10)/100/3.6*1000000</f>
        <v>0</v>
      </c>
      <c r="K9" s="33"/>
      <c r="L9" s="33"/>
      <c r="M9" s="33"/>
      <c r="N9" s="33">
        <f>$C$29*'E Balans VL '!Y10/100/3.6*1000000</f>
        <v>29.287894526883107</v>
      </c>
      <c r="O9" s="33"/>
      <c r="P9" s="33"/>
      <c r="R9" s="32"/>
    </row>
    <row r="10" spans="1:18">
      <c r="A10" s="32" t="s">
        <v>50</v>
      </c>
      <c r="B10" s="37">
        <f t="shared" si="0"/>
        <v>2543.5075419526302</v>
      </c>
      <c r="C10" s="33"/>
      <c r="D10" s="37">
        <f>IF(ISERROR(TER_ander_gas_kWh/1000),0,TER_ander_gas_kWh/1000)*0.902</f>
        <v>2269.8594635598201</v>
      </c>
      <c r="E10" s="33">
        <f>$C$30*'E Balans VL '!I14/100/3.6*1000000</f>
        <v>3.0317701004056299</v>
      </c>
      <c r="F10" s="33">
        <f>$C$30*('E Balans VL '!L14+'E Balans VL '!N14)/100/3.6*1000000</f>
        <v>665.49464843882106</v>
      </c>
      <c r="G10" s="34"/>
      <c r="H10" s="33"/>
      <c r="I10" s="33"/>
      <c r="J10" s="33">
        <f>$C$30*('E Balans VL '!D14+'E Balans VL '!E14)/100/3.6*1000000</f>
        <v>5.5209578461525952E-2</v>
      </c>
      <c r="K10" s="33"/>
      <c r="L10" s="33"/>
      <c r="M10" s="33"/>
      <c r="N10" s="33">
        <f>$C$30*'E Balans VL '!Y14/100/3.6*1000000</f>
        <v>2159.8843658726951</v>
      </c>
      <c r="O10" s="33"/>
      <c r="P10" s="33"/>
      <c r="R10" s="32"/>
    </row>
    <row r="11" spans="1:18">
      <c r="A11" s="32" t="s">
        <v>55</v>
      </c>
      <c r="B11" s="37">
        <f t="shared" si="0"/>
        <v>345.62241729016699</v>
      </c>
      <c r="C11" s="33"/>
      <c r="D11" s="37">
        <f>IF(ISERROR(TER_onderwijs_gas_kWh/1000),0,TER_onderwijs_gas_kWh/1000)*0.902</f>
        <v>489.64967465008203</v>
      </c>
      <c r="E11" s="33">
        <f>$C$31*'E Balans VL '!I11/100/3.6*1000000</f>
        <v>5.2148855990712484</v>
      </c>
      <c r="F11" s="33">
        <f>$C$31*('E Balans VL '!L11+'E Balans VL '!N11)/100/3.6*1000000</f>
        <v>60.558568991615715</v>
      </c>
      <c r="G11" s="34"/>
      <c r="H11" s="33"/>
      <c r="I11" s="33"/>
      <c r="J11" s="33">
        <f>$C$31*('E Balans VL '!D11+'E Balans VL '!E11)/100/3.6*1000000</f>
        <v>0</v>
      </c>
      <c r="K11" s="33"/>
      <c r="L11" s="33"/>
      <c r="M11" s="33"/>
      <c r="N11" s="33">
        <f>$C$31*'E Balans VL '!Y11/100/3.6*1000000</f>
        <v>0.97260775747130168</v>
      </c>
      <c r="O11" s="33"/>
      <c r="P11" s="33"/>
      <c r="R11" s="32"/>
    </row>
    <row r="12" spans="1:18">
      <c r="A12" s="32" t="s">
        <v>260</v>
      </c>
      <c r="B12" s="37">
        <f t="shared" si="0"/>
        <v>2856.9257743919798</v>
      </c>
      <c r="C12" s="33"/>
      <c r="D12" s="37">
        <f>IF(ISERROR(TER_rest_gas_kWh/1000),0,TER_rest_gas_kWh/1000)*0.902</f>
        <v>9485.6477782513975</v>
      </c>
      <c r="E12" s="33">
        <f>$C$32*'E Balans VL '!I8/100/3.6*1000000</f>
        <v>35.4772538793938</v>
      </c>
      <c r="F12" s="33">
        <f>$C$32*('E Balans VL '!L8+'E Balans VL '!N8)/100/3.6*1000000</f>
        <v>494.03302468633206</v>
      </c>
      <c r="G12" s="34"/>
      <c r="H12" s="33"/>
      <c r="I12" s="33"/>
      <c r="J12" s="33">
        <f>$C$32*('E Balans VL '!D8+'E Balans VL '!E8)/100/3.6*1000000</f>
        <v>6.9181178615492908E-3</v>
      </c>
      <c r="K12" s="33"/>
      <c r="L12" s="33"/>
      <c r="M12" s="33"/>
      <c r="N12" s="33">
        <f>$C$32*'E Balans VL '!Y8/100/3.6*1000000</f>
        <v>276.63799288425167</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22159.119804345526</v>
      </c>
      <c r="C16" s="21">
        <f t="shared" ca="1" si="1"/>
        <v>0</v>
      </c>
      <c r="D16" s="21">
        <f t="shared" ca="1" si="1"/>
        <v>28762.140154200861</v>
      </c>
      <c r="E16" s="21">
        <f t="shared" si="1"/>
        <v>385.28324430460606</v>
      </c>
      <c r="F16" s="21">
        <f t="shared" ca="1" si="1"/>
        <v>3963.9704962731757</v>
      </c>
      <c r="G16" s="21">
        <f t="shared" si="1"/>
        <v>0</v>
      </c>
      <c r="H16" s="21">
        <f t="shared" si="1"/>
        <v>0</v>
      </c>
      <c r="I16" s="21">
        <f t="shared" si="1"/>
        <v>0</v>
      </c>
      <c r="J16" s="21">
        <f t="shared" si="1"/>
        <v>6.2127696323075243E-2</v>
      </c>
      <c r="K16" s="21">
        <f t="shared" si="1"/>
        <v>0</v>
      </c>
      <c r="L16" s="21">
        <f t="shared" ca="1" si="1"/>
        <v>0</v>
      </c>
      <c r="M16" s="21">
        <f t="shared" si="1"/>
        <v>0</v>
      </c>
      <c r="N16" s="21">
        <f t="shared" ca="1" si="1"/>
        <v>2482.258523896578</v>
      </c>
      <c r="O16" s="21">
        <f>O5</f>
        <v>14.070000000000002</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0.15151144188180365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3357.3601923880215</v>
      </c>
      <c r="C20" s="23">
        <f t="shared" ref="C20:P20" ca="1" si="2">C16*C18</f>
        <v>0</v>
      </c>
      <c r="D20" s="23">
        <f t="shared" ca="1" si="2"/>
        <v>5809.9523111485742</v>
      </c>
      <c r="E20" s="23">
        <f t="shared" si="2"/>
        <v>87.459296457145584</v>
      </c>
      <c r="F20" s="23">
        <f t="shared" ca="1" si="2"/>
        <v>1058.3801225049381</v>
      </c>
      <c r="G20" s="23">
        <f t="shared" si="2"/>
        <v>0</v>
      </c>
      <c r="H20" s="23">
        <f t="shared" si="2"/>
        <v>0</v>
      </c>
      <c r="I20" s="23">
        <f t="shared" si="2"/>
        <v>0</v>
      </c>
      <c r="J20" s="23">
        <f t="shared" si="2"/>
        <v>2.1993204498368633E-2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3339.2873457415003</v>
      </c>
      <c r="C26" s="39">
        <f>IF(ISERROR(B26*3.6/1000000/'E Balans VL '!Z12*100),0,B26*3.6/1000000/'E Balans VL '!Z12*100)</f>
        <v>7.0587244630530968E-2</v>
      </c>
      <c r="D26" s="237" t="s">
        <v>754</v>
      </c>
      <c r="F26" s="6"/>
    </row>
    <row r="27" spans="1:18">
      <c r="A27" s="231" t="s">
        <v>53</v>
      </c>
      <c r="B27" s="33">
        <f>IF(ISERROR(TER_horeca_ele_kWh/1000),0,TER_horeca_ele_kWh/1000)</f>
        <v>2919.7946804244402</v>
      </c>
      <c r="C27" s="39">
        <f>IF(ISERROR(B27*3.6/1000000/'E Balans VL '!Z9*100),0,B27*3.6/1000000/'E Balans VL '!Z9*100)</f>
        <v>0.23016632639482343</v>
      </c>
      <c r="D27" s="237" t="s">
        <v>754</v>
      </c>
      <c r="F27" s="6"/>
    </row>
    <row r="28" spans="1:18">
      <c r="A28" s="171" t="s">
        <v>52</v>
      </c>
      <c r="B28" s="33">
        <f>IF(ISERROR(TER_handel_ele_kWh/1000),0,TER_handel_ele_kWh/1000)</f>
        <v>8260.543214337069</v>
      </c>
      <c r="C28" s="39">
        <f>IF(ISERROR(B28*3.6/1000000/'E Balans VL '!Z13*100),0,B28*3.6/1000000/'E Balans VL '!Z13*100)</f>
        <v>0.23975434041466967</v>
      </c>
      <c r="D28" s="237" t="s">
        <v>754</v>
      </c>
      <c r="F28" s="6"/>
    </row>
    <row r="29" spans="1:18">
      <c r="A29" s="231" t="s">
        <v>51</v>
      </c>
      <c r="B29" s="33">
        <f>IF(ISERROR(TER_gezond_ele_kWh/1000),0,TER_gezond_ele_kWh/1000)</f>
        <v>1893.43883020774</v>
      </c>
      <c r="C29" s="39">
        <f>IF(ISERROR(B29*3.6/1000000/'E Balans VL '!Z10*100),0,B29*3.6/1000000/'E Balans VL '!Z10*100)</f>
        <v>0.19941019990715156</v>
      </c>
      <c r="D29" s="237" t="s">
        <v>754</v>
      </c>
      <c r="F29" s="6"/>
    </row>
    <row r="30" spans="1:18">
      <c r="A30" s="231" t="s">
        <v>50</v>
      </c>
      <c r="B30" s="33">
        <f>IF(ISERROR(TER_ander_ele_kWh/1000),0,TER_ander_ele_kWh/1000)</f>
        <v>2543.5075419526302</v>
      </c>
      <c r="C30" s="39">
        <f>IF(ISERROR(B30*3.6/1000000/'E Balans VL '!Z14*100),0,B30*3.6/1000000/'E Balans VL '!Z14*100)</f>
        <v>0.18760966874151605</v>
      </c>
      <c r="D30" s="237" t="s">
        <v>754</v>
      </c>
      <c r="F30" s="6"/>
    </row>
    <row r="31" spans="1:18">
      <c r="A31" s="231" t="s">
        <v>55</v>
      </c>
      <c r="B31" s="33">
        <f>IF(ISERROR(TER_onderwijs_ele_kWh/1000),0,TER_onderwijs_ele_kWh/1000)</f>
        <v>345.62241729016699</v>
      </c>
      <c r="C31" s="39">
        <f>IF(ISERROR(B31*3.6/1000000/'E Balans VL '!Z11*100),0,B31*3.6/1000000/'E Balans VL '!Z11*100)</f>
        <v>8.5834236120631333E-2</v>
      </c>
      <c r="D31" s="237" t="s">
        <v>754</v>
      </c>
    </row>
    <row r="32" spans="1:18">
      <c r="A32" s="231" t="s">
        <v>260</v>
      </c>
      <c r="B32" s="33">
        <f>IF(ISERROR(TER_rest_ele_kWh/1000),0,TER_rest_ele_kWh/1000)</f>
        <v>2856.9257743919798</v>
      </c>
      <c r="C32" s="39">
        <f>IF(ISERROR(B32*3.6/1000000/'E Balans VL '!Z8*100),0,B32*3.6/1000000/'E Balans VL '!Z8*100)</f>
        <v>2.3508706939765946E-2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9</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5</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39338.826002513299</v>
      </c>
      <c r="C5" s="17">
        <f>IF(ISERROR('Eigen informatie GS &amp; warmtenet'!B59),0,'Eigen informatie GS &amp; warmtenet'!B59)</f>
        <v>0</v>
      </c>
      <c r="D5" s="30">
        <f>SUM(D6:D15)</f>
        <v>16823.258177529387</v>
      </c>
      <c r="E5" s="17">
        <f>SUM(E6:E15)</f>
        <v>3182.4399435224905</v>
      </c>
      <c r="F5" s="17">
        <f>SUM(F6:F15)</f>
        <v>10448.237965139171</v>
      </c>
      <c r="G5" s="18"/>
      <c r="H5" s="17"/>
      <c r="I5" s="17"/>
      <c r="J5" s="17">
        <f>SUM(J6:J15)</f>
        <v>115.77764344949226</v>
      </c>
      <c r="K5" s="17"/>
      <c r="L5" s="17"/>
      <c r="M5" s="17"/>
      <c r="N5" s="17">
        <f>SUM(N6:N15)</f>
        <v>8950.6101627107528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888.14727150131398</v>
      </c>
      <c r="C8" s="33"/>
      <c r="D8" s="37">
        <f>IF( ISERROR(IND_metaal_Gas_kWH/1000),0,IND_metaal_Gas_kWH/1000)*0.902</f>
        <v>43.990706413233433</v>
      </c>
      <c r="E8" s="33">
        <f>C30*'E Balans VL '!I18/100/3.6*1000000</f>
        <v>8.1656563806622486</v>
      </c>
      <c r="F8" s="33">
        <f>C30*'E Balans VL '!L18/100/3.6*1000000+C30*'E Balans VL '!N18/100/3.6*1000000</f>
        <v>83.278644651003134</v>
      </c>
      <c r="G8" s="34"/>
      <c r="H8" s="33"/>
      <c r="I8" s="33"/>
      <c r="J8" s="40">
        <f>C30*'E Balans VL '!D18/100/3.6*1000000+C30*'E Balans VL '!E18/100/3.6*1000000</f>
        <v>0</v>
      </c>
      <c r="K8" s="33"/>
      <c r="L8" s="33"/>
      <c r="M8" s="33"/>
      <c r="N8" s="33">
        <f>C30*'E Balans VL '!Y18/100/3.6*1000000</f>
        <v>12.670888553139847</v>
      </c>
      <c r="O8" s="33"/>
      <c r="P8" s="33"/>
      <c r="R8" s="32"/>
    </row>
    <row r="9" spans="1:18">
      <c r="A9" s="6" t="s">
        <v>33</v>
      </c>
      <c r="B9" s="37">
        <f t="shared" si="0"/>
        <v>4737.7239603698599</v>
      </c>
      <c r="C9" s="33"/>
      <c r="D9" s="37">
        <f>IF( ISERROR(IND_andere_gas_kWh/1000),0,IND_andere_gas_kWh/1000)*0.902</f>
        <v>4434.1176963204971</v>
      </c>
      <c r="E9" s="33">
        <f>C31*'E Balans VL '!I19/100/3.6*1000000</f>
        <v>1384.9289462228455</v>
      </c>
      <c r="F9" s="33">
        <f>C31*'E Balans VL '!L19/100/3.6*1000000+C31*'E Balans VL '!N19/100/3.6*1000000</f>
        <v>3807.1198149095185</v>
      </c>
      <c r="G9" s="34"/>
      <c r="H9" s="33"/>
      <c r="I9" s="33"/>
      <c r="J9" s="40">
        <f>C31*'E Balans VL '!D19/100/3.6*1000000+C31*'E Balans VL '!E19/100/3.6*1000000</f>
        <v>0</v>
      </c>
      <c r="K9" s="33"/>
      <c r="L9" s="33"/>
      <c r="M9" s="33"/>
      <c r="N9" s="33">
        <f>C31*'E Balans VL '!Y19/100/3.6*1000000</f>
        <v>1565.4174733953112</v>
      </c>
      <c r="O9" s="33"/>
      <c r="P9" s="33"/>
      <c r="R9" s="32"/>
    </row>
    <row r="10" spans="1:18">
      <c r="A10" s="6" t="s">
        <v>41</v>
      </c>
      <c r="B10" s="37">
        <f t="shared" si="0"/>
        <v>1211.9242492127701</v>
      </c>
      <c r="C10" s="33"/>
      <c r="D10" s="37">
        <f>IF( ISERROR(IND_voed_gas_kWh/1000),0,IND_voed_gas_kWh/1000)*0.902</f>
        <v>1477.6002495951318</v>
      </c>
      <c r="E10" s="33">
        <f>C32*'E Balans VL '!I20/100/3.6*1000000</f>
        <v>2.5638445403176586</v>
      </c>
      <c r="F10" s="33">
        <f>C32*'E Balans VL '!L20/100/3.6*1000000+C32*'E Balans VL '!N20/100/3.6*1000000</f>
        <v>77.055381709266328</v>
      </c>
      <c r="G10" s="34"/>
      <c r="H10" s="33"/>
      <c r="I10" s="33"/>
      <c r="J10" s="40">
        <f>C32*'E Balans VL '!D20/100/3.6*1000000+C32*'E Balans VL '!E20/100/3.6*1000000</f>
        <v>0</v>
      </c>
      <c r="K10" s="33"/>
      <c r="L10" s="33"/>
      <c r="M10" s="33"/>
      <c r="N10" s="33">
        <f>C32*'E Balans VL '!Y20/100/3.6*1000000</f>
        <v>83.634732756399231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297.12079281375702</v>
      </c>
      <c r="C12" s="33"/>
      <c r="D12" s="37">
        <f>IF( ISERROR(IND_min_gas_kWh/1000),0,IND_min_gas_kWh/1000)*0.902</f>
        <v>0</v>
      </c>
      <c r="E12" s="33">
        <f>C34*'E Balans VL '!I22/100/3.6*1000000</f>
        <v>8.6123083400396627</v>
      </c>
      <c r="F12" s="33">
        <f>C34*'E Balans VL '!L22/100/3.6*1000000+C34*'E Balans VL '!N22/100/3.6*1000000</f>
        <v>102.15348610915827</v>
      </c>
      <c r="G12" s="34"/>
      <c r="H12" s="33"/>
      <c r="I12" s="33"/>
      <c r="J12" s="40">
        <f>C34*'E Balans VL '!D22/100/3.6*1000000+C34*'E Balans VL '!E22/100/3.6*1000000</f>
        <v>0.48825899860837008</v>
      </c>
      <c r="K12" s="33"/>
      <c r="L12" s="33"/>
      <c r="M12" s="33"/>
      <c r="N12" s="33">
        <f>C34*'E Balans VL '!Y22/100/3.6*1000000</f>
        <v>65.044624219466442</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32203.909728615599</v>
      </c>
      <c r="C15" s="33"/>
      <c r="D15" s="37">
        <f>IF( ISERROR(IND_rest_gas_kWh/1000),0,IND_rest_gas_kWh/1000)*0.902</f>
        <v>10867.549525200524</v>
      </c>
      <c r="E15" s="33">
        <f>C37*'E Balans VL '!I15/100/3.6*1000000</f>
        <v>1778.1691880386252</v>
      </c>
      <c r="F15" s="33">
        <f>C37*'E Balans VL '!L15/100/3.6*1000000+C37*'E Balans VL '!N15/100/3.6*1000000</f>
        <v>6378.630637760225</v>
      </c>
      <c r="G15" s="34"/>
      <c r="H15" s="33"/>
      <c r="I15" s="33"/>
      <c r="J15" s="40">
        <f>C37*'E Balans VL '!D15/100/3.6*1000000+C37*'E Balans VL '!E15/100/3.6*1000000</f>
        <v>115.28938445088389</v>
      </c>
      <c r="K15" s="33"/>
      <c r="L15" s="33"/>
      <c r="M15" s="33"/>
      <c r="N15" s="33">
        <f>C37*'E Balans VL '!Y15/100/3.6*1000000</f>
        <v>7223.842443786436</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39338.826002513299</v>
      </c>
      <c r="C18" s="21">
        <f>C5+C16</f>
        <v>0</v>
      </c>
      <c r="D18" s="21">
        <f>MAX((D5+D16),0)</f>
        <v>16823.258177529387</v>
      </c>
      <c r="E18" s="21">
        <f>MAX((E5+E16),0)</f>
        <v>3182.4399435224905</v>
      </c>
      <c r="F18" s="21">
        <f>MAX((F5+F16),0)</f>
        <v>10448.237965139171</v>
      </c>
      <c r="G18" s="21"/>
      <c r="H18" s="21"/>
      <c r="I18" s="21"/>
      <c r="J18" s="21">
        <f>MAX((J5+J16),0)</f>
        <v>115.77764344949226</v>
      </c>
      <c r="K18" s="21"/>
      <c r="L18" s="21">
        <f>MAX((L5+L16),0)</f>
        <v>0</v>
      </c>
      <c r="M18" s="21"/>
      <c r="N18" s="21">
        <f>MAX((N5+N16),0)</f>
        <v>8950.6101627107528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0.15151144188180365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5960.2822495781802</v>
      </c>
      <c r="C22" s="23">
        <f ca="1">C18*C20</f>
        <v>0</v>
      </c>
      <c r="D22" s="23">
        <f>D18*D20</f>
        <v>3398.2981518609363</v>
      </c>
      <c r="E22" s="23">
        <f>E18*E20</f>
        <v>722.4138671796054</v>
      </c>
      <c r="F22" s="23">
        <f>F18*F20</f>
        <v>2789.6795366921588</v>
      </c>
      <c r="G22" s="23"/>
      <c r="H22" s="23"/>
      <c r="I22" s="23"/>
      <c r="J22" s="23">
        <f>J18*J20</f>
        <v>40.985285781120261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888.14727150131398</v>
      </c>
      <c r="C30" s="39">
        <f>IF(ISERROR(B30*3.6/1000000/'E Balans VL '!Z18*100),0,B30*3.6/1000000/'E Balans VL '!Z18*100)</f>
        <v>5.0333583234533866E-2</v>
      </c>
      <c r="D30" s="237" t="s">
        <v>754</v>
      </c>
    </row>
    <row r="31" spans="1:18">
      <c r="A31" s="6" t="s">
        <v>33</v>
      </c>
      <c r="B31" s="37">
        <f>IF( ISERROR(IND_ander_ele_kWh/1000),0,IND_ander_ele_kWh/1000)</f>
        <v>4737.7239603698599</v>
      </c>
      <c r="C31" s="39">
        <f>IF(ISERROR(B31*3.6/1000000/'E Balans VL '!Z19*100),0,B31*3.6/1000000/'E Balans VL '!Z19*100)</f>
        <v>0.21488343130315765</v>
      </c>
      <c r="D31" s="237" t="s">
        <v>754</v>
      </c>
    </row>
    <row r="32" spans="1:18">
      <c r="A32" s="171" t="s">
        <v>41</v>
      </c>
      <c r="B32" s="37">
        <f>IF( ISERROR(IND_voed_ele_kWh/1000),0,IND_voed_ele_kWh/1000)</f>
        <v>1211.9242492127701</v>
      </c>
      <c r="C32" s="39">
        <f>IF(ISERROR(B32*3.6/1000000/'E Balans VL '!Z20*100),0,B32*3.6/1000000/'E Balans VL '!Z20*100)</f>
        <v>3.7490318699706052E-2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297.12079281375702</v>
      </c>
      <c r="C34" s="39">
        <f>IF(ISERROR(B34*3.6/1000000/'E Balans VL '!Z22*100),0,B34*3.6/1000000/'E Balans VL '!Z22*100)</f>
        <v>5.3442760565221625E-2</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32203.909728615599</v>
      </c>
      <c r="C37" s="39">
        <f>IF(ISERROR(B37*3.6/1000000/'E Balans VL '!Z15*100),0,B37*3.6/1000000/'E Balans VL '!Z15*100)</f>
        <v>0.25525553476183621</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5151.449598707828</v>
      </c>
      <c r="C5" s="17">
        <f>'Eigen informatie GS &amp; warmtenet'!B60</f>
        <v>0</v>
      </c>
      <c r="D5" s="30">
        <f>IF(ISERROR(SUM(LB_lb_gas_kWh,LB_rest_gas_kWh)/1000),0,SUM(LB_lb_gas_kWh,LB_rest_gas_kWh)/1000)*0.902</f>
        <v>277.01212037391434</v>
      </c>
      <c r="E5" s="17">
        <f>B17*'E Balans VL '!I25/3.6*1000000/100</f>
        <v>151.41683804917898</v>
      </c>
      <c r="F5" s="17">
        <f>B17*('E Balans VL '!L25/3.6*1000000+'E Balans VL '!N25/3.6*1000000)/100</f>
        <v>21460.660658491473</v>
      </c>
      <c r="G5" s="18"/>
      <c r="H5" s="17"/>
      <c r="I5" s="17"/>
      <c r="J5" s="17">
        <f>('E Balans VL '!D25+'E Balans VL '!E25)/3.6*1000000*landbouw!B17/100</f>
        <v>746.33441820627831</v>
      </c>
      <c r="K5" s="17"/>
      <c r="L5" s="17">
        <f>L6*(-1)</f>
        <v>0</v>
      </c>
      <c r="M5" s="17"/>
      <c r="N5" s="17">
        <f>N6*(-1)</f>
        <v>124.71428571428569</v>
      </c>
      <c r="O5" s="17"/>
      <c r="P5" s="17"/>
      <c r="R5" s="32"/>
    </row>
    <row r="6" spans="1:18">
      <c r="A6" s="16" t="s">
        <v>488</v>
      </c>
      <c r="B6" s="17" t="s">
        <v>211</v>
      </c>
      <c r="C6" s="17">
        <f>'lokale energieproductie'!O92+'lokale energieproductie'!O61</f>
        <v>62.357142857142847</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5151.449598707828</v>
      </c>
      <c r="C8" s="21">
        <f>C5+C6</f>
        <v>62.357142857142847</v>
      </c>
      <c r="D8" s="21">
        <f>MAX((D5+D6),0)</f>
        <v>277.01212037391434</v>
      </c>
      <c r="E8" s="21">
        <f>MAX((E5+E6),0)</f>
        <v>151.41683804917898</v>
      </c>
      <c r="F8" s="21">
        <f>MAX((F5+F6),0)</f>
        <v>21460.660658491473</v>
      </c>
      <c r="G8" s="21"/>
      <c r="H8" s="21"/>
      <c r="I8" s="21"/>
      <c r="J8" s="21">
        <f>MAX((J5+J6),0)</f>
        <v>746.33441820627831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0.15151144188180365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780.5035564816618</v>
      </c>
      <c r="C12" s="23">
        <f ca="1">C8*C10</f>
        <v>0</v>
      </c>
      <c r="D12" s="23">
        <f>D8*D10</f>
        <v>55.9564483155307</v>
      </c>
      <c r="E12" s="23">
        <f>E8*E10</f>
        <v>34.371622237163628</v>
      </c>
      <c r="F12" s="23">
        <f>F8*F10</f>
        <v>5729.9963958172239</v>
      </c>
      <c r="G12" s="23"/>
      <c r="H12" s="23"/>
      <c r="I12" s="23"/>
      <c r="J12" s="23">
        <f>J8*J10</f>
        <v>264.20238404502248</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0.73100686023686046</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1357.9146563322288</v>
      </c>
      <c r="C26" s="247">
        <f>B26*'GWP N2O_CH4'!B5</f>
        <v>28516.207782976806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417.5736897350626</v>
      </c>
      <c r="C27" s="247">
        <f>B27*'GWP N2O_CH4'!B5</f>
        <v>8769.0474844363143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17.026425225833407</v>
      </c>
      <c r="C28" s="247">
        <f>B28*'GWP N2O_CH4'!B4</f>
        <v>5278.1918200083564</v>
      </c>
      <c r="D28" s="50"/>
    </row>
    <row r="29" spans="1:4">
      <c r="A29" s="41" t="s">
        <v>277</v>
      </c>
      <c r="B29" s="247">
        <f>B34*'ha_N2O bodem landbouw'!B4</f>
        <v>42.147164964539243</v>
      </c>
      <c r="C29" s="247">
        <f>B29*'GWP N2O_CH4'!B4</f>
        <v>13065.621139007166</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9.6178377993158346E-3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3.3519850501985318E-4</v>
      </c>
      <c r="C5" s="463" t="s">
        <v>211</v>
      </c>
      <c r="D5" s="448">
        <f>SUM(D6:D11)</f>
        <v>1.1603424549326588E-3</v>
      </c>
      <c r="E5" s="448">
        <f>SUM(E6:E11)</f>
        <v>1.5678003417552374E-3</v>
      </c>
      <c r="F5" s="461" t="s">
        <v>211</v>
      </c>
      <c r="G5" s="448">
        <f>SUM(G6:G11)</f>
        <v>0.63240977040880753</v>
      </c>
      <c r="H5" s="448">
        <f>SUM(H6:H11)</f>
        <v>0.1311804482775592</v>
      </c>
      <c r="I5" s="463" t="s">
        <v>211</v>
      </c>
      <c r="J5" s="463" t="s">
        <v>211</v>
      </c>
      <c r="K5" s="463" t="s">
        <v>211</v>
      </c>
      <c r="L5" s="463" t="s">
        <v>211</v>
      </c>
      <c r="M5" s="448">
        <f>SUM(M6:M11)</f>
        <v>4.0818733668267375E-2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2.5287370793533598E-4</v>
      </c>
      <c r="C6" s="449"/>
      <c r="D6" s="892">
        <f>vkm_2011_GW_PW*SUMIFS(TableVerdeelsleutelVkm[CNG],TableVerdeelsleutelVkm[Voertuigtype],"Lichte voertuigen")*SUMIFS(TableECFTransport[EnergieConsumptieFactor (PJ per km)],TableECFTransport[Index],CONCATENATE($A6,"_CNG_CNG"))</f>
        <v>7.5847598749939486E-4</v>
      </c>
      <c r="E6" s="892">
        <f>vkm_2011_GW_PW*SUMIFS(TableVerdeelsleutelVkm[LPG],TableVerdeelsleutelVkm[Voertuigtype],"Lichte voertuigen")*SUMIFS(TableECFTransport[EnergieConsumptieFactor (PJ per km)],TableECFTransport[Index],CONCATENATE($A6,"_LPG_LPG"))</f>
        <v>1.0361871486304903E-3</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0.26791049707868092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8.6267916146947968E-2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1.8197426981108863E-2</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0.18940492071754697</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5.7726771107163273E-5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1.1068184550802466E-2</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6.5393340994140397E-5</v>
      </c>
      <c r="C8" s="449"/>
      <c r="D8" s="451">
        <f>vkm_2011_NGW_PW*SUMIFS(TableVerdeelsleutelVkm[CNG],TableVerdeelsleutelVkm[Voertuigtype],"Lichte voertuigen")*SUMIFS(TableECFTransport[EnergieConsumptieFactor (PJ per km)],TableECFTransport[Index],CONCATENATE($A8,"_CNG_CNG"))</f>
        <v>3.4874354557868237E-4</v>
      </c>
      <c r="E8" s="451">
        <f>vkm_2011_NGW_PW*SUMIFS(TableVerdeelsleutelVkm[LPG],TableVerdeelsleutelVkm[Voertuigtype],"Lichte voertuigen")*SUMIFS(TableECFTransport[EnergieConsumptieFactor (PJ per km)],TableECFTransport[Index],CONCATENATE($A8,"_LPG_LPG"))</f>
        <v>4.4123174100960713E-4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0.10631263443274068</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3.8546241758364491E-2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7.3483286261942348E-3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2.9333663809639136E-2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8.416524087268609E-6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1.7141449005299775E-3</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1.6931456090376811E-5</v>
      </c>
      <c r="C10" s="449"/>
      <c r="D10" s="451">
        <f>vkm_2011_SW_PW*SUMIFS(TableVerdeelsleutelVkm[CNG],TableVerdeelsleutelVkm[Voertuigtype],"Lichte voertuigen")*SUMIFS(TableECFTransport[EnergieConsumptieFactor (PJ per km)],TableECFTransport[Index],CONCATENATE($A10,"_CNG_CNG"))</f>
        <v>5.3122921854581525E-5</v>
      </c>
      <c r="E10" s="451">
        <f>vkm_2011_SW_PW*SUMIFS(TableVerdeelsleutelVkm[LPG],TableVerdeelsleutelVkm[Voertuigtype],"Lichte voertuigen")*SUMIFS(TableECFTransport[EnergieConsumptieFactor (PJ per km)],TableECFTransport[Index],CONCATENATE($A10,"_LPG_LPG"))</f>
        <v>9.038145211513995E-5</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2.0833129489577752E-2</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6.2940203741119758E-3</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1.4028418363509028E-3</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1.8614924880622229E-2</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6.1267029403524964E-6</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1.0878067732809319E-3</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93.110695838848102</v>
      </c>
      <c r="C14" s="21"/>
      <c r="D14" s="21">
        <f t="shared" ref="D14:M14" si="0">((D5)*10^9/3600)+D12</f>
        <v>322.31734859240521</v>
      </c>
      <c r="E14" s="21">
        <f t="shared" si="0"/>
        <v>435.50009493201037</v>
      </c>
      <c r="F14" s="21"/>
      <c r="G14" s="21">
        <f t="shared" si="0"/>
        <v>175669.38066911319</v>
      </c>
      <c r="H14" s="21">
        <f t="shared" si="0"/>
        <v>36439.013410433115</v>
      </c>
      <c r="I14" s="21"/>
      <c r="J14" s="21"/>
      <c r="K14" s="21"/>
      <c r="L14" s="21"/>
      <c r="M14" s="21">
        <f t="shared" si="0"/>
        <v>11338.537130074272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0.15151144188180365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14.107335781161932</v>
      </c>
      <c r="C18" s="23"/>
      <c r="D18" s="23">
        <f t="shared" ref="D18:M18" si="1">D14*D16</f>
        <v>65.108104415665863</v>
      </c>
      <c r="E18" s="23">
        <f t="shared" si="1"/>
        <v>98.858521549566362</v>
      </c>
      <c r="F18" s="23"/>
      <c r="G18" s="23">
        <f t="shared" si="1"/>
        <v>46903.724638653228</v>
      </c>
      <c r="H18" s="23">
        <f t="shared" si="1"/>
        <v>9073.3143391978465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5.0795660687531288E-3</v>
      </c>
      <c r="H50" s="321">
        <f t="shared" si="2"/>
        <v>0</v>
      </c>
      <c r="I50" s="321">
        <f t="shared" si="2"/>
        <v>0</v>
      </c>
      <c r="J50" s="321">
        <f t="shared" si="2"/>
        <v>0</v>
      </c>
      <c r="K50" s="321">
        <f t="shared" si="2"/>
        <v>0</v>
      </c>
      <c r="L50" s="321">
        <f t="shared" si="2"/>
        <v>0</v>
      </c>
      <c r="M50" s="321">
        <f t="shared" si="2"/>
        <v>2.8849692857276676E-4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5.0795660687531288E-3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2.8849692857276676E-4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1410.9905746536469</v>
      </c>
      <c r="H54" s="21">
        <f t="shared" si="3"/>
        <v>0</v>
      </c>
      <c r="I54" s="21">
        <f t="shared" si="3"/>
        <v>0</v>
      </c>
      <c r="J54" s="21">
        <f t="shared" si="3"/>
        <v>0</v>
      </c>
      <c r="K54" s="21">
        <f t="shared" si="3"/>
        <v>0</v>
      </c>
      <c r="L54" s="21">
        <f t="shared" si="3"/>
        <v>0</v>
      </c>
      <c r="M54" s="21">
        <f t="shared" si="3"/>
        <v>80.138035714657434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0.15151144188180365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376.73448343252375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27731.414816599579</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7890.835264440193</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43.649999999999991</v>
      </c>
      <c r="C8" s="570">
        <f>B101</f>
        <v>0</v>
      </c>
      <c r="D8" s="1044"/>
      <c r="E8" s="1044">
        <f>E101</f>
        <v>0</v>
      </c>
      <c r="F8" s="1045"/>
      <c r="G8" s="571"/>
      <c r="H8" s="1044">
        <f>I101</f>
        <v>0</v>
      </c>
      <c r="I8" s="1044">
        <f>G101+F101</f>
        <v>0</v>
      </c>
      <c r="J8" s="1044">
        <f>H101+D101+C101</f>
        <v>51.35294117647058</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35665.900081039777</v>
      </c>
      <c r="C10" s="583">
        <f t="shared" ref="C10:L10" si="0">SUM(C8:C9)</f>
        <v>0</v>
      </c>
      <c r="D10" s="583">
        <f t="shared" si="0"/>
        <v>0</v>
      </c>
      <c r="E10" s="583">
        <f t="shared" si="0"/>
        <v>0</v>
      </c>
      <c r="F10" s="583">
        <f t="shared" si="0"/>
        <v>0</v>
      </c>
      <c r="G10" s="583">
        <f t="shared" si="0"/>
        <v>0</v>
      </c>
      <c r="H10" s="583">
        <f t="shared" si="0"/>
        <v>0</v>
      </c>
      <c r="I10" s="583">
        <f t="shared" si="0"/>
        <v>0</v>
      </c>
      <c r="J10" s="583">
        <f t="shared" si="0"/>
        <v>51.35294117647058</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62.357142857142847</v>
      </c>
      <c r="C17" s="595">
        <f>B102</f>
        <v>0</v>
      </c>
      <c r="D17" s="596"/>
      <c r="E17" s="596">
        <f>E102</f>
        <v>0</v>
      </c>
      <c r="F17" s="1050"/>
      <c r="G17" s="597"/>
      <c r="H17" s="595">
        <f>I102</f>
        <v>0</v>
      </c>
      <c r="I17" s="596">
        <f>G102+F102</f>
        <v>0</v>
      </c>
      <c r="J17" s="596">
        <f>H102+D102+C102</f>
        <v>73.361344537815114</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62.357142857142847</v>
      </c>
      <c r="C20" s="582">
        <f>SUM(C17:C19)</f>
        <v>0</v>
      </c>
      <c r="D20" s="582">
        <f t="shared" ref="D20:L20" si="1">SUM(D17:D19)</f>
        <v>0</v>
      </c>
      <c r="E20" s="582">
        <f t="shared" si="1"/>
        <v>0</v>
      </c>
      <c r="F20" s="582">
        <f t="shared" si="1"/>
        <v>0</v>
      </c>
      <c r="G20" s="582">
        <f t="shared" si="1"/>
        <v>0</v>
      </c>
      <c r="H20" s="582">
        <f t="shared" si="1"/>
        <v>0</v>
      </c>
      <c r="I20" s="582">
        <f t="shared" si="1"/>
        <v>0</v>
      </c>
      <c r="J20" s="582">
        <f t="shared" si="1"/>
        <v>73.361344537815114</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43010</v>
      </c>
      <c r="C28" s="796">
        <v>9991</v>
      </c>
      <c r="D28" s="653" t="s">
        <v>881</v>
      </c>
      <c r="E28" s="652" t="s">
        <v>882</v>
      </c>
      <c r="F28" s="652" t="s">
        <v>883</v>
      </c>
      <c r="G28" s="652" t="s">
        <v>884</v>
      </c>
      <c r="H28" s="652" t="s">
        <v>885</v>
      </c>
      <c r="I28" s="652" t="s">
        <v>882</v>
      </c>
      <c r="J28" s="795">
        <v>41174</v>
      </c>
      <c r="K28" s="795">
        <v>41275</v>
      </c>
      <c r="L28" s="652" t="s">
        <v>886</v>
      </c>
      <c r="M28" s="652">
        <v>9.6999999999999993</v>
      </c>
      <c r="N28" s="652">
        <v>43.649999999999991</v>
      </c>
      <c r="O28" s="652">
        <v>62.357142857142847</v>
      </c>
      <c r="P28" s="652">
        <v>0</v>
      </c>
      <c r="Q28" s="652">
        <v>124.71428571428569</v>
      </c>
      <c r="R28" s="652">
        <v>0</v>
      </c>
      <c r="S28" s="652">
        <v>0</v>
      </c>
      <c r="T28" s="652">
        <v>0</v>
      </c>
      <c r="U28" s="652">
        <v>0</v>
      </c>
      <c r="V28" s="652">
        <v>0</v>
      </c>
      <c r="W28" s="652">
        <v>0</v>
      </c>
      <c r="X28" s="652">
        <v>10</v>
      </c>
      <c r="Y28" s="652" t="s">
        <v>112</v>
      </c>
      <c r="Z28" s="654" t="s">
        <v>112</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9.6999999999999993</v>
      </c>
      <c r="N58" s="610">
        <f>SUM(N28:N57)</f>
        <v>43.649999999999991</v>
      </c>
      <c r="O58" s="610">
        <f t="shared" ref="O58:W58" si="2">SUM(O28:O57)</f>
        <v>62.357142857142847</v>
      </c>
      <c r="P58" s="610">
        <f t="shared" si="2"/>
        <v>0</v>
      </c>
      <c r="Q58" s="610">
        <f t="shared" si="2"/>
        <v>124.71428571428569</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9.6999999999999993</v>
      </c>
      <c r="N61" s="615">
        <f t="shared" si="4"/>
        <v>43.649999999999991</v>
      </c>
      <c r="O61" s="615">
        <f t="shared" si="4"/>
        <v>62.357142857142847</v>
      </c>
      <c r="P61" s="615">
        <f t="shared" si="4"/>
        <v>0</v>
      </c>
      <c r="Q61" s="615">
        <f t="shared" si="4"/>
        <v>124.71428571428569</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51.35294117647058</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73.361344537815114</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2019-08-12T08:34:27Z</dcterms:modified>
</cp:coreProperties>
</file>